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aa-Docs\aaa-Rates\aaa-Latest\"/>
    </mc:Choice>
  </mc:AlternateContent>
  <xr:revisionPtr revIDLastSave="0" documentId="13_ncr:1_{D0845CF5-EB55-4367-BD1E-613EDE6D9A44}" xr6:coauthVersionLast="47" xr6:coauthVersionMax="47" xr10:uidLastSave="{00000000-0000-0000-0000-000000000000}"/>
  <bookViews>
    <workbookView xWindow="-110" yWindow="-110" windowWidth="19420" windowHeight="10300" tabRatio="826" firstSheet="3" activeTab="3" xr2:uid="{00000000-000D-0000-FFFF-FFFF00000000}"/>
  </bookViews>
  <sheets>
    <sheet name="Cover Sheets" sheetId="29" r:id="rId1"/>
    <sheet name="Summary-TrueUp" sheetId="32" r:id="rId2"/>
    <sheet name="Rev Log" sheetId="31" r:id="rId3"/>
    <sheet name="WS1-ATRR RateBase" sheetId="36" r:id="rId4"/>
    <sheet name="WS2-RevCredits" sheetId="25" r:id="rId5"/>
    <sheet name="WS3-CostData" sheetId="35" r:id="rId6"/>
    <sheet name="WS4-TransFac" sheetId="1" r:id="rId7"/>
    <sheet name="WS5-FacDetail" sheetId="5" r:id="rId8"/>
    <sheet name="WS6-AI Detail" sheetId="38" r:id="rId9"/>
    <sheet name="WS7-IMEU" sheetId="39" r:id="rId10"/>
  </sheets>
  <definedNames>
    <definedName name="Act14_ActRegRevRqmt" localSheetId="0">#REF!</definedName>
    <definedName name="Act14_ActRegRevRqmt" localSheetId="2">#REF!</definedName>
    <definedName name="Act14_ActRegRevRqmt" localSheetId="3">#REF!</definedName>
    <definedName name="Act14_ActRegRevRqmt" localSheetId="4">#REF!</definedName>
    <definedName name="Act14_ActRegRevRqmt" localSheetId="8">'WS6-AI Detail'!#REF!</definedName>
    <definedName name="Act14_ActRegRevRqmt" localSheetId="9">'WS7-IMEU'!#REF!</definedName>
    <definedName name="Act14_AveControlAreaLoad" localSheetId="2">#REF!</definedName>
    <definedName name="Act14_AveControlAreaLoad" localSheetId="8">'WS6-AI Detail'!#REF!</definedName>
    <definedName name="Act14_AveControlAreaLoad" localSheetId="9">'WS7-IMEU'!#REF!</definedName>
    <definedName name="Act14_BOR_AccumDepr" localSheetId="2">#REF!</definedName>
    <definedName name="Act14_BOR_AccumDepr" localSheetId="8">'WS6-AI Detail'!#REF!</definedName>
    <definedName name="Act14_BOR_AccumDepr" localSheetId="9">'WS7-IMEU'!#REF!</definedName>
    <definedName name="Act14_BOR_DeprExp" localSheetId="2">#REF!</definedName>
    <definedName name="Act14_BOR_DeprExp" localSheetId="8">'WS6-AI Detail'!#REF!</definedName>
    <definedName name="Act14_BOR_DeprExp" localSheetId="9">'WS7-IMEU'!#REF!</definedName>
    <definedName name="Act14_BOR_LTDebt" localSheetId="2">#REF!</definedName>
    <definedName name="Act14_BOR_LTDebt" localSheetId="8">'WS6-AI Detail'!#REF!</definedName>
    <definedName name="Act14_BOR_LTDebt" localSheetId="9">'WS7-IMEU'!#REF!</definedName>
    <definedName name="Act14_BOR_LTInt" localSheetId="2">#REF!</definedName>
    <definedName name="Act14_BOR_LTInt" localSheetId="8">'WS6-AI Detail'!#REF!</definedName>
    <definedName name="Act14_BOR_LTInt" localSheetId="9">'WS7-IMEU'!#REF!</definedName>
    <definedName name="Act14_BOR_OM" localSheetId="2">#REF!</definedName>
    <definedName name="Act14_BOR_OM" localSheetId="8">'WS6-AI Detail'!#REF!</definedName>
    <definedName name="Act14_BOR_OM" localSheetId="9">'WS7-IMEU'!#REF!</definedName>
    <definedName name="Act14_BOR_Plant" localSheetId="2">#REF!</definedName>
    <definedName name="Act14_BOR_Plant" localSheetId="8">'WS6-AI Detail'!#REF!</definedName>
    <definedName name="Act14_BOR_Plant" localSheetId="9">'WS7-IMEU'!#REF!</definedName>
    <definedName name="Act14_BxPS_BEFP_1411" localSheetId="2">#REF!</definedName>
    <definedName name="Act14_BxPS_BEFP_1411" localSheetId="8">'WS6-AI Detail'!#REF!</definedName>
    <definedName name="Act14_BxPS_BEFP_1411" localSheetId="9">'WS7-IMEU'!#REF!</definedName>
    <definedName name="Act14_BxPS_BEFP_1412" localSheetId="2">#REF!</definedName>
    <definedName name="Act14_BxPS_BEFP_1412" localSheetId="8">'WS6-AI Detail'!#REF!</definedName>
    <definedName name="Act14_BxPS_BEFP_1412" localSheetId="9">'WS7-IMEU'!#REF!</definedName>
    <definedName name="Act14_BxPS_BEFP_1415" localSheetId="2">#REF!</definedName>
    <definedName name="Act14_BxPS_BEFP_1415" localSheetId="8">'WS6-AI Detail'!#REF!</definedName>
    <definedName name="Act14_BxPS_BEFP_1415" localSheetId="9">'WS7-IMEU'!#REF!</definedName>
    <definedName name="Act14_BxPS_BEFP_1416" localSheetId="2">#REF!</definedName>
    <definedName name="Act14_BxPS_BEFP_1416" localSheetId="8">'WS6-AI Detail'!#REF!</definedName>
    <definedName name="Act14_BxPS_BEFP_1416" localSheetId="9">'WS7-IMEU'!#REF!</definedName>
    <definedName name="Act14_BxPS_BEFP_1421" localSheetId="2">#REF!</definedName>
    <definedName name="Act14_BxPS_BEFP_1421" localSheetId="8">'WS6-AI Detail'!#REF!</definedName>
    <definedName name="Act14_BxPS_BEFP_1421" localSheetId="9">'WS7-IMEU'!#REF!</definedName>
    <definedName name="Act14_BxPS_BEFP_1422" localSheetId="2">#REF!</definedName>
    <definedName name="Act14_BxPS_BEFP_1422" localSheetId="8">'WS6-AI Detail'!#REF!</definedName>
    <definedName name="Act14_BxPS_BEFP_1422" localSheetId="9">'WS7-IMEU'!#REF!</definedName>
    <definedName name="Act14_BxPS_BEFP_1425" localSheetId="2">#REF!</definedName>
    <definedName name="Act14_BxPS_BEFP_1425" localSheetId="8">'WS6-AI Detail'!#REF!</definedName>
    <definedName name="Act14_BxPS_BEFP_1425" localSheetId="9">'WS7-IMEU'!#REF!</definedName>
    <definedName name="Act14_BxPS_BEFP_1426" localSheetId="2">#REF!</definedName>
    <definedName name="Act14_BxPS_BEFP_1426" localSheetId="8">'WS6-AI Detail'!#REF!</definedName>
    <definedName name="Act14_BxPS_BEFP_1426" localSheetId="9">'WS7-IMEU'!#REF!</definedName>
    <definedName name="Act14_BxPS_BEFP_1431" localSheetId="2">#REF!</definedName>
    <definedName name="Act14_BxPS_BEFP_1431" localSheetId="8">'WS6-AI Detail'!#REF!</definedName>
    <definedName name="Act14_BxPS_BEFP_1431" localSheetId="9">'WS7-IMEU'!#REF!</definedName>
    <definedName name="Act14_BxPS_BEFP_1432" localSheetId="2">#REF!</definedName>
    <definedName name="Act14_BxPS_BEFP_1432" localSheetId="8">'WS6-AI Detail'!#REF!</definedName>
    <definedName name="Act14_BxPS_BEFP_1432" localSheetId="9">'WS7-IMEU'!#REF!</definedName>
    <definedName name="Act14_BxPS_BEFP_1441" localSheetId="2">#REF!</definedName>
    <definedName name="Act14_BxPS_BEFP_1441" localSheetId="8">'WS6-AI Detail'!#REF!</definedName>
    <definedName name="Act14_BxPS_BEFP_1441" localSheetId="9">'WS7-IMEU'!#REF!</definedName>
    <definedName name="Act14_BxPS_BEFP_1442" localSheetId="2">#REF!</definedName>
    <definedName name="Act14_BxPS_BEFP_1442" localSheetId="8">'WS6-AI Detail'!#REF!</definedName>
    <definedName name="Act14_BxPS_BEFP_1442" localSheetId="9">'WS7-IMEU'!#REF!</definedName>
    <definedName name="Act14_BxPS_BEFP_AccumDepr" localSheetId="2">#REF!</definedName>
    <definedName name="Act14_BxPS_BEFP_AccumDepr" localSheetId="8">'WS6-AI Detail'!#REF!</definedName>
    <definedName name="Act14_BxPS_BEFP_AccumDepr" localSheetId="9">'WS7-IMEU'!#REF!</definedName>
    <definedName name="Act14_BxPS_BEFP_Additions" localSheetId="2">#REF!</definedName>
    <definedName name="Act14_BxPS_BEFP_Additions" localSheetId="8">'WS6-AI Detail'!#REF!</definedName>
    <definedName name="Act14_BxPS_BEFP_Additions" localSheetId="9">'WS7-IMEU'!#REF!</definedName>
    <definedName name="Act14_BxPS_BEFP_AdjTrans" localSheetId="2">#REF!</definedName>
    <definedName name="Act14_BxPS_BEFP_AdjTrans" localSheetId="8">'WS6-AI Detail'!#REF!</definedName>
    <definedName name="Act14_BxPS_BEFP_AdjTrans" localSheetId="9">'WS7-IMEU'!#REF!</definedName>
    <definedName name="Act14_BxPS_BEFP_AGExp" localSheetId="2">#REF!</definedName>
    <definedName name="Act14_BxPS_BEFP_AGExp" localSheetId="8">'WS6-AI Detail'!#REF!</definedName>
    <definedName name="Act14_BxPS_BEFP_AGExp" localSheetId="9">'WS7-IMEU'!#REF!</definedName>
    <definedName name="Act14_BxPS_BEFP_CME" localSheetId="2">#REF!</definedName>
    <definedName name="Act14_BxPS_BEFP_CME" localSheetId="8">'WS6-AI Detail'!#REF!</definedName>
    <definedName name="Act14_BxPS_BEFP_CME" localSheetId="9">'WS7-IMEU'!#REF!</definedName>
    <definedName name="Act14_BxPS_BEFP_DepMOVP" localSheetId="2">#REF!</definedName>
    <definedName name="Act14_BxPS_BEFP_DepMOVP" localSheetId="8">'WS6-AI Detail'!#REF!</definedName>
    <definedName name="Act14_BxPS_BEFP_DepMOVP" localSheetId="9">'WS7-IMEU'!#REF!</definedName>
    <definedName name="Act14_BxPS_BEFP_DeprExp" localSheetId="2">#REF!</definedName>
    <definedName name="Act14_BxPS_BEFP_DeprExp" localSheetId="8">'WS6-AI Detail'!#REF!</definedName>
    <definedName name="Act14_BxPS_BEFP_DeprExp" localSheetId="9">'WS7-IMEU'!#REF!</definedName>
    <definedName name="Act14_BxPS_BEFP_DispofAssets" localSheetId="2">#REF!</definedName>
    <definedName name="Act14_BxPS_BEFP_DispofAssets" localSheetId="8">'WS6-AI Detail'!#REF!</definedName>
    <definedName name="Act14_BxPS_BEFP_DispofAssets" localSheetId="9">'WS7-IMEU'!#REF!</definedName>
    <definedName name="Act14_BxPS_BEFP_GenAccumDepr" localSheetId="2">#REF!</definedName>
    <definedName name="Act14_BxPS_BEFP_GenAccumDepr" localSheetId="8">'WS6-AI Detail'!#REF!</definedName>
    <definedName name="Act14_BxPS_BEFP_GenAccumDepr" localSheetId="9">'WS7-IMEU'!#REF!</definedName>
    <definedName name="Act14_BxPS_BEFP_GenPlant" localSheetId="2">#REF!</definedName>
    <definedName name="Act14_BxPS_BEFP_GenPlant" localSheetId="8">'WS6-AI Detail'!#REF!</definedName>
    <definedName name="Act14_BxPS_BEFP_GenPlant" localSheetId="9">'WS7-IMEU'!#REF!</definedName>
    <definedName name="Act14_BxPS_BEFP_LTDebt" localSheetId="2">#REF!</definedName>
    <definedName name="Act14_BxPS_BEFP_LTDebt" localSheetId="8">'WS6-AI Detail'!#REF!</definedName>
    <definedName name="Act14_BxPS_BEFP_LTDebt" localSheetId="9">'WS7-IMEU'!#REF!</definedName>
    <definedName name="Act14_BxPS_BEFP_LTInt" localSheetId="2">#REF!</definedName>
    <definedName name="Act14_BxPS_BEFP_LTInt" localSheetId="8">'WS6-AI Detail'!#REF!</definedName>
    <definedName name="Act14_BxPS_BEFP_LTInt" localSheetId="9">'WS7-IMEU'!#REF!</definedName>
    <definedName name="Act14_BxPS_BEFP_OtherPowerExp" localSheetId="2">#REF!</definedName>
    <definedName name="Act14_BxPS_BEFP_OtherPowerExp" localSheetId="8">'WS6-AI Detail'!#REF!</definedName>
    <definedName name="Act14_BxPS_BEFP_OtherPowerExp" localSheetId="9">'WS7-IMEU'!#REF!</definedName>
    <definedName name="Act14_BxPS_BEFP_Plant" localSheetId="2">#REF!</definedName>
    <definedName name="Act14_BxPS_BEFP_Plant" localSheetId="8">'WS6-AI Detail'!#REF!</definedName>
    <definedName name="Act14_BxPS_BEFP_Plant" localSheetId="9">'WS7-IMEU'!#REF!</definedName>
    <definedName name="Act14_BxPS_BEFP_PY_Adj" localSheetId="2">#REF!</definedName>
    <definedName name="Act14_BxPS_BEFP_PY_Adj" localSheetId="8">'WS6-AI Detail'!#REF!</definedName>
    <definedName name="Act14_BxPS_BEFP_PY_Adj" localSheetId="9">'WS7-IMEU'!#REF!</definedName>
    <definedName name="Act14_BxPS_BEFP_Repl" localSheetId="2">#REF!</definedName>
    <definedName name="Act14_BxPS_BEFP_Repl" localSheetId="8">'WS6-AI Detail'!#REF!</definedName>
    <definedName name="Act14_BxPS_BEFP_Repl" localSheetId="9">'WS7-IMEU'!#REF!</definedName>
    <definedName name="Act14_BxPS_BEFP_Retr" localSheetId="2">#REF!</definedName>
    <definedName name="Act14_BxPS_BEFP_Retr" localSheetId="8">'WS6-AI Detail'!#REF!</definedName>
    <definedName name="Act14_BxPS_BEFP_Retr" localSheetId="9">'WS7-IMEU'!#REF!</definedName>
    <definedName name="Act14_BxPS_BEFP_SSCD_OpExp" localSheetId="2">#REF!</definedName>
    <definedName name="Act14_BxPS_BEFP_SSCD_OpExp" localSheetId="8">'WS6-AI Detail'!#REF!</definedName>
    <definedName name="Act14_BxPS_BEFP_SSCD_OpExp" localSheetId="9">'WS7-IMEU'!#REF!</definedName>
    <definedName name="Act14_BxPS_BEFP_SSCDPlant" localSheetId="2">#REF!</definedName>
    <definedName name="Act14_BxPS_BEFP_SSCDPlant" localSheetId="8">'WS6-AI Detail'!#REF!</definedName>
    <definedName name="Act14_BxPS_BEFP_SSCDPlant" localSheetId="9">'WS7-IMEU'!#REF!</definedName>
    <definedName name="Act14_BxPS_BEFP_TotalOpExpense" localSheetId="2">#REF!</definedName>
    <definedName name="Act14_BxPS_BEFP_TotalOpExpense" localSheetId="8">'WS6-AI Detail'!#REF!</definedName>
    <definedName name="Act14_BxPS_BEFP_TotalOpExpense" localSheetId="9">'WS7-IMEU'!#REF!</definedName>
    <definedName name="Act14_BxPS_BEFP_TPlant" localSheetId="2">#REF!</definedName>
    <definedName name="Act14_BxPS_BEFP_TPlant" localSheetId="8">'WS6-AI Detail'!#REF!</definedName>
    <definedName name="Act14_BxPS_BEFP_TPlant" localSheetId="9">'WS7-IMEU'!#REF!</definedName>
    <definedName name="Act14_BxPS_BEFP_TransAccumDepr" localSheetId="2">#REF!</definedName>
    <definedName name="Act14_BxPS_BEFP_TransAccumDepr" localSheetId="8">'WS6-AI Detail'!#REF!</definedName>
    <definedName name="Act14_BxPS_BEFP_TransAccumDepr" localSheetId="9">'WS7-IMEU'!#REF!</definedName>
    <definedName name="Act14_BxPS_BEFP_WageSalary" localSheetId="2">#REF!</definedName>
    <definedName name="Act14_BxPS_BEFP_WageSalary" localSheetId="8">'WS6-AI Detail'!#REF!</definedName>
    <definedName name="Act14_BxPS_BEFP_WageSalary" localSheetId="9">'WS7-IMEU'!#REF!</definedName>
    <definedName name="Act14_BxPS_BEFP_Warehouse_Stores" localSheetId="2">#REF!</definedName>
    <definedName name="Act14_BxPS_BEFP_Warehouse_Stores" localSheetId="8">'WS6-AI Detail'!#REF!</definedName>
    <definedName name="Act14_BxPS_BEFP_Warehouse_Stores" localSheetId="9">'WS7-IMEU'!#REF!</definedName>
    <definedName name="Act14_BXPS_OM" localSheetId="2">#REF!</definedName>
    <definedName name="Act14_BXPS_OM" localSheetId="8">'WS6-AI Detail'!#REF!</definedName>
    <definedName name="Act14_BXPS_OM" localSheetId="9">'WS7-IMEU'!#REF!</definedName>
    <definedName name="Act14_COE_AccumDepr" localSheetId="2">#REF!</definedName>
    <definedName name="Act14_COE_AccumDepr" localSheetId="8">'WS6-AI Detail'!#REF!</definedName>
    <definedName name="Act14_COE_AccumDepr" localSheetId="9">'WS7-IMEU'!#REF!</definedName>
    <definedName name="Act14_COE_AccumDeprGen" localSheetId="2">#REF!</definedName>
    <definedName name="Act14_COE_AccumDeprGen" localSheetId="8">'WS6-AI Detail'!#REF!</definedName>
    <definedName name="Act14_COE_AccumDeprGen" localSheetId="9">'WS7-IMEU'!#REF!</definedName>
    <definedName name="Act14_COE_AG" localSheetId="2">#REF!</definedName>
    <definedName name="Act14_COE_AG" localSheetId="8">'WS6-AI Detail'!#REF!</definedName>
    <definedName name="Act14_COE_AG" localSheetId="9">'WS7-IMEU'!#REF!</definedName>
    <definedName name="Act14_COE_DeprExp" localSheetId="2">#REF!</definedName>
    <definedName name="Act14_COE_DeprExp" localSheetId="8">'WS6-AI Detail'!#REF!</definedName>
    <definedName name="Act14_COE_DeprExp" localSheetId="9">'WS7-IMEU'!#REF!</definedName>
    <definedName name="Act14_COE_Gen" localSheetId="2">#REF!</definedName>
    <definedName name="Act14_COE_Gen" localSheetId="8">'WS6-AI Detail'!#REF!</definedName>
    <definedName name="Act14_COE_Gen" localSheetId="9">'WS7-IMEU'!#REF!</definedName>
    <definedName name="Act14_COE_GenDepr" localSheetId="2">#REF!</definedName>
    <definedName name="Act14_COE_GenDepr" localSheetId="8">'WS6-AI Detail'!#REF!</definedName>
    <definedName name="Act14_COE_GenDepr" localSheetId="9">'WS7-IMEU'!#REF!</definedName>
    <definedName name="Act14_COE_GenOM" localSheetId="2">#REF!</definedName>
    <definedName name="Act14_COE_GenOM" localSheetId="8">'WS6-AI Detail'!#REF!</definedName>
    <definedName name="Act14_COE_GenOM" localSheetId="9">'WS7-IMEU'!#REF!</definedName>
    <definedName name="Act14_COE_GenPlant" localSheetId="2">#REF!</definedName>
    <definedName name="Act14_COE_GenPlant" localSheetId="8">'WS6-AI Detail'!#REF!</definedName>
    <definedName name="Act14_COE_GenPlant" localSheetId="9">'WS7-IMEU'!#REF!</definedName>
    <definedName name="Act14_COE_LTDebt" localSheetId="2">#REF!</definedName>
    <definedName name="Act14_COE_LTDebt" localSheetId="8">'WS6-AI Detail'!#REF!</definedName>
    <definedName name="Act14_COE_LTDebt" localSheetId="9">'WS7-IMEU'!#REF!</definedName>
    <definedName name="Act14_COE_LTInt" localSheetId="2">#REF!</definedName>
    <definedName name="Act14_COE_LTInt" localSheetId="8">'WS6-AI Detail'!#REF!</definedName>
    <definedName name="Act14_COE_LTInt" localSheetId="9">'WS7-IMEU'!#REF!</definedName>
    <definedName name="Act14_COE_OM" localSheetId="2">#REF!</definedName>
    <definedName name="Act14_COE_OM" localSheetId="8">'WS6-AI Detail'!#REF!</definedName>
    <definedName name="Act14_COE_OM" localSheetId="9">'WS7-IMEU'!#REF!</definedName>
    <definedName name="Act14_COE_Plant" localSheetId="2">#REF!</definedName>
    <definedName name="Act14_COE_Plant" localSheetId="8">'WS6-AI Detail'!#REF!</definedName>
    <definedName name="Act14_COE_Plant" localSheetId="9">'WS7-IMEU'!#REF!</definedName>
    <definedName name="Act14_COE_TPlant" localSheetId="2">#REF!</definedName>
    <definedName name="Act14_COE_TPlant" localSheetId="8">'WS6-AI Detail'!#REF!</definedName>
    <definedName name="Act14_COE_TPlant" localSheetId="9">'WS7-IMEU'!#REF!</definedName>
    <definedName name="Act14_COE_TransAccumDepr" localSheetId="2">#REF!</definedName>
    <definedName name="Act14_COE_TransAccumDepr" localSheetId="8">'WS6-AI Detail'!#REF!</definedName>
    <definedName name="Act14_COE_TransAccumDepr" localSheetId="9">'WS7-IMEU'!#REF!</definedName>
    <definedName name="Act14_ControlAreaLoad" localSheetId="2">#REF!</definedName>
    <definedName name="Act14_ControlAreaLoad" localSheetId="8">'WS6-AI Detail'!#REF!</definedName>
    <definedName name="Act14_ControlAreaLoad" localSheetId="9">'WS7-IMEU'!#REF!</definedName>
    <definedName name="Act14_Credit_Acct454" localSheetId="2">#REF!</definedName>
    <definedName name="Act14_Credit_Acct454" localSheetId="8">'WS6-AI Detail'!#REF!</definedName>
    <definedName name="Act14_Credit_Acct454" localSheetId="9">'WS7-IMEU'!#REF!</definedName>
    <definedName name="Act14_Credit_ExstRev" localSheetId="2">#REF!</definedName>
    <definedName name="Act14_Credit_ExstRev" localSheetId="8">'WS6-AI Detail'!#REF!</definedName>
    <definedName name="Act14_Credit_ExstRev" localSheetId="9">'WS7-IMEU'!#REF!</definedName>
    <definedName name="Act14_Credit_NFPTP" localSheetId="2">#REF!</definedName>
    <definedName name="Act14_Credit_NFPTP" localSheetId="8">'WS6-AI Detail'!#REF!</definedName>
    <definedName name="Act14_Credit_NFPTP" localSheetId="9">'WS7-IMEU'!#REF!</definedName>
    <definedName name="Act14_Credit_SSCD" localSheetId="2">#REF!</definedName>
    <definedName name="Act14_Credit_SSCD" localSheetId="8">'WS6-AI Detail'!#REF!</definedName>
    <definedName name="Act14_Credit_SSCD" localSheetId="9">'WS7-IMEU'!#REF!</definedName>
    <definedName name="Act14_Credit_STPTP" localSheetId="2">#REF!</definedName>
    <definedName name="Act14_Credit_STPTP" localSheetId="8">'WS6-AI Detail'!#REF!</definedName>
    <definedName name="Act14_Credit_STPTP" localSheetId="9">'WS7-IMEU'!#REF!</definedName>
    <definedName name="Act14_GenAG" localSheetId="2">#REF!</definedName>
    <definedName name="Act14_GenAG" localSheetId="8">'WS6-AI Detail'!#REF!</definedName>
    <definedName name="Act14_GenAG" localSheetId="9">'WS7-IMEU'!#REF!</definedName>
    <definedName name="Act14_GenCompRate" localSheetId="2">#REF!</definedName>
    <definedName name="Act14_GenCompRate" localSheetId="8">'WS6-AI Detail'!#REF!</definedName>
    <definedName name="Act14_GenCompRate" localSheetId="9">'WS7-IMEU'!#REF!</definedName>
    <definedName name="Act14_GenDepr" localSheetId="2">#REF!</definedName>
    <definedName name="Act14_GenDepr" localSheetId="8">'WS6-AI Detail'!#REF!</definedName>
    <definedName name="Act14_GenDepr" localSheetId="9">'WS7-IMEU'!#REF!</definedName>
    <definedName name="Act14_GenOM" localSheetId="2">#REF!</definedName>
    <definedName name="Act14_GenOM" localSheetId="8">'WS6-AI Detail'!#REF!</definedName>
    <definedName name="Act14_GenOM" localSheetId="9">'WS7-IMEU'!#REF!</definedName>
    <definedName name="Act14_GenPlant" localSheetId="2">#REF!</definedName>
    <definedName name="Act14_GenPlant" localSheetId="8">'WS6-AI Detail'!#REF!</definedName>
    <definedName name="Act14_GenPlant" localSheetId="9">'WS7-IMEU'!#REF!</definedName>
    <definedName name="Act14_MaxControlAreaLoad" localSheetId="2">#REF!</definedName>
    <definedName name="Act14_MaxControlAreaLoad" localSheetId="8">'WS6-AI Detail'!#REF!</definedName>
    <definedName name="Act14_MaxControlAreaLoad" localSheetId="9">'WS7-IMEU'!#REF!</definedName>
    <definedName name="Act14_MaxGenControlArea" localSheetId="2">#REF!</definedName>
    <definedName name="Act14_MaxGenControlArea" localSheetId="8">'WS6-AI Detail'!#REF!</definedName>
    <definedName name="Act14_MaxGenControlArea" localSheetId="9">'WS7-IMEU'!#REF!</definedName>
    <definedName name="Act14_RateLoadControlArea" localSheetId="2">#REF!</definedName>
    <definedName name="Act14_RateLoadControlArea" localSheetId="8">'WS6-AI Detail'!#REF!</definedName>
    <definedName name="Act14_RateLoadControlArea" localSheetId="9">'WS7-IMEU'!#REF!</definedName>
    <definedName name="Act14_RegRateRevRqmt" localSheetId="2">#REF!</definedName>
    <definedName name="Act14_RegRateRevRqmt" localSheetId="8">'WS6-AI Detail'!#REF!</definedName>
    <definedName name="Act14_RegRateRevRqmt" localSheetId="9">'WS7-IMEU'!#REF!</definedName>
    <definedName name="Act14_RMR_1411" localSheetId="2">#REF!</definedName>
    <definedName name="Act14_RMR_1411" localSheetId="8">'WS6-AI Detail'!#REF!</definedName>
    <definedName name="Act14_RMR_1411" localSheetId="9">'WS7-IMEU'!#REF!</definedName>
    <definedName name="Act14_RMR_1412" localSheetId="2">#REF!</definedName>
    <definedName name="Act14_RMR_1412" localSheetId="8">'WS6-AI Detail'!#REF!</definedName>
    <definedName name="Act14_RMR_1412" localSheetId="9">'WS7-IMEU'!#REF!</definedName>
    <definedName name="Act14_RMR_1415" localSheetId="2">#REF!</definedName>
    <definedName name="Act14_RMR_1415" localSheetId="8">'WS6-AI Detail'!#REF!</definedName>
    <definedName name="Act14_RMR_1415" localSheetId="9">'WS7-IMEU'!#REF!</definedName>
    <definedName name="Act14_RMR_1416" localSheetId="2">#REF!</definedName>
    <definedName name="Act14_RMR_1416" localSheetId="8">'WS6-AI Detail'!#REF!</definedName>
    <definedName name="Act14_RMR_1416" localSheetId="9">'WS7-IMEU'!#REF!</definedName>
    <definedName name="Act14_RMR_1421" localSheetId="2">#REF!</definedName>
    <definedName name="Act14_RMR_1421" localSheetId="8">'WS6-AI Detail'!#REF!</definedName>
    <definedName name="Act14_RMR_1421" localSheetId="9">'WS7-IMEU'!#REF!</definedName>
    <definedName name="Act14_RMR_1422" localSheetId="2">#REF!</definedName>
    <definedName name="Act14_RMR_1422" localSheetId="8">'WS6-AI Detail'!#REF!</definedName>
    <definedName name="Act14_RMR_1422" localSheetId="9">'WS7-IMEU'!#REF!</definedName>
    <definedName name="Act14_RMR_1425" localSheetId="2">#REF!</definedName>
    <definedName name="Act14_RMR_1425" localSheetId="8">'WS6-AI Detail'!#REF!</definedName>
    <definedName name="Act14_RMR_1425" localSheetId="9">'WS7-IMEU'!#REF!</definedName>
    <definedName name="Act14_RMR_1426" localSheetId="2">#REF!</definedName>
    <definedName name="Act14_RMR_1426" localSheetId="8">'WS6-AI Detail'!#REF!</definedName>
    <definedName name="Act14_RMR_1426" localSheetId="9">'WS7-IMEU'!#REF!</definedName>
    <definedName name="Act14_RMR_1431" localSheetId="2">#REF!</definedName>
    <definedName name="Act14_RMR_1431" localSheetId="8">'WS6-AI Detail'!#REF!</definedName>
    <definedName name="Act14_RMR_1431" localSheetId="9">'WS7-IMEU'!#REF!</definedName>
    <definedName name="Act14_RMR_1432" localSheetId="2">#REF!</definedName>
    <definedName name="Act14_RMR_1432" localSheetId="8">'WS6-AI Detail'!#REF!</definedName>
    <definedName name="Act14_RMR_1432" localSheetId="9">'WS7-IMEU'!#REF!</definedName>
    <definedName name="Act14_RMR_1441" localSheetId="2">#REF!</definedName>
    <definedName name="Act14_RMR_1441" localSheetId="8">'WS6-AI Detail'!#REF!</definedName>
    <definedName name="Act14_RMR_1441" localSheetId="9">'WS7-IMEU'!#REF!</definedName>
    <definedName name="Act14_RMR_1442" localSheetId="2">#REF!</definedName>
    <definedName name="Act14_RMR_1442" localSheetId="8">'WS6-AI Detail'!#REF!</definedName>
    <definedName name="Act14_RMR_1442" localSheetId="9">'WS7-IMEU'!#REF!</definedName>
    <definedName name="Act14_RMR_AccumDepr" localSheetId="2">#REF!</definedName>
    <definedName name="Act14_RMR_AccumDepr" localSheetId="8">'WS6-AI Detail'!#REF!</definedName>
    <definedName name="Act14_RMR_AccumDepr" localSheetId="9">'WS7-IMEU'!#REF!</definedName>
    <definedName name="Act14_RMR_AGExp" localSheetId="2">#REF!</definedName>
    <definedName name="Act14_RMR_AGExp" localSheetId="8">'WS6-AI Detail'!#REF!</definedName>
    <definedName name="Act14_RMR_AGExp" localSheetId="9">'WS7-IMEU'!#REF!</definedName>
    <definedName name="Act14_RMR_CME" localSheetId="2">#REF!</definedName>
    <definedName name="Act14_RMR_CME" localSheetId="8">'WS6-AI Detail'!#REF!</definedName>
    <definedName name="Act14_RMR_CME" localSheetId="9">'WS7-IMEU'!#REF!</definedName>
    <definedName name="Act14_RMR_DeprExp" localSheetId="2">#REF!</definedName>
    <definedName name="Act14_RMR_DeprExp" localSheetId="8">'WS6-AI Detail'!#REF!</definedName>
    <definedName name="Act14_RMR_DeprExp" localSheetId="9">'WS7-IMEU'!#REF!</definedName>
    <definedName name="Act14_RMR_DispofAssets" localSheetId="2">#REF!</definedName>
    <definedName name="Act14_RMR_DispofAssets" localSheetId="8">'WS6-AI Detail'!#REF!</definedName>
    <definedName name="Act14_RMR_DispofAssets" localSheetId="9">'WS7-IMEU'!#REF!</definedName>
    <definedName name="Act14_RMR_LTDebt" localSheetId="2">#REF!</definedName>
    <definedName name="Act14_RMR_LTDebt" localSheetId="8">'WS6-AI Detail'!#REF!</definedName>
    <definedName name="Act14_RMR_LTDebt" localSheetId="9">'WS7-IMEU'!#REF!</definedName>
    <definedName name="Act14_RMR_LTInt" localSheetId="2">#REF!</definedName>
    <definedName name="Act14_RMR_LTInt" localSheetId="8">'WS6-AI Detail'!#REF!</definedName>
    <definedName name="Act14_RMR_LTInt" localSheetId="9">'WS7-IMEU'!#REF!</definedName>
    <definedName name="Act14_RMR_MOVP_Depr" localSheetId="2">#REF!</definedName>
    <definedName name="Act14_RMR_MOVP_Depr" localSheetId="8">'WS6-AI Detail'!#REF!</definedName>
    <definedName name="Act14_RMR_MOVP_Depr" localSheetId="9">'WS7-IMEU'!#REF!</definedName>
    <definedName name="Act14_RMR_OM" localSheetId="2">#REF!</definedName>
    <definedName name="Act14_RMR_OM" localSheetId="8">'WS6-AI Detail'!#REF!</definedName>
    <definedName name="Act14_RMR_OM" localSheetId="9">'WS7-IMEU'!#REF!</definedName>
    <definedName name="Act14_RMR_Other_Power_Exp" localSheetId="2">#REF!</definedName>
    <definedName name="Act14_RMR_Other_Power_Exp" localSheetId="8">'WS6-AI Detail'!#REF!</definedName>
    <definedName name="Act14_RMR_Other_Power_Exp" localSheetId="9">'WS7-IMEU'!#REF!</definedName>
    <definedName name="Act14_RMR_Plant" localSheetId="2">#REF!</definedName>
    <definedName name="Act14_RMR_Plant" localSheetId="8">'WS6-AI Detail'!#REF!</definedName>
    <definedName name="Act14_RMR_Plant" localSheetId="9">'WS7-IMEU'!#REF!</definedName>
    <definedName name="Act14_RMR_Total_OM" localSheetId="2">#REF!</definedName>
    <definedName name="Act14_RMR_Total_OM" localSheetId="8">'WS6-AI Detail'!#REF!</definedName>
    <definedName name="Act14_RMR_Total_OM" localSheetId="9">'WS7-IMEU'!#REF!</definedName>
    <definedName name="Act14_RMR_Total_OpExp" localSheetId="2">#REF!</definedName>
    <definedName name="Act14_RMR_Total_OpExp" localSheetId="8">'WS6-AI Detail'!#REF!</definedName>
    <definedName name="Act14_RMR_Total_OpExp" localSheetId="9">'WS7-IMEU'!#REF!</definedName>
    <definedName name="Act14_RMR_TPlant" localSheetId="2">#REF!</definedName>
    <definedName name="Act14_RMR_TPlant" localSheetId="8">'WS6-AI Detail'!#REF!</definedName>
    <definedName name="Act14_RMR_TPlant" localSheetId="9">'WS7-IMEU'!#REF!</definedName>
    <definedName name="Act14_RMR_TransAccumDepr" localSheetId="2">#REF!</definedName>
    <definedName name="Act14_RMR_TransAccumDepr" localSheetId="8">'WS6-AI Detail'!#REF!</definedName>
    <definedName name="Act14_RMR_TransAccumDepr" localSheetId="9">'WS7-IMEU'!#REF!</definedName>
    <definedName name="Act14_RMR_Warehouse_Stores" localSheetId="2">#REF!</definedName>
    <definedName name="Act14_RMR_Warehouse_Stores" localSheetId="8">'WS6-AI Detail'!#REF!</definedName>
    <definedName name="Act14_RMR_Warehouse_Stores" localSheetId="9">'WS7-IMEU'!#REF!</definedName>
    <definedName name="Act14_TotalTransPlant" localSheetId="2">#REF!</definedName>
    <definedName name="Act14_TotalTransPlant" localSheetId="8">'WS6-AI Detail'!#REF!</definedName>
    <definedName name="Act14_TotalTransPlant" localSheetId="9">'WS7-IMEU'!#REF!</definedName>
    <definedName name="Act14_TransAG" localSheetId="2">#REF!</definedName>
    <definedName name="Act14_TransAG" localSheetId="8">'WS6-AI Detail'!#REF!</definedName>
    <definedName name="Act14_TransAG" localSheetId="9">'WS7-IMEU'!#REF!</definedName>
    <definedName name="Act14_TransCompRate" localSheetId="2">#REF!</definedName>
    <definedName name="Act14_TransCompRate" localSheetId="8">'WS6-AI Detail'!#REF!</definedName>
    <definedName name="Act14_TransCompRate" localSheetId="9">'WS7-IMEU'!#REF!</definedName>
    <definedName name="Act14_TransDepr" localSheetId="2">#REF!</definedName>
    <definedName name="Act14_TransDepr" localSheetId="8">'WS6-AI Detail'!#REF!</definedName>
    <definedName name="Act14_TransDepr" localSheetId="9">'WS7-IMEU'!#REF!</definedName>
    <definedName name="Act14_TransOM" localSheetId="2">#REF!</definedName>
    <definedName name="Act14_TransOM" localSheetId="8">'WS6-AI Detail'!#REF!</definedName>
    <definedName name="Act14_TransOM" localSheetId="9">'WS7-IMEU'!#REF!</definedName>
    <definedName name="Act14_TransPlant" localSheetId="2">#REF!</definedName>
    <definedName name="Act14_TransPlant" localSheetId="8">'WS6-AI Detail'!#REF!</definedName>
    <definedName name="Act14_TransPlant" localSheetId="9">'WS7-IMEU'!#REF!</definedName>
    <definedName name="Act15_BxPS_BEFP_Additions" localSheetId="2">#REF!</definedName>
    <definedName name="Act15_BxPS_BEFP_Additions" localSheetId="8">'WS6-AI Detail'!#REF!</definedName>
    <definedName name="Act15_BxPS_BEFP_Additions" localSheetId="9">'WS7-IMEU'!#REF!</definedName>
    <definedName name="Act15_BxPS_BEFP_AdjTrans" localSheetId="2">#REF!</definedName>
    <definedName name="Act15_BxPS_BEFP_AdjTrans" localSheetId="8">'WS6-AI Detail'!#REF!</definedName>
    <definedName name="Act15_BxPS_BEFP_AdjTrans" localSheetId="9">'WS7-IMEU'!#REF!</definedName>
    <definedName name="Act15_BxPS_BEFP_AGExp" localSheetId="2">#REF!</definedName>
    <definedName name="Act15_BxPS_BEFP_AGExp" localSheetId="8">'WS6-AI Detail'!#REF!</definedName>
    <definedName name="Act15_BxPS_BEFP_AGExp" localSheetId="9">'WS7-IMEU'!#REF!</definedName>
    <definedName name="Act15_BxPS_BEFP_CME" localSheetId="2">#REF!</definedName>
    <definedName name="Act15_BxPS_BEFP_CME" localSheetId="8">'WS6-AI Detail'!#REF!</definedName>
    <definedName name="Act15_BxPS_BEFP_CME" localSheetId="9">'WS7-IMEU'!#REF!</definedName>
    <definedName name="Act15_BxPS_BEFP_OtherPowerExp" localSheetId="2">#REF!</definedName>
    <definedName name="Act15_BxPS_BEFP_OtherPowerExp" localSheetId="8">'WS6-AI Detail'!#REF!</definedName>
    <definedName name="Act15_BxPS_BEFP_OtherPowerExp" localSheetId="9">'WS7-IMEU'!#REF!</definedName>
    <definedName name="Act15_BxPS_BEFP_Plant" localSheetId="2">#REF!</definedName>
    <definedName name="Act15_BxPS_BEFP_Plant" localSheetId="8">'WS6-AI Detail'!#REF!</definedName>
    <definedName name="Act15_BxPS_BEFP_Plant" localSheetId="9">'WS7-IMEU'!#REF!</definedName>
    <definedName name="Act15_BxPS_BEFP_PY_Adj" localSheetId="2">#REF!</definedName>
    <definedName name="Act15_BxPS_BEFP_PY_Adj" localSheetId="8">'WS6-AI Detail'!#REF!</definedName>
    <definedName name="Act15_BxPS_BEFP_PY_Adj" localSheetId="9">'WS7-IMEU'!#REF!</definedName>
    <definedName name="Act15_BxPS_BEFP_Repl" localSheetId="2">#REF!</definedName>
    <definedName name="Act15_BxPS_BEFP_Repl" localSheetId="8">'WS6-AI Detail'!#REF!</definedName>
    <definedName name="Act15_BxPS_BEFP_Repl" localSheetId="9">'WS7-IMEU'!#REF!</definedName>
    <definedName name="Act15_BxPS_BEFP_Retr" localSheetId="2">#REF!</definedName>
    <definedName name="Act15_BxPS_BEFP_Retr" localSheetId="8">'WS6-AI Detail'!#REF!</definedName>
    <definedName name="Act15_BxPS_BEFP_Retr" localSheetId="9">'WS7-IMEU'!#REF!</definedName>
    <definedName name="Act15_BxPS_BEFP_TotalOpExpense" localSheetId="2">#REF!</definedName>
    <definedName name="Act15_BxPS_BEFP_TotalOpExpense" localSheetId="8">'WS6-AI Detail'!#REF!</definedName>
    <definedName name="Act15_BxPS_BEFP_TotalOpExpense" localSheetId="9">'WS7-IMEU'!#REF!</definedName>
    <definedName name="Act15_BxPS_BEFP_Warehouse_Stores" localSheetId="2">#REF!</definedName>
    <definedName name="Act15_BxPS_BEFP_Warehouse_Stores" localSheetId="8">'WS6-AI Detail'!#REF!</definedName>
    <definedName name="Act15_BxPS_BEFP_Warehouse_Stores" localSheetId="9">'WS7-IMEU'!#REF!</definedName>
    <definedName name="Act15_RMR_AGExp" localSheetId="2">#REF!</definedName>
    <definedName name="Act15_RMR_AGExp" localSheetId="8">'WS6-AI Detail'!#REF!</definedName>
    <definedName name="Act15_RMR_AGExp" localSheetId="9">'WS7-IMEU'!#REF!</definedName>
    <definedName name="Act15_RMR_CME" localSheetId="2">#REF!</definedName>
    <definedName name="Act15_RMR_CME" localSheetId="8">'WS6-AI Detail'!#REF!</definedName>
    <definedName name="Act15_RMR_CME" localSheetId="9">'WS7-IMEU'!#REF!</definedName>
    <definedName name="Act15_RMR_Other_Power_Exp" localSheetId="2">#REF!</definedName>
    <definedName name="Act15_RMR_Other_Power_Exp" localSheetId="8">'WS6-AI Detail'!#REF!</definedName>
    <definedName name="Act15_RMR_Other_Power_Exp" localSheetId="9">'WS7-IMEU'!#REF!</definedName>
    <definedName name="Act15_RMR_Plant" localSheetId="2">#REF!</definedName>
    <definedName name="Act15_RMR_Plant" localSheetId="8">'WS6-AI Detail'!#REF!</definedName>
    <definedName name="Act15_RMR_Plant" localSheetId="9">'WS7-IMEU'!#REF!</definedName>
    <definedName name="Act15_RMR_Total_OpExp" localSheetId="2">#REF!</definedName>
    <definedName name="Act15_RMR_Total_OpExp" localSheetId="8">'WS6-AI Detail'!#REF!</definedName>
    <definedName name="Act15_RMR_Total_OpExp" localSheetId="9">'WS7-IMEU'!#REF!</definedName>
    <definedName name="Act15_RMR_Warehouse_Stores" localSheetId="2">#REF!</definedName>
    <definedName name="Act15_RMR_Warehouse_Stores" localSheetId="8">'WS6-AI Detail'!#REF!</definedName>
    <definedName name="Act15_RMR_Warehouse_Stores" localSheetId="9">'WS7-IMEU'!#REF!</definedName>
    <definedName name="CUSTAR" localSheetId="0">#REF!</definedName>
    <definedName name="CUSTAR" localSheetId="3">'WS1-ATRR RateBase'!#REF!</definedName>
    <definedName name="CUSTAR" localSheetId="4">#REF!</definedName>
    <definedName name="CUSTAR" localSheetId="8">#REF!</definedName>
    <definedName name="CUSTAR" localSheetId="9">#REF!</definedName>
    <definedName name="Custar1" localSheetId="0">#REF!</definedName>
    <definedName name="Custar1" localSheetId="3">'WS1-ATRR RateBase'!#REF!</definedName>
    <definedName name="Custar1" localSheetId="4">#REF!</definedName>
    <definedName name="Custar1" localSheetId="8">#REF!</definedName>
    <definedName name="Custar1" localSheetId="9">#REF!</definedName>
    <definedName name="CUYAHOGA_FALLS" localSheetId="0">#REF!</definedName>
    <definedName name="CUYAHOGA_FALLS" localSheetId="3">'WS1-ATRR RateBase'!#REF!</definedName>
    <definedName name="CUYAHOGA_FALLS" localSheetId="4">#REF!</definedName>
    <definedName name="CUYAHOGA_FALLS" localSheetId="8">#REF!</definedName>
    <definedName name="CUYAHOGA_FALLS" localSheetId="9">#REF!</definedName>
    <definedName name="DETERMINATION_OF_PICK_SLOAN_MISSOURI_BASIN_PROGRAM__EASTERN_DIVISION" localSheetId="0">#REF!</definedName>
    <definedName name="DETERMINATION_OF_PICK_SLOAN_MISSOURI_BASIN_PROGRAM__EASTERN_DIVISION" localSheetId="3">'WS1-ATRR RateBase'!#REF!</definedName>
    <definedName name="DETERMINATION_OF_PICK_SLOAN_MISSOURI_BASIN_PROGRAM__EASTERN_DIVISION" localSheetId="4">#REF!</definedName>
    <definedName name="DETERMINATION_OF_PICK_SLOAN_MISSOURI_BASIN_PROGRAM__EASTERN_DIVISION" localSheetId="8">#REF!</definedName>
    <definedName name="DETERMINATION_OF_PICK_SLOAN_MISSOURI_BASIN_PROGRAM__EASTERN_DIVISION" localSheetId="9">#REF!</definedName>
    <definedName name="EDGERTON" localSheetId="0">#REF!</definedName>
    <definedName name="EDGERTON" localSheetId="3">'WS1-ATRR RateBase'!#REF!</definedName>
    <definedName name="EDGERTON" localSheetId="4">#REF!</definedName>
    <definedName name="EDGERTON" localSheetId="8">#REF!</definedName>
    <definedName name="EDGERTON" localSheetId="9">#REF!</definedName>
    <definedName name="Ellwood_City" localSheetId="0">#REF!</definedName>
    <definedName name="Ellwood_City" localSheetId="3">'WS1-ATRR RateBase'!#REF!</definedName>
    <definedName name="Ellwood_City" localSheetId="4">#REF!</definedName>
    <definedName name="Ellwood_City" localSheetId="8">#REF!</definedName>
    <definedName name="Ellwood_City" localSheetId="9">#REF!</definedName>
    <definedName name="ELMORE" localSheetId="0">#REF!</definedName>
    <definedName name="ELMORE" localSheetId="3">'WS1-ATRR RateBase'!#REF!</definedName>
    <definedName name="ELMORE" localSheetId="4">#REF!</definedName>
    <definedName name="ELMORE" localSheetId="8">#REF!</definedName>
    <definedName name="ELMORE" localSheetId="9">#REF!</definedName>
    <definedName name="Est16_BOR_AccumDepr" localSheetId="2">#REF!</definedName>
    <definedName name="Est16_BOR_AccumDepr" localSheetId="8">'WS6-AI Detail'!#REF!</definedName>
    <definedName name="Est16_BOR_AccumDepr" localSheetId="9">'WS7-IMEU'!#REF!</definedName>
    <definedName name="Est16_BOR_DeprExp" localSheetId="2">#REF!</definedName>
    <definedName name="Est16_BOR_DeprExp" localSheetId="8">'WS6-AI Detail'!#REF!</definedName>
    <definedName name="Est16_BOR_DeprExp" localSheetId="9">'WS7-IMEU'!#REF!</definedName>
    <definedName name="Est16_BOR_LTDebt" localSheetId="2">#REF!</definedName>
    <definedName name="Est16_BOR_LTDebt" localSheetId="8">'WS6-AI Detail'!#REF!</definedName>
    <definedName name="Est16_BOR_LTDebt" localSheetId="9">'WS7-IMEU'!#REF!</definedName>
    <definedName name="Est16_BOR_LTInt" localSheetId="2">#REF!</definedName>
    <definedName name="Est16_BOR_LTInt" localSheetId="8">'WS6-AI Detail'!#REF!</definedName>
    <definedName name="Est16_BOR_LTInt" localSheetId="9">'WS7-IMEU'!#REF!</definedName>
    <definedName name="Est16_BOR_OM" localSheetId="2">#REF!</definedName>
    <definedName name="Est16_BOR_OM" localSheetId="8">'WS6-AI Detail'!#REF!</definedName>
    <definedName name="Est16_BOR_OM" localSheetId="9">'WS7-IMEU'!#REF!</definedName>
    <definedName name="Est16_BOR_Plant" localSheetId="2">#REF!</definedName>
    <definedName name="Est16_BOR_Plant" localSheetId="8">'WS6-AI Detail'!#REF!</definedName>
    <definedName name="Est16_BOR_Plant" localSheetId="9">'WS7-IMEU'!#REF!</definedName>
    <definedName name="Est16_BxPS_BEFP_AccumDepr" localSheetId="2">#REF!</definedName>
    <definedName name="Est16_BxPS_BEFP_AccumDepr" localSheetId="8">'WS6-AI Detail'!#REF!</definedName>
    <definedName name="Est16_BxPS_BEFP_AccumDepr" localSheetId="9">'WS7-IMEU'!#REF!</definedName>
    <definedName name="Est16_BxPS_BEFP_AGExp" localSheetId="2">#REF!</definedName>
    <definedName name="Est16_BxPS_BEFP_AGExp" localSheetId="8">'WS6-AI Detail'!#REF!</definedName>
    <definedName name="Est16_BxPS_BEFP_AGExp" localSheetId="9">'WS7-IMEU'!#REF!</definedName>
    <definedName name="Est16_BxPS_BEFP_CME" localSheetId="2">#REF!</definedName>
    <definedName name="Est16_BxPS_BEFP_CME" localSheetId="8">'WS6-AI Detail'!#REF!</definedName>
    <definedName name="Est16_BxPS_BEFP_CME" localSheetId="9">'WS7-IMEU'!#REF!</definedName>
    <definedName name="Est16_BxPS_BEFP_DepMOVP" localSheetId="2">#REF!</definedName>
    <definedName name="Est16_BxPS_BEFP_DepMOVP" localSheetId="8">'WS6-AI Detail'!#REF!</definedName>
    <definedName name="Est16_BxPS_BEFP_DepMOVP" localSheetId="9">'WS7-IMEU'!#REF!</definedName>
    <definedName name="Est16_BxPS_BEFP_DeprExp" localSheetId="2">#REF!</definedName>
    <definedName name="Est16_BxPS_BEFP_DeprExp" localSheetId="8">'WS6-AI Detail'!#REF!</definedName>
    <definedName name="Est16_BxPS_BEFP_DeprExp" localSheetId="9">'WS7-IMEU'!#REF!</definedName>
    <definedName name="Est16_BxPS_BEFP_DispofAssets" localSheetId="2">#REF!</definedName>
    <definedName name="Est16_BxPS_BEFP_DispofAssets" localSheetId="8">'WS6-AI Detail'!#REF!</definedName>
    <definedName name="Est16_BxPS_BEFP_DispofAssets" localSheetId="9">'WS7-IMEU'!#REF!</definedName>
    <definedName name="Est16_BxPS_BEFP_GenAccumDepr" localSheetId="2">#REF!</definedName>
    <definedName name="Est16_BxPS_BEFP_GenAccumDepr" localSheetId="8">'WS6-AI Detail'!#REF!</definedName>
    <definedName name="Est16_BxPS_BEFP_GenAccumDepr" localSheetId="9">'WS7-IMEU'!#REF!</definedName>
    <definedName name="Est16_BxPS_BEFP_GenPlant" localSheetId="2">#REF!</definedName>
    <definedName name="Est16_BxPS_BEFP_GenPlant" localSheetId="8">'WS6-AI Detail'!#REF!</definedName>
    <definedName name="Est16_BxPS_BEFP_GenPlant" localSheetId="9">'WS7-IMEU'!#REF!</definedName>
    <definedName name="Est16_BxPS_BEFP_LTDebt" localSheetId="2">#REF!</definedName>
    <definedName name="Est16_BxPS_BEFP_LTDebt" localSheetId="8">'WS6-AI Detail'!#REF!</definedName>
    <definedName name="Est16_BxPS_BEFP_LTDebt" localSheetId="9">'WS7-IMEU'!#REF!</definedName>
    <definedName name="Est16_BxPS_BEFP_LTInt" localSheetId="2">#REF!</definedName>
    <definedName name="Est16_BxPS_BEFP_LTInt" localSheetId="8">'WS6-AI Detail'!#REF!</definedName>
    <definedName name="Est16_BxPS_BEFP_LTInt" localSheetId="9">'WS7-IMEU'!#REF!</definedName>
    <definedName name="Est16_BxPS_BEFP_Plant" localSheetId="2">#REF!</definedName>
    <definedName name="Est16_BxPS_BEFP_Plant" localSheetId="8">'WS6-AI Detail'!#REF!</definedName>
    <definedName name="Est16_BxPS_BEFP_Plant" localSheetId="9">'WS7-IMEU'!#REF!</definedName>
    <definedName name="Est16_BxPS_BEFP_SSCD_OpExp" localSheetId="2">#REF!</definedName>
    <definedName name="Est16_BxPS_BEFP_SSCD_OpExp" localSheetId="8">'WS6-AI Detail'!#REF!</definedName>
    <definedName name="Est16_BxPS_BEFP_SSCD_OpExp" localSheetId="9">'WS7-IMEU'!#REF!</definedName>
    <definedName name="Est16_BxPS_BEFP_SSCDAllocator" localSheetId="2">#REF!</definedName>
    <definedName name="Est16_BxPS_BEFP_SSCDAllocator" localSheetId="8">'WS6-AI Detail'!#REF!</definedName>
    <definedName name="Est16_BxPS_BEFP_SSCDAllocator" localSheetId="9">'WS7-IMEU'!#REF!</definedName>
    <definedName name="Est16_BxPS_BEFP_SSCDPlant" localSheetId="2">#REF!</definedName>
    <definedName name="Est16_BxPS_BEFP_SSCDPlant" localSheetId="8">'WS6-AI Detail'!#REF!</definedName>
    <definedName name="Est16_BxPS_BEFP_SSCDPlant" localSheetId="9">'WS7-IMEU'!#REF!</definedName>
    <definedName name="Est16_BxPS_BEFP_TotalOM" localSheetId="2">#REF!</definedName>
    <definedName name="Est16_BxPS_BEFP_TotalOM" localSheetId="8">'WS6-AI Detail'!#REF!</definedName>
    <definedName name="Est16_BxPS_BEFP_TotalOM" localSheetId="9">'WS7-IMEU'!#REF!</definedName>
    <definedName name="Est16_BxPS_BEFP_TPlant" localSheetId="2">#REF!</definedName>
    <definedName name="Est16_BxPS_BEFP_TPlant" localSheetId="8">'WS6-AI Detail'!#REF!</definedName>
    <definedName name="Est16_BxPS_BEFP_TPlant" localSheetId="9">'WS7-IMEU'!#REF!</definedName>
    <definedName name="Est16_BxPS_BEFP_TransAccumDepr" localSheetId="2">#REF!</definedName>
    <definedName name="Est16_BxPS_BEFP_TransAccumDepr" localSheetId="8">'WS6-AI Detail'!#REF!</definedName>
    <definedName name="Est16_BxPS_BEFP_TransAccumDepr" localSheetId="9">'WS7-IMEU'!#REF!</definedName>
    <definedName name="Est16_BxPS_BEFP_WageSalary" localSheetId="2">#REF!</definedName>
    <definedName name="Est16_BxPS_BEFP_WageSalary" localSheetId="8">'WS6-AI Detail'!#REF!</definedName>
    <definedName name="Est16_BxPS_BEFP_WageSalary" localSheetId="9">'WS7-IMEU'!#REF!</definedName>
    <definedName name="Est16_BxPS_BEFP_Warehouse_Stores" localSheetId="2">#REF!</definedName>
    <definedName name="Est16_BxPS_BEFP_Warehouse_Stores" localSheetId="8">'WS6-AI Detail'!#REF!</definedName>
    <definedName name="Est16_BxPS_BEFP_Warehouse_Stores" localSheetId="9">'WS7-IMEU'!#REF!</definedName>
    <definedName name="Est16_BXPS_OM" localSheetId="2">#REF!</definedName>
    <definedName name="Est16_BXPS_OM" localSheetId="8">'WS6-AI Detail'!#REF!</definedName>
    <definedName name="Est16_BXPS_OM" localSheetId="9">'WS7-IMEU'!#REF!</definedName>
    <definedName name="Est16_COE_AccumDepr" localSheetId="2">#REF!</definedName>
    <definedName name="Est16_COE_AccumDepr" localSheetId="8">'WS6-AI Detail'!#REF!</definedName>
    <definedName name="Est16_COE_AccumDepr" localSheetId="9">'WS7-IMEU'!#REF!</definedName>
    <definedName name="Est16_COE_AG" localSheetId="2">#REF!</definedName>
    <definedName name="Est16_COE_AG" localSheetId="8">'WS6-AI Detail'!#REF!</definedName>
    <definedName name="Est16_COE_AG" localSheetId="9">'WS7-IMEU'!#REF!</definedName>
    <definedName name="Est16_COE_DeprExp" localSheetId="2">#REF!</definedName>
    <definedName name="Est16_COE_DeprExp" localSheetId="8">'WS6-AI Detail'!#REF!</definedName>
    <definedName name="Est16_COE_DeprExp" localSheetId="9">'WS7-IMEU'!#REF!</definedName>
    <definedName name="Est16_COE_FixedChargeRate" localSheetId="2">#REF!</definedName>
    <definedName name="Est16_COE_FixedChargeRate" localSheetId="8">'WS6-AI Detail'!#REF!</definedName>
    <definedName name="Est16_COE_FixedChargeRate" localSheetId="9">'WS7-IMEU'!#REF!</definedName>
    <definedName name="Est16_COE_Gen" localSheetId="2">#REF!</definedName>
    <definedName name="Est16_COE_Gen" localSheetId="8">'WS6-AI Detail'!#REF!</definedName>
    <definedName name="Est16_COE_Gen" localSheetId="9">'WS7-IMEU'!#REF!</definedName>
    <definedName name="Est16_COE_GenAccumDepr" localSheetId="2">#REF!</definedName>
    <definedName name="Est16_COE_GenAccumDepr" localSheetId="8">'WS6-AI Detail'!#REF!</definedName>
    <definedName name="Est16_COE_GenAccumDepr" localSheetId="9">'WS7-IMEU'!#REF!</definedName>
    <definedName name="Est16_COE_GenDepr" localSheetId="2">#REF!</definedName>
    <definedName name="Est16_COE_GenDepr" localSheetId="8">'WS6-AI Detail'!#REF!</definedName>
    <definedName name="Est16_COE_GenDepr" localSheetId="9">'WS7-IMEU'!#REF!</definedName>
    <definedName name="Est16_COE_GenOM" localSheetId="2">#REF!</definedName>
    <definedName name="Est16_COE_GenOM" localSheetId="8">'WS6-AI Detail'!#REF!</definedName>
    <definedName name="Est16_COE_GenOM" localSheetId="9">'WS7-IMEU'!#REF!</definedName>
    <definedName name="Est16_COE_GenPlant" localSheetId="2">#REF!</definedName>
    <definedName name="Est16_COE_GenPlant" localSheetId="8">'WS6-AI Detail'!#REF!</definedName>
    <definedName name="Est16_COE_GenPlant" localSheetId="9">'WS7-IMEU'!#REF!</definedName>
    <definedName name="Est16_COE_LTDebt" localSheetId="2">#REF!</definedName>
    <definedName name="Est16_COE_LTDebt" localSheetId="8">'WS6-AI Detail'!#REF!</definedName>
    <definedName name="Est16_COE_LTDebt" localSheetId="9">'WS7-IMEU'!#REF!</definedName>
    <definedName name="Est16_COE_LTInt" localSheetId="2">#REF!</definedName>
    <definedName name="Est16_COE_LTInt" localSheetId="8">'WS6-AI Detail'!#REF!</definedName>
    <definedName name="Est16_COE_LTInt" localSheetId="9">'WS7-IMEU'!#REF!</definedName>
    <definedName name="Est16_COE_NetPlantInvest" localSheetId="2">#REF!</definedName>
    <definedName name="Est16_COE_NetPlantInvest" localSheetId="8">'WS6-AI Detail'!#REF!</definedName>
    <definedName name="Est16_COE_NetPlantInvest" localSheetId="9">'WS7-IMEU'!#REF!</definedName>
    <definedName name="Est16_COE_OM" localSheetId="2">#REF!</definedName>
    <definedName name="Est16_COE_OM" localSheetId="8">'WS6-AI Detail'!#REF!</definedName>
    <definedName name="Est16_COE_OM" localSheetId="9">'WS7-IMEU'!#REF!</definedName>
    <definedName name="Est16_COE_Plant" localSheetId="2">#REF!</definedName>
    <definedName name="Est16_COE_Plant" localSheetId="8">'WS6-AI Detail'!#REF!</definedName>
    <definedName name="Est16_COE_Plant" localSheetId="9">'WS7-IMEU'!#REF!</definedName>
    <definedName name="Est16_COE_TPlant" localSheetId="2">#REF!</definedName>
    <definedName name="Est16_COE_TPlant" localSheetId="8">'WS6-AI Detail'!#REF!</definedName>
    <definedName name="Est16_COE_TPlant" localSheetId="9">'WS7-IMEU'!#REF!</definedName>
    <definedName name="Est16_COE_TransAccumDepr" localSheetId="2">#REF!</definedName>
    <definedName name="Est16_COE_TransAccumDepr" localSheetId="8">'WS6-AI Detail'!#REF!</definedName>
    <definedName name="Est16_COE_TransAccumDepr" localSheetId="9">'WS7-IMEU'!#REF!</definedName>
    <definedName name="Est16_Credit_Acct454" localSheetId="2">#REF!</definedName>
    <definedName name="Est16_Credit_Acct454" localSheetId="8">'WS6-AI Detail'!#REF!</definedName>
    <definedName name="Est16_Credit_Acct454" localSheetId="9">'WS7-IMEU'!#REF!</definedName>
    <definedName name="Est16_Credit_ExstRev" localSheetId="2">#REF!</definedName>
    <definedName name="Est16_Credit_ExstRev" localSheetId="8">'WS6-AI Detail'!#REF!</definedName>
    <definedName name="Est16_Credit_ExstRev" localSheetId="9">'WS7-IMEU'!#REF!</definedName>
    <definedName name="Est16_Credit_NFPTP" localSheetId="2">#REF!</definedName>
    <definedName name="Est16_Credit_NFPTP" localSheetId="8">'WS6-AI Detail'!#REF!</definedName>
    <definedName name="Est16_Credit_NFPTP" localSheetId="9">'WS7-IMEU'!#REF!</definedName>
    <definedName name="Est16_Credit_STPTP" localSheetId="2">#REF!</definedName>
    <definedName name="Est16_Credit_STPTP" localSheetId="8">'WS6-AI Detail'!#REF!</definedName>
    <definedName name="Est16_Credit_STPTP" localSheetId="9">'WS7-IMEU'!#REF!</definedName>
    <definedName name="Est16_GenAG" localSheetId="2">#REF!</definedName>
    <definedName name="Est16_GenAG" localSheetId="8">'WS6-AI Detail'!#REF!</definedName>
    <definedName name="Est16_GenAG" localSheetId="9">'WS7-IMEU'!#REF!</definedName>
    <definedName name="Est16_GenCompRate" localSheetId="2">#REF!</definedName>
    <definedName name="Est16_GenCompRate" localSheetId="8">'WS6-AI Detail'!#REF!</definedName>
    <definedName name="Est16_GenCompRate" localSheetId="9">'WS7-IMEU'!#REF!</definedName>
    <definedName name="Est16_GenDepr" localSheetId="2">#REF!</definedName>
    <definedName name="Est16_GenDepr" localSheetId="8">'WS6-AI Detail'!#REF!</definedName>
    <definedName name="Est16_GenDepr" localSheetId="9">'WS7-IMEU'!#REF!</definedName>
    <definedName name="Est16_GenOM" localSheetId="2">#REF!</definedName>
    <definedName name="Est16_GenOM" localSheetId="8">'WS6-AI Detail'!#REF!</definedName>
    <definedName name="Est16_GenOM" localSheetId="9">'WS7-IMEU'!#REF!</definedName>
    <definedName name="Est16_GenPlant" localSheetId="2">#REF!</definedName>
    <definedName name="Est16_GenPlant" localSheetId="8">'WS6-AI Detail'!#REF!</definedName>
    <definedName name="Est16_GenPlant" localSheetId="9">'WS7-IMEU'!#REF!</definedName>
    <definedName name="Est16_PlantCapacity" localSheetId="2">#REF!</definedName>
    <definedName name="Est16_PlantCapacity" localSheetId="8">'WS6-AI Detail'!#REF!</definedName>
    <definedName name="Est16_PlantCapacity" localSheetId="9">'WS7-IMEU'!#REF!</definedName>
    <definedName name="Est16_RegCapacity" localSheetId="2">#REF!</definedName>
    <definedName name="Est16_RegCapacity" localSheetId="8">'WS6-AI Detail'!#REF!</definedName>
    <definedName name="Est16_RegCapacity" localSheetId="9">'WS7-IMEU'!#REF!</definedName>
    <definedName name="Est16_RMR_AccumDepr" localSheetId="2">#REF!</definedName>
    <definedName name="Est16_RMR_AccumDepr" localSheetId="8">'WS6-AI Detail'!#REF!</definedName>
    <definedName name="Est16_RMR_AccumDepr" localSheetId="9">'WS7-IMEU'!#REF!</definedName>
    <definedName name="Est16_RMR_AGExp" localSheetId="2">#REF!</definedName>
    <definedName name="Est16_RMR_AGExp" localSheetId="8">'WS6-AI Detail'!#REF!</definedName>
    <definedName name="Est16_RMR_AGExp" localSheetId="9">'WS7-IMEU'!#REF!</definedName>
    <definedName name="Est16_RMR_CME" localSheetId="2">#REF!</definedName>
    <definedName name="Est16_RMR_CME" localSheetId="8">'WS6-AI Detail'!#REF!</definedName>
    <definedName name="Est16_RMR_CME" localSheetId="9">'WS7-IMEU'!#REF!</definedName>
    <definedName name="Est16_RMR_DeprExp" localSheetId="2">#REF!</definedName>
    <definedName name="Est16_RMR_DeprExp" localSheetId="8">'WS6-AI Detail'!#REF!</definedName>
    <definedName name="Est16_RMR_DeprExp" localSheetId="9">'WS7-IMEU'!#REF!</definedName>
    <definedName name="Est16_RMR_LTDebt" localSheetId="2">#REF!</definedName>
    <definedName name="Est16_RMR_LTDebt" localSheetId="8">'WS6-AI Detail'!#REF!</definedName>
    <definedName name="Est16_RMR_LTDebt" localSheetId="9">'WS7-IMEU'!#REF!</definedName>
    <definedName name="Est16_RMR_LTInt" localSheetId="2">#REF!</definedName>
    <definedName name="Est16_RMR_LTInt" localSheetId="8">'WS6-AI Detail'!#REF!</definedName>
    <definedName name="Est16_RMR_LTInt" localSheetId="9">'WS7-IMEU'!#REF!</definedName>
    <definedName name="Est16_RMR_OM" localSheetId="2">#REF!</definedName>
    <definedName name="Est16_RMR_OM" localSheetId="8">'WS6-AI Detail'!#REF!</definedName>
    <definedName name="Est16_RMR_OM" localSheetId="9">'WS7-IMEU'!#REF!</definedName>
    <definedName name="Est16_RMR_Plant" localSheetId="2">#REF!</definedName>
    <definedName name="Est16_RMR_Plant" localSheetId="8">'WS6-AI Detail'!#REF!</definedName>
    <definedName name="Est16_RMR_Plant" localSheetId="9">'WS7-IMEU'!#REF!</definedName>
    <definedName name="Est16_RMR_Total_OM" localSheetId="2">#REF!</definedName>
    <definedName name="Est16_RMR_Total_OM" localSheetId="8">'WS6-AI Detail'!#REF!</definedName>
    <definedName name="Est16_RMR_Total_OM" localSheetId="9">'WS7-IMEU'!#REF!</definedName>
    <definedName name="Est16_RMR_TPlant" localSheetId="2">#REF!</definedName>
    <definedName name="Est16_RMR_TPlant" localSheetId="8">'WS6-AI Detail'!#REF!</definedName>
    <definedName name="Est16_RMR_TPlant" localSheetId="9">'WS7-IMEU'!#REF!</definedName>
    <definedName name="Est16_RMR_TransAccumDepr" localSheetId="2">#REF!</definedName>
    <definedName name="Est16_RMR_TransAccumDepr" localSheetId="8">'WS6-AI Detail'!#REF!</definedName>
    <definedName name="Est16_RMR_TransAccumDepr" localSheetId="9">'WS7-IMEU'!#REF!</definedName>
    <definedName name="Est16_RMR_Warehouse_Stores" localSheetId="2">#REF!</definedName>
    <definedName name="Est16_RMR_Warehouse_Stores" localSheetId="8">'WS6-AI Detail'!#REF!</definedName>
    <definedName name="Est16_RMR_Warehouse_Stores" localSheetId="9">'WS7-IMEU'!#REF!</definedName>
    <definedName name="Est16_SSCD_Other_Revenue" localSheetId="2">#REF!</definedName>
    <definedName name="Est16_SSCD_Other_Revenue" localSheetId="8">'WS6-AI Detail'!#REF!</definedName>
    <definedName name="Est16_SSCD_Other_Revenue" localSheetId="9">'WS7-IMEU'!#REF!</definedName>
    <definedName name="Est16_SSCD_RevRqmt" localSheetId="2">#REF!</definedName>
    <definedName name="Est16_SSCD_RevRqmt" localSheetId="8">'WS6-AI Detail'!#REF!</definedName>
    <definedName name="Est16_SSCD_RevRqmt" localSheetId="9">'WS7-IMEU'!#REF!</definedName>
    <definedName name="Est16_Trans_Composite_IntRate" localSheetId="2">#REF!</definedName>
    <definedName name="Est16_Trans_Composite_IntRate" localSheetId="8">'WS6-AI Detail'!#REF!</definedName>
    <definedName name="Est16_Trans_Composite_IntRate" localSheetId="9">'WS7-IMEU'!#REF!</definedName>
    <definedName name="Est16_TransAG" localSheetId="2">#REF!</definedName>
    <definedName name="Est16_TransAG" localSheetId="8">'WS6-AI Detail'!#REF!</definedName>
    <definedName name="Est16_TransAG" localSheetId="9">'WS7-IMEU'!#REF!</definedName>
    <definedName name="Est16_TransDepr" localSheetId="2">#REF!</definedName>
    <definedName name="Est16_TransDepr" localSheetId="8">'WS6-AI Detail'!#REF!</definedName>
    <definedName name="Est16_TransDepr" localSheetId="9">'WS7-IMEU'!#REF!</definedName>
    <definedName name="Est16_TransOM" localSheetId="2">#REF!</definedName>
    <definedName name="Est16_TransOM" localSheetId="8">'WS6-AI Detail'!#REF!</definedName>
    <definedName name="Est16_TransOM" localSheetId="9">'WS7-IMEU'!#REF!</definedName>
    <definedName name="Est16_TransPlant" localSheetId="2">#REF!</definedName>
    <definedName name="Est16_TransPlant" localSheetId="8">'WS6-AI Detail'!#REF!</definedName>
    <definedName name="Est16_TransPlant" localSheetId="9">'WS7-IMEU'!#REF!</definedName>
    <definedName name="Est17_BOR_OM" localSheetId="2">#REF!</definedName>
    <definedName name="Est17_BOR_OM" localSheetId="8">'WS6-AI Detail'!#REF!</definedName>
    <definedName name="Est17_BOR_OM" localSheetId="9">'WS7-IMEU'!#REF!</definedName>
    <definedName name="Est17_BxPS_BEFP_AccumDepr" localSheetId="2">#REF!</definedName>
    <definedName name="Est17_BxPS_BEFP_AccumDepr" localSheetId="8">'WS6-AI Detail'!#REF!</definedName>
    <definedName name="Est17_BxPS_BEFP_AccumDepr" localSheetId="9">'WS7-IMEU'!#REF!</definedName>
    <definedName name="Est17_BxPS_BEFP_AGExp" localSheetId="2">#REF!</definedName>
    <definedName name="Est17_BxPS_BEFP_AGExp" localSheetId="8">'WS6-AI Detail'!#REF!</definedName>
    <definedName name="Est17_BxPS_BEFP_AGExp" localSheetId="9">'WS7-IMEU'!#REF!</definedName>
    <definedName name="Est17_BxPS_BEFP_CME" localSheetId="2">#REF!</definedName>
    <definedName name="Est17_BxPS_BEFP_CME" localSheetId="8">'WS6-AI Detail'!#REF!</definedName>
    <definedName name="Est17_BxPS_BEFP_CME" localSheetId="9">'WS7-IMEU'!#REF!</definedName>
    <definedName name="Est17_BxPS_BEFP_DepMOVP" localSheetId="2">#REF!</definedName>
    <definedName name="Est17_BxPS_BEFP_DepMOVP" localSheetId="8">'WS6-AI Detail'!#REF!</definedName>
    <definedName name="Est17_BxPS_BEFP_DepMOVP" localSheetId="9">'WS7-IMEU'!#REF!</definedName>
    <definedName name="Est17_BxPS_BEFP_DeprExp" localSheetId="2">#REF!</definedName>
    <definedName name="Est17_BxPS_BEFP_DeprExp" localSheetId="8">'WS6-AI Detail'!#REF!</definedName>
    <definedName name="Est17_BxPS_BEFP_DeprExp" localSheetId="9">'WS7-IMEU'!#REF!</definedName>
    <definedName name="Est17_BxPS_BEFP_DispofAssets" localSheetId="2">#REF!</definedName>
    <definedName name="Est17_BxPS_BEFP_DispofAssets" localSheetId="8">'WS6-AI Detail'!#REF!</definedName>
    <definedName name="Est17_BxPS_BEFP_DispofAssets" localSheetId="9">'WS7-IMEU'!#REF!</definedName>
    <definedName name="Est17_BxPS_BEFP_GenAccumDepr" localSheetId="2">#REF!</definedName>
    <definedName name="Est17_BxPS_BEFP_GenAccumDepr" localSheetId="8">'WS6-AI Detail'!#REF!</definedName>
    <definedName name="Est17_BxPS_BEFP_GenAccumDepr" localSheetId="9">'WS7-IMEU'!#REF!</definedName>
    <definedName name="Est17_BxPS_BEFP_GenPlant" localSheetId="2">#REF!</definedName>
    <definedName name="Est17_BxPS_BEFP_GenPlant" localSheetId="8">'WS6-AI Detail'!#REF!</definedName>
    <definedName name="Est17_BxPS_BEFP_GenPlant" localSheetId="9">'WS7-IMEU'!#REF!</definedName>
    <definedName name="Est17_BxPS_BEFP_Plant" localSheetId="2">#REF!</definedName>
    <definedName name="Est17_BxPS_BEFP_Plant" localSheetId="8">'WS6-AI Detail'!#REF!</definedName>
    <definedName name="Est17_BxPS_BEFP_Plant" localSheetId="9">'WS7-IMEU'!#REF!</definedName>
    <definedName name="Est17_BxPS_BEFP_TotalOM" localSheetId="2">#REF!</definedName>
    <definedName name="Est17_BxPS_BEFP_TotalOM" localSheetId="8">'WS6-AI Detail'!#REF!</definedName>
    <definedName name="Est17_BxPS_BEFP_TotalOM" localSheetId="9">'WS7-IMEU'!#REF!</definedName>
    <definedName name="Est17_BxPS_BEFP_TPlant" localSheetId="2">#REF!</definedName>
    <definedName name="Est17_BxPS_BEFP_TPlant" localSheetId="8">'WS6-AI Detail'!#REF!</definedName>
    <definedName name="Est17_BxPS_BEFP_TPlant" localSheetId="9">'WS7-IMEU'!#REF!</definedName>
    <definedName name="Est17_BxPS_BEFP_TransAccumDepr" localSheetId="2">#REF!</definedName>
    <definedName name="Est17_BxPS_BEFP_TransAccumDepr" localSheetId="8">'WS6-AI Detail'!#REF!</definedName>
    <definedName name="Est17_BxPS_BEFP_TransAccumDepr" localSheetId="9">'WS7-IMEU'!#REF!</definedName>
    <definedName name="Est17_BxPS_BEFP_WageSalary" localSheetId="2">#REF!</definedName>
    <definedName name="Est17_BxPS_BEFP_WageSalary" localSheetId="8">'WS6-AI Detail'!#REF!</definedName>
    <definedName name="Est17_BxPS_BEFP_WageSalary" localSheetId="9">'WS7-IMEU'!#REF!</definedName>
    <definedName name="Est17_BxPS_BEFP_Warehouse_Stores" localSheetId="2">#REF!</definedName>
    <definedName name="Est17_BxPS_BEFP_Warehouse_Stores" localSheetId="8">'WS6-AI Detail'!#REF!</definedName>
    <definedName name="Est17_BxPS_BEFP_Warehouse_Stores" localSheetId="9">'WS7-IMEU'!#REF!</definedName>
    <definedName name="Est17_BXPS_OM" localSheetId="2">#REF!</definedName>
    <definedName name="Est17_BXPS_OM" localSheetId="8">'WS6-AI Detail'!#REF!</definedName>
    <definedName name="Est17_BXPS_OM" localSheetId="9">'WS7-IMEU'!#REF!</definedName>
    <definedName name="Est17_COE_AccumDeprGen" localSheetId="2">#REF!</definedName>
    <definedName name="Est17_COE_AccumDeprGen" localSheetId="8">'WS6-AI Detail'!#REF!</definedName>
    <definedName name="Est17_COE_AccumDeprGen" localSheetId="9">'WS7-IMEU'!#REF!</definedName>
    <definedName name="Est17_COE_DeprExp" localSheetId="2">#REF!</definedName>
    <definedName name="Est17_COE_DeprExp" localSheetId="8">'WS6-AI Detail'!#REF!</definedName>
    <definedName name="Est17_COE_DeprExp" localSheetId="9">'WS7-IMEU'!#REF!</definedName>
    <definedName name="Est17_COE_Gen" localSheetId="2">#REF!</definedName>
    <definedName name="Est17_COE_Gen" localSheetId="8">'WS6-AI Detail'!#REF!</definedName>
    <definedName name="Est17_COE_Gen" localSheetId="9">'WS7-IMEU'!#REF!</definedName>
    <definedName name="Est17_COE_OM" localSheetId="2">#REF!</definedName>
    <definedName name="Est17_COE_OM" localSheetId="8">'WS6-AI Detail'!#REF!</definedName>
    <definedName name="Est17_COE_OM" localSheetId="9">'WS7-IMEU'!#REF!</definedName>
    <definedName name="Est17_COE_Plant" localSheetId="2">#REF!</definedName>
    <definedName name="Est17_COE_Plant" localSheetId="8">'WS6-AI Detail'!#REF!</definedName>
    <definedName name="Est17_COE_Plant" localSheetId="9">'WS7-IMEU'!#REF!</definedName>
    <definedName name="Est17_COE_TPlant" localSheetId="2">#REF!</definedName>
    <definedName name="Est17_COE_TPlant" localSheetId="8">'WS6-AI Detail'!#REF!</definedName>
    <definedName name="Est17_COE_TPlant" localSheetId="9">'WS7-IMEU'!#REF!</definedName>
    <definedName name="Est17_COE_TransAccumDepr" localSheetId="2">#REF!</definedName>
    <definedName name="Est17_COE_TransAccumDepr" localSheetId="8">'WS6-AI Detail'!#REF!</definedName>
    <definedName name="Est17_COE_TransAccumDepr" localSheetId="9">'WS7-IMEU'!#REF!</definedName>
    <definedName name="Est17_Credit_Acct454" localSheetId="2">#REF!</definedName>
    <definedName name="Est17_Credit_Acct454" localSheetId="8">'WS6-AI Detail'!#REF!</definedName>
    <definedName name="Est17_Credit_Acct454" localSheetId="9">'WS7-IMEU'!#REF!</definedName>
    <definedName name="Est17_Credit_ExstRev" localSheetId="2">#REF!</definedName>
    <definedName name="Est17_Credit_ExstRev" localSheetId="8">'WS6-AI Detail'!#REF!</definedName>
    <definedName name="Est17_Credit_ExstRev" localSheetId="9">'WS7-IMEU'!#REF!</definedName>
    <definedName name="Est17_Credit_NFPTP" localSheetId="2">#REF!</definedName>
    <definedName name="Est17_Credit_NFPTP" localSheetId="8">'WS6-AI Detail'!#REF!</definedName>
    <definedName name="Est17_Credit_NFPTP" localSheetId="9">'WS7-IMEU'!#REF!</definedName>
    <definedName name="Est17_Credit_SSCD" localSheetId="2">#REF!</definedName>
    <definedName name="Est17_Credit_SSCD" localSheetId="8">'WS6-AI Detail'!#REF!</definedName>
    <definedName name="Est17_Credit_SSCD" localSheetId="9">'WS7-IMEU'!#REF!</definedName>
    <definedName name="Est17_Credit_STPTP" localSheetId="2">#REF!</definedName>
    <definedName name="Est17_Credit_STPTP" localSheetId="8">'WS6-AI Detail'!#REF!</definedName>
    <definedName name="Est17_Credit_STPTP" localSheetId="9">'WS7-IMEU'!#REF!</definedName>
    <definedName name="Est17_RMR_AGExp" localSheetId="2">#REF!</definedName>
    <definedName name="Est17_RMR_AGExp" localSheetId="8">'WS6-AI Detail'!#REF!</definedName>
    <definedName name="Est17_RMR_AGExp" localSheetId="9">'WS7-IMEU'!#REF!</definedName>
    <definedName name="Est17_RMR_CME" localSheetId="2">#REF!</definedName>
    <definedName name="Est17_RMR_CME" localSheetId="8">'WS6-AI Detail'!#REF!</definedName>
    <definedName name="Est17_RMR_CME" localSheetId="9">'WS7-IMEU'!#REF!</definedName>
    <definedName name="Est17_RMR_DeprExp" localSheetId="2">#REF!</definedName>
    <definedName name="Est17_RMR_DeprExp" localSheetId="8">'WS6-AI Detail'!#REF!</definedName>
    <definedName name="Est17_RMR_DeprExp" localSheetId="9">'WS7-IMEU'!#REF!</definedName>
    <definedName name="Est17_RMR_OM" localSheetId="2">#REF!</definedName>
    <definedName name="Est17_RMR_OM" localSheetId="8">'WS6-AI Detail'!#REF!</definedName>
    <definedName name="Est17_RMR_OM" localSheetId="9">'WS7-IMEU'!#REF!</definedName>
    <definedName name="Est17_RMR_Plant" localSheetId="2">#REF!</definedName>
    <definedName name="Est17_RMR_Plant" localSheetId="8">'WS6-AI Detail'!#REF!</definedName>
    <definedName name="Est17_RMR_Plant" localSheetId="9">'WS7-IMEU'!#REF!</definedName>
    <definedName name="Est17_RMR_Total_OM" localSheetId="2">#REF!</definedName>
    <definedName name="Est17_RMR_Total_OM" localSheetId="8">'WS6-AI Detail'!#REF!</definedName>
    <definedName name="Est17_RMR_Total_OM" localSheetId="9">'WS7-IMEU'!#REF!</definedName>
    <definedName name="Est17_RMR_TPlant" localSheetId="2">#REF!</definedName>
    <definedName name="Est17_RMR_TPlant" localSheetId="8">'WS6-AI Detail'!#REF!</definedName>
    <definedName name="Est17_RMR_TPlant" localSheetId="9">'WS7-IMEU'!#REF!</definedName>
    <definedName name="Est17_RMR_TransAccumDepr" localSheetId="2">#REF!</definedName>
    <definedName name="Est17_RMR_TransAccumDepr" localSheetId="8">'WS6-AI Detail'!#REF!</definedName>
    <definedName name="Est17_RMR_TransAccumDepr" localSheetId="9">'WS7-IMEU'!#REF!</definedName>
    <definedName name="Est17_RMR_Warehouse_Stores" localSheetId="2">#REF!</definedName>
    <definedName name="Est17_RMR_Warehouse_Stores" localSheetId="8">'WS6-AI Detail'!#REF!</definedName>
    <definedName name="Est17_RMR_Warehouse_Stores" localSheetId="9">'WS7-IMEU'!#REF!</definedName>
    <definedName name="GALION" localSheetId="0">#REF!</definedName>
    <definedName name="GALION" localSheetId="3">'WS1-ATRR RateBase'!#REF!</definedName>
    <definedName name="GALION" localSheetId="4">#REF!</definedName>
    <definedName name="GALION" localSheetId="8">#REF!</definedName>
    <definedName name="GALION" localSheetId="9">#REF!</definedName>
    <definedName name="GENOA" localSheetId="0">#REF!</definedName>
    <definedName name="GENOA" localSheetId="3">'WS1-ATRR RateBase'!#REF!</definedName>
    <definedName name="GENOA" localSheetId="4">#REF!</definedName>
    <definedName name="GENOA" localSheetId="8">#REF!</definedName>
    <definedName name="GENOA" localSheetId="9">#REF!</definedName>
    <definedName name="GENOA_NORTH" localSheetId="0">#REF!</definedName>
    <definedName name="GENOA_NORTH" localSheetId="3">'WS1-ATRR RateBase'!#REF!</definedName>
    <definedName name="GENOA_NORTH" localSheetId="4">#REF!</definedName>
    <definedName name="GENOA_NORTH" localSheetId="8">#REF!</definedName>
    <definedName name="GENOA_NORTH" localSheetId="9">#REF!</definedName>
    <definedName name="GENOA_SOUTH" localSheetId="0">#REF!</definedName>
    <definedName name="GENOA_SOUTH" localSheetId="3">'WS1-ATRR RateBase'!#REF!</definedName>
    <definedName name="GENOA_SOUTH" localSheetId="4">#REF!</definedName>
    <definedName name="GENOA_SOUTH" localSheetId="8">#REF!</definedName>
    <definedName name="GENOA_SOUTH" localSheetId="9">#REF!</definedName>
    <definedName name="GRAFTON" localSheetId="0">#REF!</definedName>
    <definedName name="GRAFTON" localSheetId="3">'WS1-ATRR RateBase'!#REF!</definedName>
    <definedName name="GRAFTON" localSheetId="4">#REF!</definedName>
    <definedName name="GRAFTON" localSheetId="8">#REF!</definedName>
    <definedName name="GRAFTON" localSheetId="9">#REF!</definedName>
    <definedName name="Grove_City" localSheetId="0">#REF!</definedName>
    <definedName name="Grove_City" localSheetId="3">'WS1-ATRR RateBase'!#REF!</definedName>
    <definedName name="Grove_City" localSheetId="4">#REF!</definedName>
    <definedName name="Grove_City" localSheetId="8">#REF!</definedName>
    <definedName name="Grove_City" localSheetId="9">#REF!</definedName>
    <definedName name="HASKINS" localSheetId="0">#REF!</definedName>
    <definedName name="HASKINS" localSheetId="3">'WS1-ATRR RateBase'!#REF!</definedName>
    <definedName name="HASKINS" localSheetId="4">#REF!</definedName>
    <definedName name="HASKINS" localSheetId="8">#REF!</definedName>
    <definedName name="HASKINS" localSheetId="9">#REF!</definedName>
    <definedName name="hourending" localSheetId="0">#REF!</definedName>
    <definedName name="hourending" localSheetId="3">'WS1-ATRR RateBase'!#REF!</definedName>
    <definedName name="hourending" localSheetId="4">#REF!</definedName>
    <definedName name="hourending" localSheetId="8">#REF!</definedName>
    <definedName name="hourending" localSheetId="9">#REF!</definedName>
    <definedName name="HUBBARD" localSheetId="0">#REF!</definedName>
    <definedName name="HUBBARD" localSheetId="3">'WS1-ATRR RateBase'!#REF!</definedName>
    <definedName name="HUBBARD" localSheetId="4">#REF!</definedName>
    <definedName name="HUBBARD" localSheetId="8">#REF!</definedName>
    <definedName name="HUBBARD" localSheetId="9">#REF!</definedName>
    <definedName name="HUBBARD1" localSheetId="0">#REF!</definedName>
    <definedName name="HUBBARD1" localSheetId="3">'WS1-ATRR RateBase'!#REF!</definedName>
    <definedName name="HUBBARD1" localSheetId="4">#REF!</definedName>
    <definedName name="HUBBARD1" localSheetId="8">#REF!</definedName>
    <definedName name="HUBBARD1" localSheetId="9">#REF!</definedName>
    <definedName name="LODI" localSheetId="0">#REF!</definedName>
    <definedName name="LODI" localSheetId="3">'WS1-ATRR RateBase'!#REF!</definedName>
    <definedName name="LODI" localSheetId="4">#REF!</definedName>
    <definedName name="LODI" localSheetId="8">#REF!</definedName>
    <definedName name="LODI" localSheetId="9">#REF!</definedName>
    <definedName name="LUCAS" localSheetId="0">#REF!</definedName>
    <definedName name="LUCAS" localSheetId="3">'WS1-ATRR RateBase'!#REF!</definedName>
    <definedName name="LUCAS" localSheetId="4">#REF!</definedName>
    <definedName name="LUCAS" localSheetId="8">#REF!</definedName>
    <definedName name="LUCAS" localSheetId="9">#REF!</definedName>
    <definedName name="MILAN" localSheetId="0">#REF!</definedName>
    <definedName name="MILAN" localSheetId="3">'WS1-ATRR RateBase'!#REF!</definedName>
    <definedName name="MILAN" localSheetId="4">#REF!</definedName>
    <definedName name="MILAN" localSheetId="8">#REF!</definedName>
    <definedName name="MILAN" localSheetId="9">#REF!</definedName>
    <definedName name="MONROEVILLE" localSheetId="0">#REF!</definedName>
    <definedName name="MONROEVILLE" localSheetId="3">'WS1-ATRR RateBase'!#REF!</definedName>
    <definedName name="MONROEVILLE" localSheetId="4">#REF!</definedName>
    <definedName name="MONROEVILLE" localSheetId="8">#REF!</definedName>
    <definedName name="MONROEVILLE" localSheetId="9">#REF!</definedName>
    <definedName name="NAPOLEON" localSheetId="0">#REF!</definedName>
    <definedName name="NAPOLEON" localSheetId="3">'WS1-ATRR RateBase'!#REF!</definedName>
    <definedName name="NAPOLEON" localSheetId="4">#REF!</definedName>
    <definedName name="NAPOLEON" localSheetId="8">#REF!</definedName>
    <definedName name="NAPOLEON" localSheetId="9">#REF!</definedName>
    <definedName name="NEASG" localSheetId="0">#REF!</definedName>
    <definedName name="NEASG" localSheetId="3">'WS1-ATRR RateBase'!#REF!</definedName>
    <definedName name="NEASG" localSheetId="4">#REF!</definedName>
    <definedName name="NEASG" localSheetId="8">#REF!</definedName>
    <definedName name="NEASG" localSheetId="9">#REF!</definedName>
    <definedName name="New_Wilmington" localSheetId="0">#REF!</definedName>
    <definedName name="New_Wilmington" localSheetId="3">'WS1-ATRR RateBase'!#REF!</definedName>
    <definedName name="New_Wilmington" localSheetId="4">#REF!</definedName>
    <definedName name="New_Wilmington" localSheetId="8">#REF!</definedName>
    <definedName name="New_Wilmington" localSheetId="9">#REF!</definedName>
    <definedName name="NEWTON_FALLS" localSheetId="0">#REF!</definedName>
    <definedName name="NEWTON_FALLS" localSheetId="3">'WS1-ATRR RateBase'!#REF!</definedName>
    <definedName name="NEWTON_FALLS" localSheetId="4">#REF!</definedName>
    <definedName name="NEWTON_FALLS" localSheetId="8">#REF!</definedName>
    <definedName name="NEWTON_FALLS" localSheetId="9">#REF!</definedName>
    <definedName name="NILES" localSheetId="0">#REF!</definedName>
    <definedName name="NILES" localSheetId="3">'WS1-ATRR RateBase'!#REF!</definedName>
    <definedName name="NILES" localSheetId="4">#REF!</definedName>
    <definedName name="NILES" localSheetId="8">#REF!</definedName>
    <definedName name="NILES" localSheetId="9">#REF!</definedName>
    <definedName name="NWASG" localSheetId="0">#REF!</definedName>
    <definedName name="NWASG" localSheetId="3">'WS1-ATRR RateBase'!#REF!</definedName>
    <definedName name="NWASG" localSheetId="4">#REF!</definedName>
    <definedName name="NWASG" localSheetId="8">#REF!</definedName>
    <definedName name="NWASG" localSheetId="9">#REF!</definedName>
    <definedName name="OAK_HARBOR" localSheetId="0">#REF!</definedName>
    <definedName name="OAK_HARBOR" localSheetId="3">'WS1-ATRR RateBase'!#REF!</definedName>
    <definedName name="OAK_HARBOR" localSheetId="4">#REF!</definedName>
    <definedName name="OAK_HARBOR" localSheetId="8">#REF!</definedName>
    <definedName name="OAK_HARBOR" localSheetId="9">#REF!</definedName>
    <definedName name="OBERLIN" localSheetId="0">#REF!</definedName>
    <definedName name="OBERLIN" localSheetId="3">'WS1-ATRR RateBase'!#REF!</definedName>
    <definedName name="OBERLIN" localSheetId="4">#REF!</definedName>
    <definedName name="OBERLIN" localSheetId="8">#REF!</definedName>
    <definedName name="OBERLIN" localSheetId="9">#REF!</definedName>
    <definedName name="PEMBERVILLE" localSheetId="0">#REF!</definedName>
    <definedName name="PEMBERVILLE" localSheetId="3">'WS1-ATRR RateBase'!#REF!</definedName>
    <definedName name="PEMBERVILLE" localSheetId="4">#REF!</definedName>
    <definedName name="PEMBERVILLE" localSheetId="8">#REF!</definedName>
    <definedName name="PEMBERVILLE" localSheetId="9">#REF!</definedName>
    <definedName name="PIONEER" localSheetId="0">#REF!</definedName>
    <definedName name="PIONEER" localSheetId="3">'WS1-ATRR RateBase'!#REF!</definedName>
    <definedName name="PIONEER" localSheetId="4">#REF!</definedName>
    <definedName name="PIONEER" localSheetId="8">#REF!</definedName>
    <definedName name="PIONEER" localSheetId="9">#REF!</definedName>
    <definedName name="_xlnm.Print_Area" localSheetId="0">'Cover Sheets'!$A$1:$D$26</definedName>
    <definedName name="_xlnm.Print_Area" localSheetId="2">'Rev Log'!$B:$J</definedName>
    <definedName name="_xlnm.Print_Area" localSheetId="1">'Summary-TrueUp'!$A$1:$D$31</definedName>
    <definedName name="_xlnm.Print_Area" localSheetId="3">'WS1-ATRR RateBase'!$A$1:$V$42</definedName>
    <definedName name="_xlnm.Print_Area" localSheetId="4">'WS2-RevCredits'!$A$1:$E$166</definedName>
    <definedName name="_xlnm.Print_Area" localSheetId="5">'WS3-CostData'!$A$1:$L$192</definedName>
    <definedName name="_xlnm.Print_Area" localSheetId="6">'WS4-TransFac'!$A$1:$K$540</definedName>
    <definedName name="_xlnm.Print_Area" localSheetId="7">'WS5-FacDetail'!$A$1:$K$156</definedName>
    <definedName name="PROSPECT" localSheetId="0">#REF!</definedName>
    <definedName name="PROSPECT" localSheetId="3">'WS1-ATRR RateBase'!#REF!</definedName>
    <definedName name="PROSPECT" localSheetId="4">#REF!</definedName>
    <definedName name="PROSPECT" localSheetId="8">#REF!</definedName>
    <definedName name="PROSPECT" localSheetId="9">#REF!</definedName>
    <definedName name="revreq" localSheetId="0">#REF!</definedName>
    <definedName name="revreq" localSheetId="3">'WS1-ATRR RateBase'!#REF!</definedName>
    <definedName name="revreq" localSheetId="4">#REF!</definedName>
    <definedName name="revreq" localSheetId="8">#REF!</definedName>
    <definedName name="revreq" localSheetId="9">#REF!</definedName>
    <definedName name="SEVILLE" localSheetId="0">#REF!</definedName>
    <definedName name="SEVILLE" localSheetId="3">'WS1-ATRR RateBase'!#REF!</definedName>
    <definedName name="SEVILLE" localSheetId="4">#REF!</definedName>
    <definedName name="SEVILLE" localSheetId="8">#REF!</definedName>
    <definedName name="SEVILLE" localSheetId="9">#REF!</definedName>
    <definedName name="SOUTH_VIENNA" localSheetId="0">#REF!</definedName>
    <definedName name="SOUTH_VIENNA" localSheetId="3">'WS1-ATRR RateBase'!#REF!</definedName>
    <definedName name="SOUTH_VIENNA" localSheetId="4">#REF!</definedName>
    <definedName name="SOUTH_VIENNA" localSheetId="8">#REF!</definedName>
    <definedName name="SOUTH_VIENNA" localSheetId="9">#REF!</definedName>
    <definedName name="TOTAL_COLUMBIANA" localSheetId="0">#REF!</definedName>
    <definedName name="TOTAL_COLUMBIANA" localSheetId="3">'WS1-ATRR RateBase'!#REF!</definedName>
    <definedName name="TOTAL_COLUMBIANA" localSheetId="4">#REF!</definedName>
    <definedName name="TOTAL_COLUMBIANA" localSheetId="8">#REF!</definedName>
    <definedName name="TOTAL_COLUMBIANA" localSheetId="9">#REF!</definedName>
    <definedName name="Total_Grove_City" localSheetId="0">#REF!</definedName>
    <definedName name="Total_Grove_City" localSheetId="3">'WS1-ATRR RateBase'!#REF!</definedName>
    <definedName name="Total_Grove_City" localSheetId="4">#REF!</definedName>
    <definedName name="Total_Grove_City" localSheetId="8">#REF!</definedName>
    <definedName name="Total_Grove_City" localSheetId="9">#REF!</definedName>
    <definedName name="TOTAL_HUDSON" localSheetId="0">#REF!</definedName>
    <definedName name="TOTAL_HUDSON" localSheetId="3">'WS1-ATRR RateBase'!#REF!</definedName>
    <definedName name="TOTAL_HUDSON" localSheetId="4">#REF!</definedName>
    <definedName name="TOTAL_HUDSON" localSheetId="8">#REF!</definedName>
    <definedName name="TOTAL_HUDSON" localSheetId="9">#REF!</definedName>
    <definedName name="TOTAL_MONTPELIER" localSheetId="0">#REF!</definedName>
    <definedName name="TOTAL_MONTPELIER" localSheetId="3">'WS1-ATRR RateBase'!#REF!</definedName>
    <definedName name="TOTAL_MONTPELIER" localSheetId="4">#REF!</definedName>
    <definedName name="TOTAL_MONTPELIER" localSheetId="8">#REF!</definedName>
    <definedName name="TOTAL_MONTPELIER" localSheetId="9">#REF!</definedName>
    <definedName name="TOTAL_WOODVILLE" localSheetId="0">#REF!</definedName>
    <definedName name="TOTAL_WOODVILLE" localSheetId="3">'WS1-ATRR RateBase'!#REF!</definedName>
    <definedName name="TOTAL_WOODVILLE" localSheetId="4">#REF!</definedName>
    <definedName name="TOTAL_WOODVILLE" localSheetId="8">#REF!</definedName>
    <definedName name="TOTAL_WOODVILLE" localSheetId="9">#REF!</definedName>
    <definedName name="WADSWORTH" localSheetId="0">#REF!</definedName>
    <definedName name="WADSWORTH" localSheetId="3">'WS1-ATRR RateBase'!#REF!</definedName>
    <definedName name="WADSWORTH" localSheetId="4">#REF!</definedName>
    <definedName name="WADSWORTH" localSheetId="8">#REF!</definedName>
    <definedName name="WADSWORTH" localSheetId="9">#REF!</definedName>
    <definedName name="wrn.Ancillary._.Services._.1996." localSheetId="0" hidden="1">{#N/A,#N/A,FALSE,"FXCH-GEN Net";#N/A,#N/A,FALSE,"S&amp;D-net";#N/A,#N/A,FALSE,"Reactive-net";#N/A,#N/A,FALSE,"Reactive-IS-net";#N/A,#N/A,FALSE,"Regulation-net";#N/A,#N/A,FALSE,"Reserves-net";#N/A,#N/A,FALSE,"FXCH-COE Net"}</definedName>
    <definedName name="wrn.Ancillary._.Services._.1996." localSheetId="2" hidden="1">{#N/A,#N/A,FALSE,"FXCH-GEN Net";#N/A,#N/A,FALSE,"S&amp;D-net";#N/A,#N/A,FALSE,"Reactive-net";#N/A,#N/A,FALSE,"Reactive-IS-net";#N/A,#N/A,FALSE,"Regulation-net";#N/A,#N/A,FALSE,"Reserves-net";#N/A,#N/A,FALSE,"FXCH-COE Net"}</definedName>
    <definedName name="wrn.Ancillary._.Services._.1996." localSheetId="1" hidden="1">{#N/A,#N/A,FALSE,"FXCH-GEN Net";#N/A,#N/A,FALSE,"S&amp;D-net";#N/A,#N/A,FALSE,"Reactive-net";#N/A,#N/A,FALSE,"Reactive-IS-net";#N/A,#N/A,FALSE,"Regulation-net";#N/A,#N/A,FALSE,"Reserves-net";#N/A,#N/A,FALSE,"FXCH-COE Net"}</definedName>
    <definedName name="wrn.Ancillary._.Services._.1996." localSheetId="3" hidden="1">{#N/A,#N/A,FALSE,"FXCH-GEN Net";#N/A,#N/A,FALSE,"S&amp;D-net";#N/A,#N/A,FALSE,"Reactive-net";#N/A,#N/A,FALSE,"Reactive-IS-net";#N/A,#N/A,FALSE,"Regulation-net";#N/A,#N/A,FALSE,"Reserves-net";#N/A,#N/A,FALSE,"FXCH-COE Net"}</definedName>
    <definedName name="wrn.Ancillary._.Services._.1996." localSheetId="4" hidden="1">{#N/A,#N/A,FALSE,"FXCH-GEN Net";#N/A,#N/A,FALSE,"S&amp;D-net";#N/A,#N/A,FALSE,"Reactive-net";#N/A,#N/A,FALSE,"Reactive-IS-net";#N/A,#N/A,FALSE,"Regulation-net";#N/A,#N/A,FALSE,"Reserves-net";#N/A,#N/A,FALSE,"FXCH-COE Net"}</definedName>
    <definedName name="wrn.Ancillary._.Services._.1996." localSheetId="5" hidden="1">{#N/A,#N/A,FALSE,"FXCH-GEN Net";#N/A,#N/A,FALSE,"S&amp;D-net";#N/A,#N/A,FALSE,"Reactive-net";#N/A,#N/A,FALSE,"Reactive-IS-net";#N/A,#N/A,FALSE,"Regulation-net";#N/A,#N/A,FALSE,"Reserves-net";#N/A,#N/A,FALSE,"FXCH-COE Net"}</definedName>
    <definedName name="wrn.Ancillary._.Services._.1996." localSheetId="6" hidden="1">{#N/A,#N/A,FALSE,"FXCH-GEN Net";#N/A,#N/A,FALSE,"S&amp;D-net";#N/A,#N/A,FALSE,"Reactive-net";#N/A,#N/A,FALSE,"Reactive-IS-net";#N/A,#N/A,FALSE,"Regulation-net";#N/A,#N/A,FALSE,"Reserves-net";#N/A,#N/A,FALSE,"FXCH-COE Net"}</definedName>
    <definedName name="wrn.Ancillary._.Services._.1996." localSheetId="7" hidden="1">{#N/A,#N/A,FALSE,"FXCH-GEN Net";#N/A,#N/A,FALSE,"S&amp;D-net";#N/A,#N/A,FALSE,"Reactive-net";#N/A,#N/A,FALSE,"Reactive-IS-net";#N/A,#N/A,FALSE,"Regulation-net";#N/A,#N/A,FALSE,"Reserves-net";#N/A,#N/A,FALSE,"FXCH-COE Net"}</definedName>
    <definedName name="wrn.Ancillary._.Services._.1996." localSheetId="8" hidden="1">{#N/A,#N/A,FALSE,"FXCH-GEN Net";#N/A,#N/A,FALSE,"S&amp;D-net";#N/A,#N/A,FALSE,"Reactive-net";#N/A,#N/A,FALSE,"Reactive-IS-net";#N/A,#N/A,FALSE,"Regulation-net";#N/A,#N/A,FALSE,"Reserves-net";#N/A,#N/A,FALSE,"FXCH-COE Net"}</definedName>
    <definedName name="wrn.Ancillary._.Services._.1996." localSheetId="9" hidden="1">{#N/A,#N/A,FALSE,"FXCH-GEN Net";#N/A,#N/A,FALSE,"S&amp;D-net";#N/A,#N/A,FALSE,"Reactive-net";#N/A,#N/A,FALSE,"Reactive-IS-net";#N/A,#N/A,FALSE,"Regulation-net";#N/A,#N/A,FALSE,"Reserves-net";#N/A,#N/A,FALSE,"FXCH-COE Net"}</definedName>
    <definedName name="wrn.Ancillary._.Services._.1996._1" localSheetId="0" hidden="1">{#N/A,#N/A,FALSE,"FXCH-GEN Net";#N/A,#N/A,FALSE,"S&amp;D-net";#N/A,#N/A,FALSE,"Reactive-net";#N/A,#N/A,FALSE,"Reactive-IS-net";#N/A,#N/A,FALSE,"Regulation-net";#N/A,#N/A,FALSE,"Reserves-net";#N/A,#N/A,FALSE,"FXCH-COE Net"}</definedName>
    <definedName name="wrn.Ancillary._.Services._.1996._1" localSheetId="2" hidden="1">{#N/A,#N/A,FALSE,"FXCH-GEN Net";#N/A,#N/A,FALSE,"S&amp;D-net";#N/A,#N/A,FALSE,"Reactive-net";#N/A,#N/A,FALSE,"Reactive-IS-net";#N/A,#N/A,FALSE,"Regulation-net";#N/A,#N/A,FALSE,"Reserves-net";#N/A,#N/A,FALSE,"FXCH-COE Net"}</definedName>
    <definedName name="wrn.Ancillary._.Services._.1996._1" localSheetId="1" hidden="1">{#N/A,#N/A,FALSE,"FXCH-GEN Net";#N/A,#N/A,FALSE,"S&amp;D-net";#N/A,#N/A,FALSE,"Reactive-net";#N/A,#N/A,FALSE,"Reactive-IS-net";#N/A,#N/A,FALSE,"Regulation-net";#N/A,#N/A,FALSE,"Reserves-net";#N/A,#N/A,FALSE,"FXCH-COE Net"}</definedName>
    <definedName name="wrn.Ancillary._.Services._.1996._1" localSheetId="3" hidden="1">{#N/A,#N/A,FALSE,"FXCH-GEN Net";#N/A,#N/A,FALSE,"S&amp;D-net";#N/A,#N/A,FALSE,"Reactive-net";#N/A,#N/A,FALSE,"Reactive-IS-net";#N/A,#N/A,FALSE,"Regulation-net";#N/A,#N/A,FALSE,"Reserves-net";#N/A,#N/A,FALSE,"FXCH-COE Net"}</definedName>
    <definedName name="wrn.Ancillary._.Services._.1996._1" localSheetId="4" hidden="1">{#N/A,#N/A,FALSE,"FXCH-GEN Net";#N/A,#N/A,FALSE,"S&amp;D-net";#N/A,#N/A,FALSE,"Reactive-net";#N/A,#N/A,FALSE,"Reactive-IS-net";#N/A,#N/A,FALSE,"Regulation-net";#N/A,#N/A,FALSE,"Reserves-net";#N/A,#N/A,FALSE,"FXCH-COE Net"}</definedName>
    <definedName name="wrn.Ancillary._.Services._.1996._1" localSheetId="5" hidden="1">{#N/A,#N/A,FALSE,"FXCH-GEN Net";#N/A,#N/A,FALSE,"S&amp;D-net";#N/A,#N/A,FALSE,"Reactive-net";#N/A,#N/A,FALSE,"Reactive-IS-net";#N/A,#N/A,FALSE,"Regulation-net";#N/A,#N/A,FALSE,"Reserves-net";#N/A,#N/A,FALSE,"FXCH-COE Net"}</definedName>
    <definedName name="wrn.Ancillary._.Services._.1996._1" localSheetId="6" hidden="1">{#N/A,#N/A,FALSE,"FXCH-GEN Net";#N/A,#N/A,FALSE,"S&amp;D-net";#N/A,#N/A,FALSE,"Reactive-net";#N/A,#N/A,FALSE,"Reactive-IS-net";#N/A,#N/A,FALSE,"Regulation-net";#N/A,#N/A,FALSE,"Reserves-net";#N/A,#N/A,FALSE,"FXCH-COE Net"}</definedName>
    <definedName name="wrn.Ancillary._.Services._.1996._1" localSheetId="7" hidden="1">{#N/A,#N/A,FALSE,"FXCH-GEN Net";#N/A,#N/A,FALSE,"S&amp;D-net";#N/A,#N/A,FALSE,"Reactive-net";#N/A,#N/A,FALSE,"Reactive-IS-net";#N/A,#N/A,FALSE,"Regulation-net";#N/A,#N/A,FALSE,"Reserves-net";#N/A,#N/A,FALSE,"FXCH-COE Net"}</definedName>
    <definedName name="wrn.Ancillary._.Services._.1996._1" localSheetId="8" hidden="1">{#N/A,#N/A,FALSE,"FXCH-GEN Net";#N/A,#N/A,FALSE,"S&amp;D-net";#N/A,#N/A,FALSE,"Reactive-net";#N/A,#N/A,FALSE,"Reactive-IS-net";#N/A,#N/A,FALSE,"Regulation-net";#N/A,#N/A,FALSE,"Reserves-net";#N/A,#N/A,FALSE,"FXCH-COE Net"}</definedName>
    <definedName name="wrn.Ancillary._.Services._.1996._1" localSheetId="9" hidden="1">{#N/A,#N/A,FALSE,"FXCH-GEN Net";#N/A,#N/A,FALSE,"S&amp;D-net";#N/A,#N/A,FALSE,"Reactive-net";#N/A,#N/A,FALSE,"Reactive-IS-net";#N/A,#N/A,FALSE,"Regulation-net";#N/A,#N/A,FALSE,"Reserves-net";#N/A,#N/A,FALSE,"FXCH-COE Net"}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36" l="1"/>
  <c r="A24" i="36"/>
  <c r="A25" i="36"/>
  <c r="A26" i="36" s="1"/>
  <c r="A27" i="36" s="1"/>
  <c r="A28" i="36" s="1"/>
  <c r="A29" i="36" s="1"/>
  <c r="A30" i="36" s="1"/>
  <c r="A31" i="36" s="1"/>
  <c r="D27" i="36"/>
  <c r="M29" i="36"/>
  <c r="M27" i="36"/>
  <c r="D139" i="35"/>
  <c r="D138" i="35"/>
  <c r="D137" i="35"/>
  <c r="K24" i="36"/>
  <c r="K27" i="36"/>
  <c r="K6" i="5"/>
  <c r="L19" i="39" l="1"/>
  <c r="D61" i="35" l="1"/>
  <c r="D59" i="35"/>
  <c r="R26" i="36"/>
  <c r="D136" i="35"/>
  <c r="D105" i="35"/>
  <c r="D104" i="35"/>
  <c r="D103" i="35"/>
  <c r="D102" i="35"/>
  <c r="D164" i="35"/>
  <c r="D163" i="35"/>
  <c r="D162" i="35"/>
  <c r="D161" i="35"/>
  <c r="D160" i="35"/>
  <c r="Q25" i="36"/>
  <c r="Q23" i="36"/>
  <c r="A114" i="25"/>
  <c r="D60" i="35"/>
  <c r="D58" i="35"/>
  <c r="A11" i="35"/>
  <c r="A12" i="35" s="1"/>
  <c r="A13" i="35" s="1"/>
  <c r="A14" i="35" s="1"/>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A99" i="35" s="1"/>
  <c r="A100" i="35" s="1"/>
  <c r="A101" i="35" s="1"/>
  <c r="A102" i="35" s="1"/>
  <c r="A103" i="35" s="1"/>
  <c r="A104" i="35" s="1"/>
  <c r="A105" i="35" s="1"/>
  <c r="A106" i="35" s="1"/>
  <c r="A107" i="35" s="1"/>
  <c r="A108" i="35" s="1"/>
  <c r="A109" i="35" s="1"/>
  <c r="A110" i="35" s="1"/>
  <c r="A111" i="35" s="1"/>
  <c r="A112" i="35" s="1"/>
  <c r="A113" i="35" s="1"/>
  <c r="A114" i="35" s="1"/>
  <c r="A115" i="35" s="1"/>
  <c r="A116" i="35" s="1"/>
  <c r="A117" i="35" s="1"/>
  <c r="A118" i="35" s="1"/>
  <c r="A119" i="35" s="1"/>
  <c r="A120" i="35" s="1"/>
  <c r="A121" i="35" s="1"/>
  <c r="A122" i="35" s="1"/>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3" i="35" s="1"/>
  <c r="A184" i="35" s="1"/>
  <c r="A185" i="35" s="1"/>
  <c r="A186" i="35" s="1"/>
  <c r="A187" i="35" s="1"/>
  <c r="A188" i="35" s="1"/>
  <c r="A189" i="35" s="1"/>
  <c r="A190" i="35" s="1"/>
  <c r="A191" i="35" s="1"/>
  <c r="A192" i="35" s="1"/>
  <c r="D29" i="36"/>
  <c r="D24" i="36"/>
  <c r="C27" i="35"/>
  <c r="C70" i="35"/>
  <c r="G16" i="5"/>
  <c r="K15" i="5"/>
  <c r="K16" i="5" s="1"/>
  <c r="C20" i="35" s="1"/>
  <c r="G12" i="5"/>
  <c r="K11" i="5"/>
  <c r="K29" i="36" l="1"/>
  <c r="K20" i="35"/>
  <c r="K30" i="36"/>
  <c r="L29" i="36" s="1"/>
  <c r="K12" i="5"/>
  <c r="C18" i="35" s="1"/>
  <c r="C36" i="35" s="1"/>
  <c r="T29" i="36" l="1"/>
  <c r="K18" i="35"/>
  <c r="K25" i="36"/>
  <c r="A27" i="39"/>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A175" i="39" s="1"/>
  <c r="L24" i="36" l="1"/>
  <c r="T24" i="36" s="1"/>
  <c r="D109" i="25" l="1"/>
  <c r="H175" i="39"/>
  <c r="L174" i="39"/>
  <c r="L173" i="39"/>
  <c r="L172" i="39"/>
  <c r="L171" i="39"/>
  <c r="L170" i="39"/>
  <c r="L169" i="39"/>
  <c r="L168" i="39"/>
  <c r="L167" i="39"/>
  <c r="L166" i="39"/>
  <c r="L165" i="39"/>
  <c r="L164" i="39"/>
  <c r="L163" i="39"/>
  <c r="L162" i="39"/>
  <c r="L161" i="39"/>
  <c r="L160" i="39"/>
  <c r="L159" i="39"/>
  <c r="L158" i="39"/>
  <c r="L157" i="39"/>
  <c r="L156" i="39"/>
  <c r="L155" i="39"/>
  <c r="K155" i="39"/>
  <c r="L154" i="39"/>
  <c r="L153" i="39"/>
  <c r="L152" i="39"/>
  <c r="L151" i="39"/>
  <c r="L150" i="39"/>
  <c r="L149" i="39"/>
  <c r="L148" i="39"/>
  <c r="L147" i="39"/>
  <c r="L146" i="39"/>
  <c r="L145" i="39"/>
  <c r="L144" i="39"/>
  <c r="L143" i="39"/>
  <c r="L142" i="39"/>
  <c r="L141" i="39"/>
  <c r="L140" i="39"/>
  <c r="L139" i="39"/>
  <c r="I139" i="39"/>
  <c r="L138" i="39"/>
  <c r="I138" i="39"/>
  <c r="L137" i="39"/>
  <c r="L136" i="39"/>
  <c r="L135" i="39"/>
  <c r="L134" i="39"/>
  <c r="L133" i="39"/>
  <c r="L132" i="39"/>
  <c r="L131" i="39"/>
  <c r="L130" i="39"/>
  <c r="L129" i="39"/>
  <c r="L128" i="39"/>
  <c r="L127" i="39"/>
  <c r="L126" i="39"/>
  <c r="L125" i="39"/>
  <c r="L124" i="39"/>
  <c r="L123" i="39"/>
  <c r="L122" i="39"/>
  <c r="L121" i="39"/>
  <c r="L120" i="39"/>
  <c r="L119" i="39"/>
  <c r="K119" i="39"/>
  <c r="L118" i="39"/>
  <c r="K118" i="39"/>
  <c r="L117" i="39"/>
  <c r="K117" i="39"/>
  <c r="L116" i="39"/>
  <c r="L115" i="39"/>
  <c r="L114" i="39"/>
  <c r="L113" i="39"/>
  <c r="L112" i="39"/>
  <c r="K112" i="39"/>
  <c r="L111" i="39"/>
  <c r="K111" i="39"/>
  <c r="L110" i="39"/>
  <c r="L109" i="39"/>
  <c r="L108" i="39"/>
  <c r="L107" i="39"/>
  <c r="I107" i="39"/>
  <c r="L106" i="39"/>
  <c r="I106" i="39"/>
  <c r="L105" i="39"/>
  <c r="L104" i="39"/>
  <c r="L103" i="39"/>
  <c r="L102" i="39"/>
  <c r="K102" i="39"/>
  <c r="L101" i="39"/>
  <c r="J101" i="39"/>
  <c r="L100" i="39"/>
  <c r="L99" i="39"/>
  <c r="L98" i="39"/>
  <c r="J98" i="39"/>
  <c r="L97" i="39"/>
  <c r="J97" i="39"/>
  <c r="L96" i="39"/>
  <c r="L95" i="39"/>
  <c r="L94" i="39"/>
  <c r="L93" i="39"/>
  <c r="L92" i="39"/>
  <c r="L91" i="39"/>
  <c r="L90" i="39"/>
  <c r="L89" i="39"/>
  <c r="L88" i="39"/>
  <c r="L87" i="39"/>
  <c r="L86" i="39"/>
  <c r="L85" i="39"/>
  <c r="L84" i="39"/>
  <c r="L83" i="39"/>
  <c r="L82" i="39"/>
  <c r="L81" i="39"/>
  <c r="K81" i="39"/>
  <c r="L80" i="39"/>
  <c r="K80" i="39"/>
  <c r="L79" i="39"/>
  <c r="K79" i="39"/>
  <c r="L78" i="39"/>
  <c r="K78" i="39"/>
  <c r="L77" i="39"/>
  <c r="K77" i="39"/>
  <c r="L76" i="39"/>
  <c r="K76" i="39"/>
  <c r="L75" i="39"/>
  <c r="L74" i="39"/>
  <c r="L73" i="39"/>
  <c r="L72" i="39"/>
  <c r="L71" i="39"/>
  <c r="L70" i="39"/>
  <c r="L69" i="39"/>
  <c r="L68" i="39"/>
  <c r="L67" i="39"/>
  <c r="L66" i="39"/>
  <c r="L65" i="39"/>
  <c r="L64" i="39"/>
  <c r="L63" i="39"/>
  <c r="L62" i="39"/>
  <c r="L61" i="39"/>
  <c r="L60" i="39"/>
  <c r="L59" i="39"/>
  <c r="L58" i="39"/>
  <c r="K58" i="39"/>
  <c r="L57" i="39"/>
  <c r="K57" i="39"/>
  <c r="L56" i="39"/>
  <c r="L55" i="39"/>
  <c r="L54" i="39"/>
  <c r="L53" i="39"/>
  <c r="L52" i="39"/>
  <c r="L51" i="39"/>
  <c r="L50" i="39"/>
  <c r="L49" i="39"/>
  <c r="L48" i="39"/>
  <c r="L47" i="39"/>
  <c r="L46" i="39"/>
  <c r="L45" i="39"/>
  <c r="L44" i="39"/>
  <c r="L43" i="39"/>
  <c r="L42" i="39"/>
  <c r="L41" i="39"/>
  <c r="L40" i="39"/>
  <c r="I40" i="39"/>
  <c r="L39" i="39"/>
  <c r="I39" i="39"/>
  <c r="L38" i="39"/>
  <c r="I38" i="39"/>
  <c r="L37" i="39"/>
  <c r="I37" i="39"/>
  <c r="L36" i="39"/>
  <c r="L35" i="39"/>
  <c r="L34" i="39"/>
  <c r="L33" i="39"/>
  <c r="I175" i="39" l="1"/>
  <c r="G13" i="39" s="1"/>
  <c r="J175" i="39"/>
  <c r="G14" i="39" s="1"/>
  <c r="K175" i="39"/>
  <c r="G15" i="39" s="1"/>
  <c r="L175" i="39"/>
  <c r="E165" i="25"/>
  <c r="Q30" i="36" s="1"/>
  <c r="Q29" i="36" s="1"/>
  <c r="E152" i="25"/>
  <c r="R30" i="36" s="1"/>
  <c r="R29" i="36" s="1"/>
  <c r="E139" i="25"/>
  <c r="Q24" i="36" s="1"/>
  <c r="E126" i="25"/>
  <c r="R25" i="36" s="1"/>
  <c r="R24" i="36" s="1"/>
  <c r="N33" i="36" l="1"/>
  <c r="N5" i="36"/>
  <c r="A15" i="1" l="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9" i="1"/>
  <c r="A10" i="1" s="1"/>
  <c r="A11" i="1" s="1"/>
  <c r="A12" i="1" s="1"/>
  <c r="A13" i="1" s="1"/>
  <c r="A14" i="1" s="1"/>
  <c r="A8" i="1"/>
  <c r="A7" i="1"/>
  <c r="L17" i="39" l="1"/>
  <c r="A8" i="39"/>
  <c r="A9" i="39" s="1"/>
  <c r="A10" i="39" s="1"/>
  <c r="A11" i="39" s="1"/>
  <c r="A12" i="39" s="1"/>
  <c r="A13" i="39" s="1"/>
  <c r="A14" i="39" s="1"/>
  <c r="A15" i="39" s="1"/>
  <c r="A16" i="39" s="1"/>
  <c r="A17" i="39" s="1"/>
  <c r="A18" i="39" l="1"/>
  <c r="A19" i="39" s="1"/>
  <c r="A20" i="39" s="1"/>
  <c r="A21" i="39" s="1"/>
  <c r="A22" i="39" s="1"/>
  <c r="A23" i="39" s="1"/>
  <c r="A24" i="39" s="1"/>
  <c r="A25" i="39" s="1"/>
  <c r="A26" i="39" s="1"/>
  <c r="G8" i="39"/>
  <c r="G7" i="39"/>
  <c r="G9" i="39" l="1"/>
  <c r="D11" i="36" l="1"/>
  <c r="D10" i="36"/>
  <c r="C22" i="35" l="1"/>
  <c r="I13" i="39"/>
  <c r="K13" i="39" l="1"/>
  <c r="J13" i="39"/>
  <c r="I15" i="39"/>
  <c r="I14" i="39"/>
  <c r="K14" i="39" l="1"/>
  <c r="J14" i="39"/>
  <c r="K15" i="39"/>
  <c r="J15" i="39"/>
  <c r="H14" i="39" l="1"/>
  <c r="A8" i="38"/>
  <c r="A9" i="38"/>
  <c r="A10" i="38"/>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A173" i="38" s="1"/>
  <c r="A174" i="38" s="1"/>
  <c r="A175" i="38" s="1"/>
  <c r="A176" i="38" s="1"/>
  <c r="A177" i="38" s="1"/>
  <c r="A178" i="38" s="1"/>
  <c r="A179" i="38" s="1"/>
  <c r="A180" i="38" s="1"/>
  <c r="A181" i="38" s="1"/>
  <c r="A182" i="38" s="1"/>
  <c r="A183" i="38" s="1"/>
  <c r="A184" i="38" s="1"/>
  <c r="A185" i="38" s="1"/>
  <c r="A186" i="38" s="1"/>
  <c r="A187" i="38" s="1"/>
  <c r="A188" i="38" s="1"/>
  <c r="A189" i="38" s="1"/>
  <c r="A190" i="38" s="1"/>
  <c r="A191" i="38" s="1"/>
  <c r="A192" i="38" s="1"/>
  <c r="A193" i="38" s="1"/>
  <c r="A194" i="38" s="1"/>
  <c r="A195" i="38" s="1"/>
  <c r="A196" i="38" s="1"/>
  <c r="A197" i="38" s="1"/>
  <c r="A198" i="38" s="1"/>
  <c r="A199" i="38" s="1"/>
  <c r="A200" i="38" s="1"/>
  <c r="A201" i="38" s="1"/>
  <c r="A202" i="38" s="1"/>
  <c r="A203" i="38" s="1"/>
  <c r="A204" i="38" s="1"/>
  <c r="A205" i="38" s="1"/>
  <c r="A206" i="38" s="1"/>
  <c r="A207" i="38" s="1"/>
  <c r="A208" i="38" s="1"/>
  <c r="A209" i="38" s="1"/>
  <c r="A210" i="38" s="1"/>
  <c r="A211" i="38" s="1"/>
  <c r="A212" i="38" s="1"/>
  <c r="A213" i="38" s="1"/>
  <c r="A214" i="38" s="1"/>
  <c r="A215" i="38" s="1"/>
  <c r="A216" i="38" s="1"/>
  <c r="A217" i="38" s="1"/>
  <c r="A218" i="38" s="1"/>
  <c r="A219" i="38" s="1"/>
  <c r="A220" i="38" s="1"/>
  <c r="A221" i="38" s="1"/>
  <c r="A222" i="38" s="1"/>
  <c r="A223" i="38" s="1"/>
  <c r="A224" i="38" s="1"/>
  <c r="A225" i="38" s="1"/>
  <c r="A226" i="38" s="1"/>
  <c r="A227" i="38" s="1"/>
  <c r="A228" i="38" s="1"/>
  <c r="A229" i="38" s="1"/>
  <c r="A230" i="38" s="1"/>
  <c r="A231" i="38" s="1"/>
  <c r="A232" i="38" s="1"/>
  <c r="A233" i="38" s="1"/>
  <c r="A234" i="38" s="1"/>
  <c r="A235" i="38" s="1"/>
  <c r="A236" i="38" s="1"/>
  <c r="A237" i="38" s="1"/>
  <c r="A238" i="38" s="1"/>
  <c r="A239" i="38" s="1"/>
  <c r="A240" i="38" s="1"/>
  <c r="A241" i="38" s="1"/>
  <c r="A242" i="38" s="1"/>
  <c r="A243" i="38" s="1"/>
  <c r="A244" i="38" s="1"/>
  <c r="A245" i="38" s="1"/>
  <c r="A246" i="38" s="1"/>
  <c r="A247" i="38" s="1"/>
  <c r="A248" i="38" s="1"/>
  <c r="A249" i="38" s="1"/>
  <c r="A250" i="38" s="1"/>
  <c r="A251" i="38" s="1"/>
  <c r="A252" i="38" s="1"/>
  <c r="A253" i="38" s="1"/>
  <c r="A254" i="38" s="1"/>
  <c r="A255" i="38" s="1"/>
  <c r="A256" i="38" s="1"/>
  <c r="A257" i="38" s="1"/>
  <c r="A258" i="38" s="1"/>
  <c r="A259" i="38" s="1"/>
  <c r="A260" i="38" s="1"/>
  <c r="A261" i="38" s="1"/>
  <c r="A262" i="38" s="1"/>
  <c r="A263" i="38" s="1"/>
  <c r="A264" i="38" s="1"/>
  <c r="A265" i="38" s="1"/>
  <c r="A266" i="38" s="1"/>
  <c r="A267" i="38" s="1"/>
  <c r="A268" i="38" s="1"/>
  <c r="A269" i="38" s="1"/>
  <c r="A270" i="38" s="1"/>
  <c r="A271" i="38" s="1"/>
  <c r="A272" i="38" s="1"/>
  <c r="A273" i="38" s="1"/>
  <c r="A274" i="38" s="1"/>
  <c r="A275" i="38" s="1"/>
  <c r="A276" i="38" s="1"/>
  <c r="A277" i="38" s="1"/>
  <c r="A278" i="38" s="1"/>
  <c r="A279" i="38" s="1"/>
  <c r="A280" i="38" s="1"/>
  <c r="A281" i="38" s="1"/>
  <c r="A282" i="38" s="1"/>
  <c r="A283" i="38" s="1"/>
  <c r="A284" i="38" s="1"/>
  <c r="A285" i="38" s="1"/>
  <c r="A286" i="38" s="1"/>
  <c r="A287" i="38" s="1"/>
  <c r="A288" i="38" s="1"/>
  <c r="A289" i="38" s="1"/>
  <c r="A290" i="38" s="1"/>
  <c r="A291" i="38" s="1"/>
  <c r="A292" i="38" s="1"/>
  <c r="A293" i="38" s="1"/>
  <c r="A294" i="38" s="1"/>
  <c r="A295" i="38" s="1"/>
  <c r="A296" i="38" s="1"/>
  <c r="A297" i="38" s="1"/>
  <c r="A298" i="38" s="1"/>
  <c r="A299" i="38" s="1"/>
  <c r="A300" i="38" s="1"/>
  <c r="A301" i="38" s="1"/>
  <c r="A302" i="38" s="1"/>
  <c r="A303" i="38" s="1"/>
  <c r="A304" i="38" s="1"/>
  <c r="A305" i="38" s="1"/>
  <c r="A306" i="38" s="1"/>
  <c r="A307" i="38" s="1"/>
  <c r="A308" i="38" s="1"/>
  <c r="A309" i="38" s="1"/>
  <c r="A310" i="38" s="1"/>
  <c r="A311" i="38" s="1"/>
  <c r="A312" i="38" s="1"/>
  <c r="A313" i="38" s="1"/>
  <c r="A314" i="38" s="1"/>
  <c r="A315" i="38" s="1"/>
  <c r="A316" i="38" s="1"/>
  <c r="A317" i="38" s="1"/>
  <c r="A318" i="38" s="1"/>
  <c r="A319" i="38" s="1"/>
  <c r="A320" i="38" s="1"/>
  <c r="A321" i="38" s="1"/>
  <c r="A322" i="38" s="1"/>
  <c r="A323" i="38" s="1"/>
  <c r="A324" i="38" s="1"/>
  <c r="A325" i="38" s="1"/>
  <c r="A326" i="38" s="1"/>
  <c r="A327" i="38" s="1"/>
  <c r="A328" i="38" s="1"/>
  <c r="A329" i="38" s="1"/>
  <c r="A330" i="38" s="1"/>
  <c r="A331" i="38" s="1"/>
  <c r="A332" i="38" s="1"/>
  <c r="A333" i="38" s="1"/>
  <c r="A334" i="38" s="1"/>
  <c r="A335" i="38" s="1"/>
  <c r="A336" i="38" s="1"/>
  <c r="A337" i="38" s="1"/>
  <c r="A338" i="38" s="1"/>
  <c r="A339" i="38" s="1"/>
  <c r="A340" i="38" s="1"/>
  <c r="A341" i="38" s="1"/>
  <c r="A342" i="38" s="1"/>
  <c r="A343" i="38" s="1"/>
  <c r="A344" i="38" s="1"/>
  <c r="A345" i="38" s="1"/>
  <c r="A346" i="38" s="1"/>
  <c r="A347" i="38" s="1"/>
  <c r="A348" i="38" s="1"/>
  <c r="A349" i="38" s="1"/>
  <c r="A350" i="38" s="1"/>
  <c r="A351" i="38" s="1"/>
  <c r="A352" i="38" s="1"/>
  <c r="A353" i="38" s="1"/>
  <c r="A354" i="38" s="1"/>
  <c r="A355" i="38" s="1"/>
  <c r="A356" i="38" s="1"/>
  <c r="A357" i="38" s="1"/>
  <c r="A358" i="38" s="1"/>
  <c r="A359" i="38" s="1"/>
  <c r="A360" i="38" s="1"/>
  <c r="A361" i="38" s="1"/>
  <c r="A362" i="38" s="1"/>
  <c r="A363" i="38" s="1"/>
  <c r="A364" i="38" s="1"/>
  <c r="A365" i="38" s="1"/>
  <c r="A366" i="38" s="1"/>
  <c r="A367" i="38" s="1"/>
  <c r="A368" i="38" s="1"/>
  <c r="A369" i="38" s="1"/>
  <c r="A370" i="38" s="1"/>
  <c r="A371" i="38" s="1"/>
  <c r="A372" i="38" s="1"/>
  <c r="A373" i="38" s="1"/>
  <c r="A374" i="38" s="1"/>
  <c r="A375" i="38" s="1"/>
  <c r="A376" i="38" s="1"/>
  <c r="A377" i="38" s="1"/>
  <c r="A378" i="38" s="1"/>
  <c r="A379" i="38" s="1"/>
  <c r="A380" i="38" s="1"/>
  <c r="A381" i="38" s="1"/>
  <c r="A382" i="38" s="1"/>
  <c r="A383" i="38" s="1"/>
  <c r="A384" i="38" s="1"/>
  <c r="A385" i="38" s="1"/>
  <c r="A386" i="38" s="1"/>
  <c r="A387" i="38" s="1"/>
  <c r="A388" i="38" s="1"/>
  <c r="A389" i="38" s="1"/>
  <c r="A390" i="38" s="1"/>
  <c r="A391" i="38" s="1"/>
  <c r="A392" i="38" s="1"/>
  <c r="A393" i="38" s="1"/>
  <c r="A394" i="38" s="1"/>
  <c r="A395" i="38" s="1"/>
  <c r="A396" i="38" s="1"/>
  <c r="A397" i="38" s="1"/>
  <c r="A398" i="38" s="1"/>
  <c r="A399" i="38" s="1"/>
  <c r="A400" i="38" s="1"/>
  <c r="A401" i="38" s="1"/>
  <c r="A402" i="38" s="1"/>
  <c r="A403" i="38" s="1"/>
  <c r="A404" i="38" s="1"/>
  <c r="A405" i="38" s="1"/>
  <c r="A406" i="38" s="1"/>
  <c r="A407" i="38" s="1"/>
  <c r="A408" i="38" s="1"/>
  <c r="A409" i="38" s="1"/>
  <c r="A410" i="38" s="1"/>
  <c r="A411" i="38" s="1"/>
  <c r="A412" i="38" s="1"/>
  <c r="A413" i="38" s="1"/>
  <c r="A414" i="38" s="1"/>
  <c r="A415" i="38" s="1"/>
  <c r="A416" i="38" s="1"/>
  <c r="A417" i="38" s="1"/>
  <c r="A418" i="38" s="1"/>
  <c r="A419" i="38" s="1"/>
  <c r="A420" i="38" s="1"/>
  <c r="A421" i="38" s="1"/>
  <c r="A422" i="38" s="1"/>
  <c r="A423" i="38" s="1"/>
  <c r="A424" i="38" s="1"/>
  <c r="A425" i="38" s="1"/>
  <c r="A426" i="38" s="1"/>
  <c r="A427" i="38" s="1"/>
  <c r="A428" i="38" s="1"/>
  <c r="A429" i="38" s="1"/>
  <c r="A430" i="38" s="1"/>
  <c r="A431" i="38" s="1"/>
  <c r="A432" i="38" s="1"/>
  <c r="A433" i="38" s="1"/>
  <c r="A434" i="38" s="1"/>
  <c r="A435" i="38" s="1"/>
  <c r="A436" i="38" s="1"/>
  <c r="A437" i="38" s="1"/>
  <c r="A438" i="38" s="1"/>
  <c r="A439" i="38" s="1"/>
  <c r="A440" i="38" s="1"/>
  <c r="A441" i="38" s="1"/>
  <c r="A442" i="38" s="1"/>
  <c r="A443" i="38" s="1"/>
  <c r="A444" i="38" s="1"/>
  <c r="A445" i="38" s="1"/>
  <c r="A446" i="38" s="1"/>
  <c r="A447" i="38" s="1"/>
  <c r="A448" i="38" s="1"/>
  <c r="A449" i="38" s="1"/>
  <c r="A450" i="38" s="1"/>
  <c r="A451" i="38" s="1"/>
  <c r="A452" i="38" s="1"/>
  <c r="A453" i="38" s="1"/>
  <c r="A454" i="38" s="1"/>
  <c r="A455" i="38" s="1"/>
  <c r="A456" i="38" s="1"/>
  <c r="A457" i="38" s="1"/>
  <c r="A458" i="38" s="1"/>
  <c r="A459" i="38" s="1"/>
  <c r="A460" i="38" s="1"/>
  <c r="A461" i="38" s="1"/>
  <c r="A462" i="38" s="1"/>
  <c r="A463" i="38" s="1"/>
  <c r="A464" i="38" s="1"/>
  <c r="A465" i="38" s="1"/>
  <c r="A466" i="38" s="1"/>
  <c r="A467" i="38" s="1"/>
  <c r="A468" i="38" s="1"/>
  <c r="A469" i="38" s="1"/>
  <c r="A470" i="38" s="1"/>
  <c r="A471" i="38" s="1"/>
  <c r="A472" i="38" s="1"/>
  <c r="A473" i="38" s="1"/>
  <c r="A474" i="38" s="1"/>
  <c r="A475" i="38" s="1"/>
  <c r="A476" i="38" s="1"/>
  <c r="A477" i="38" s="1"/>
  <c r="A478" i="38" s="1"/>
  <c r="A479" i="38" s="1"/>
  <c r="A480" i="38" s="1"/>
  <c r="A481" i="38" s="1"/>
  <c r="A482" i="38" s="1"/>
  <c r="A483" i="38" s="1"/>
  <c r="A484" i="38" s="1"/>
  <c r="A485" i="38" s="1"/>
  <c r="A486" i="38" s="1"/>
  <c r="A487" i="38" s="1"/>
  <c r="A488" i="38" s="1"/>
  <c r="A489" i="38" s="1"/>
  <c r="A490" i="38" s="1"/>
  <c r="A491" i="38" s="1"/>
  <c r="A492" i="38" s="1"/>
  <c r="A493" i="38" s="1"/>
  <c r="A494" i="38" s="1"/>
  <c r="A495" i="38" s="1"/>
  <c r="A496" i="38" s="1"/>
  <c r="A497" i="38" s="1"/>
  <c r="A498" i="38" s="1"/>
  <c r="A499" i="38" s="1"/>
  <c r="A500" i="38" s="1"/>
  <c r="A501" i="38" s="1"/>
  <c r="A502" i="38" s="1"/>
  <c r="A503" i="38" s="1"/>
  <c r="A504" i="38" s="1"/>
  <c r="A505" i="38" s="1"/>
  <c r="A506" i="38" s="1"/>
  <c r="A507" i="38" s="1"/>
  <c r="A508" i="38" s="1"/>
  <c r="A509" i="38" s="1"/>
  <c r="A510" i="38" s="1"/>
  <c r="A511" i="38" s="1"/>
  <c r="A512" i="38" s="1"/>
  <c r="A513" i="38" s="1"/>
  <c r="A514" i="38" s="1"/>
  <c r="A515" i="38" s="1"/>
  <c r="A516" i="38" s="1"/>
  <c r="A517" i="38" s="1"/>
  <c r="A518" i="38" s="1"/>
  <c r="A519" i="38" s="1"/>
  <c r="A520" i="38" s="1"/>
  <c r="A521" i="38" s="1"/>
  <c r="A522" i="38" s="1"/>
  <c r="A523" i="38" s="1"/>
  <c r="A524" i="38" s="1"/>
  <c r="A525" i="38" s="1"/>
  <c r="A526" i="38" s="1"/>
  <c r="A527" i="38" s="1"/>
  <c r="A528" i="38" s="1"/>
  <c r="A529" i="38" s="1"/>
  <c r="A530" i="38" s="1"/>
  <c r="A531" i="38" s="1"/>
  <c r="A532" i="38" s="1"/>
  <c r="A533" i="38" s="1"/>
  <c r="A534" i="38" s="1"/>
  <c r="A535" i="38" s="1"/>
  <c r="A536" i="38" s="1"/>
  <c r="A537" i="38" s="1"/>
  <c r="A538" i="38" s="1"/>
  <c r="A539" i="38" s="1"/>
  <c r="A540" i="38" s="1"/>
  <c r="A541" i="38" s="1"/>
  <c r="A542" i="38" s="1"/>
  <c r="A543" i="38" s="1"/>
  <c r="A544" i="38" s="1"/>
  <c r="A545" i="38" s="1"/>
  <c r="A546" i="38" s="1"/>
  <c r="A547" i="38" s="1"/>
  <c r="A548" i="38" s="1"/>
  <c r="A549" i="38" s="1"/>
  <c r="A550" i="38" s="1"/>
  <c r="A551" i="38" s="1"/>
  <c r="A552" i="38" s="1"/>
  <c r="A553" i="38" s="1"/>
  <c r="A554" i="38" s="1"/>
  <c r="A555" i="38" s="1"/>
  <c r="A556" i="38" s="1"/>
  <c r="A557" i="38" s="1"/>
  <c r="A558" i="38" s="1"/>
  <c r="A559" i="38" s="1"/>
  <c r="A560" i="38" s="1"/>
  <c r="A561" i="38" s="1"/>
  <c r="A562" i="38" s="1"/>
  <c r="A563" i="38" s="1"/>
  <c r="A564" i="38" s="1"/>
  <c r="A565" i="38" s="1"/>
  <c r="A566" i="38" s="1"/>
  <c r="A567" i="38" s="1"/>
  <c r="A568" i="38" s="1"/>
  <c r="A569" i="38" s="1"/>
  <c r="A570" i="38" s="1"/>
  <c r="A571" i="38" s="1"/>
  <c r="A572" i="38" s="1"/>
  <c r="A573" i="38" s="1"/>
  <c r="A574" i="38" s="1"/>
  <c r="A575" i="38" s="1"/>
  <c r="A576" i="38" s="1"/>
  <c r="A577" i="38" s="1"/>
  <c r="A578" i="38" s="1"/>
  <c r="A579" i="38" s="1"/>
  <c r="A580" i="38" s="1"/>
  <c r="A581" i="38" s="1"/>
  <c r="A582" i="38" s="1"/>
  <c r="A583" i="38" s="1"/>
  <c r="A584" i="38" s="1"/>
  <c r="A585" i="38" s="1"/>
  <c r="A586" i="38" s="1"/>
  <c r="A587" i="38" s="1"/>
  <c r="A588" i="38" s="1"/>
  <c r="A589" i="38" s="1"/>
  <c r="A590" i="38" s="1"/>
  <c r="A591" i="38" s="1"/>
  <c r="A592" i="38" s="1"/>
  <c r="A593" i="38" s="1"/>
  <c r="A594" i="38" s="1"/>
  <c r="A595" i="38" s="1"/>
  <c r="A596" i="38" s="1"/>
  <c r="A597" i="38" s="1"/>
  <c r="A598" i="38" s="1"/>
  <c r="A599" i="38" s="1"/>
  <c r="A600" i="38" s="1"/>
  <c r="A601" i="38" s="1"/>
  <c r="A602" i="38" s="1"/>
  <c r="A603" i="38" s="1"/>
  <c r="A604" i="38" s="1"/>
  <c r="A605" i="38" s="1"/>
  <c r="A606" i="38" s="1"/>
  <c r="A607" i="38" s="1"/>
  <c r="A608" i="38" s="1"/>
  <c r="A609" i="38" s="1"/>
  <c r="A610" i="38" s="1"/>
  <c r="A611" i="38" s="1"/>
  <c r="A612" i="38" s="1"/>
  <c r="A613" i="38" s="1"/>
  <c r="A614" i="38" s="1"/>
  <c r="A615" i="38" s="1"/>
  <c r="A616" i="38" s="1"/>
  <c r="A617" i="38" s="1"/>
  <c r="A618" i="38" s="1"/>
  <c r="A619" i="38" s="1"/>
  <c r="A620" i="38" s="1"/>
  <c r="A621" i="38" s="1"/>
  <c r="A622" i="38" s="1"/>
  <c r="A623" i="38" s="1"/>
  <c r="A624" i="38" s="1"/>
  <c r="A625" i="38" s="1"/>
  <c r="A626" i="38" s="1"/>
  <c r="A627" i="38" s="1"/>
  <c r="A628" i="38" s="1"/>
  <c r="A629" i="38" s="1"/>
  <c r="A630" i="38" s="1"/>
  <c r="A631" i="38" s="1"/>
  <c r="A632" i="38" s="1"/>
  <c r="A633" i="38" s="1"/>
  <c r="A634" i="38" s="1"/>
  <c r="A635" i="38" s="1"/>
  <c r="A636" i="38" s="1"/>
  <c r="A637" i="38" s="1"/>
  <c r="A638" i="38" s="1"/>
  <c r="A639" i="38" s="1"/>
  <c r="A640" i="38" s="1"/>
  <c r="A641" i="38" s="1"/>
  <c r="A642" i="38" s="1"/>
  <c r="A643" i="38" s="1"/>
  <c r="A644" i="38" s="1"/>
  <c r="A645" i="38" s="1"/>
  <c r="A646" i="38" s="1"/>
  <c r="A647" i="38" s="1"/>
  <c r="A648" i="38" s="1"/>
  <c r="A649" i="38" s="1"/>
  <c r="A650" i="38" s="1"/>
  <c r="A651" i="38" s="1"/>
  <c r="A652" i="38" s="1"/>
  <c r="A653" i="38" s="1"/>
  <c r="A654" i="38" s="1"/>
  <c r="A655" i="38" s="1"/>
  <c r="A656" i="38" s="1"/>
  <c r="A657" i="38" s="1"/>
  <c r="A658" i="38" s="1"/>
  <c r="A659" i="38" s="1"/>
  <c r="A660" i="38" s="1"/>
  <c r="A661" i="38" s="1"/>
  <c r="A662" i="38" s="1"/>
  <c r="A663" i="38" s="1"/>
  <c r="A664" i="38" s="1"/>
  <c r="A665" i="38" s="1"/>
  <c r="A666" i="38" s="1"/>
  <c r="A667" i="38" s="1"/>
  <c r="A668" i="38" s="1"/>
  <c r="A669" i="38" s="1"/>
  <c r="A670" i="38" s="1"/>
  <c r="A671" i="38" s="1"/>
  <c r="A672" i="38" s="1"/>
  <c r="A673" i="38" s="1"/>
  <c r="A674" i="38" s="1"/>
  <c r="A675" i="38" s="1"/>
  <c r="A676" i="38" s="1"/>
  <c r="A677" i="38" s="1"/>
  <c r="A678" i="38" s="1"/>
  <c r="A679" i="38" s="1"/>
  <c r="A680" i="38" s="1"/>
  <c r="A681" i="38" s="1"/>
  <c r="A682" i="38" s="1"/>
  <c r="A683" i="38" s="1"/>
  <c r="A684" i="38" s="1"/>
  <c r="A685" i="38" s="1"/>
  <c r="A686" i="38" s="1"/>
  <c r="A687" i="38" s="1"/>
  <c r="A688" i="38" s="1"/>
  <c r="A689" i="38" s="1"/>
  <c r="A690" i="38" s="1"/>
  <c r="A691" i="38" s="1"/>
  <c r="A692" i="38" s="1"/>
  <c r="A693" i="38" s="1"/>
  <c r="A694" i="38" s="1"/>
  <c r="A695" i="38" s="1"/>
  <c r="A696" i="38" s="1"/>
  <c r="A697" i="38" s="1"/>
  <c r="A698" i="38" s="1"/>
  <c r="A699" i="38" s="1"/>
  <c r="A700" i="38" s="1"/>
  <c r="A701" i="38" s="1"/>
  <c r="A702" i="38" s="1"/>
  <c r="A703" i="38" s="1"/>
  <c r="A704" i="38" s="1"/>
  <c r="A705" i="38" s="1"/>
  <c r="A706" i="38" s="1"/>
  <c r="A707" i="38" s="1"/>
  <c r="A708" i="38" s="1"/>
  <c r="A709" i="38" s="1"/>
  <c r="A710" i="38" s="1"/>
  <c r="A711" i="38" s="1"/>
  <c r="A712" i="38" s="1"/>
  <c r="A713" i="38" s="1"/>
  <c r="A714" i="38" s="1"/>
  <c r="A715" i="38" s="1"/>
  <c r="A716" i="38" s="1"/>
  <c r="A717" i="38" s="1"/>
  <c r="A718" i="38" s="1"/>
  <c r="A719" i="38" s="1"/>
  <c r="A720" i="38" s="1"/>
  <c r="A721" i="38" s="1"/>
  <c r="A722" i="38" s="1"/>
  <c r="A723" i="38" s="1"/>
  <c r="A724" i="38" s="1"/>
  <c r="A725" i="38" s="1"/>
  <c r="A726" i="38" s="1"/>
  <c r="A727" i="38" s="1"/>
  <c r="A728" i="38" s="1"/>
  <c r="A729" i="38" s="1"/>
  <c r="A730" i="38" s="1"/>
  <c r="A731" i="38" s="1"/>
  <c r="A732" i="38" s="1"/>
  <c r="A733" i="38" s="1"/>
  <c r="A734" i="38" s="1"/>
  <c r="A735" i="38" s="1"/>
  <c r="A736" i="38" s="1"/>
  <c r="A737" i="38" s="1"/>
  <c r="A738" i="38" s="1"/>
  <c r="A739" i="38" s="1"/>
  <c r="A740" i="38" s="1"/>
  <c r="A741" i="38" s="1"/>
  <c r="A742" i="38" s="1"/>
  <c r="A743" i="38" s="1"/>
  <c r="A744" i="38" s="1"/>
  <c r="A745" i="38" s="1"/>
  <c r="A746" i="38" s="1"/>
  <c r="A747" i="38" s="1"/>
  <c r="A748" i="38" s="1"/>
  <c r="A749" i="38" s="1"/>
  <c r="A750" i="38" s="1"/>
  <c r="A751" i="38" s="1"/>
  <c r="A752" i="38" s="1"/>
  <c r="A753" i="38" s="1"/>
  <c r="A754" i="38" s="1"/>
  <c r="A755" i="38" s="1"/>
  <c r="A756" i="38" s="1"/>
  <c r="A757" i="38" s="1"/>
  <c r="A758" i="38" s="1"/>
  <c r="A759" i="38" s="1"/>
  <c r="A760" i="38" s="1"/>
  <c r="A761" i="38" s="1"/>
  <c r="A762" i="38" s="1"/>
  <c r="A763" i="38" s="1"/>
  <c r="A764" i="38" s="1"/>
  <c r="A765" i="38" s="1"/>
  <c r="A766" i="38" s="1"/>
  <c r="A767" i="38" s="1"/>
  <c r="A768" i="38" s="1"/>
  <c r="A769" i="38" s="1"/>
  <c r="A770" i="38" s="1"/>
  <c r="A771" i="38" s="1"/>
  <c r="A772" i="38" s="1"/>
  <c r="A773" i="38" s="1"/>
  <c r="A774" i="38" s="1"/>
  <c r="A775" i="38" s="1"/>
  <c r="A776" i="38" s="1"/>
  <c r="A777" i="38" s="1"/>
  <c r="A778" i="38" s="1"/>
  <c r="A779" i="38" s="1"/>
  <c r="A780" i="38" s="1"/>
  <c r="A781" i="38" s="1"/>
  <c r="A782" i="38" s="1"/>
  <c r="A783" i="38" s="1"/>
  <c r="A784" i="38" s="1"/>
  <c r="A785" i="38" s="1"/>
  <c r="A786" i="38" s="1"/>
  <c r="A787" i="38" s="1"/>
  <c r="A788" i="38" s="1"/>
  <c r="A789" i="38" s="1"/>
  <c r="A790" i="38" s="1"/>
  <c r="A791" i="38" s="1"/>
  <c r="A792" i="38" s="1"/>
  <c r="A794" i="38" s="1"/>
  <c r="A795" i="38" s="1"/>
  <c r="A796" i="38" s="1"/>
  <c r="A797" i="38" s="1"/>
  <c r="A798" i="38" s="1"/>
  <c r="A799" i="38" s="1"/>
  <c r="A800" i="38" s="1"/>
  <c r="A801" i="38" s="1"/>
  <c r="A802" i="38" s="1"/>
  <c r="A803" i="38" s="1"/>
  <c r="A804" i="38" s="1"/>
  <c r="A805" i="38" s="1"/>
  <c r="A806" i="38" s="1"/>
  <c r="A807" i="38" s="1"/>
  <c r="A808" i="38" s="1"/>
  <c r="A809" i="38" s="1"/>
  <c r="A810" i="38" s="1"/>
  <c r="A811" i="38" s="1"/>
  <c r="A812" i="38" s="1"/>
  <c r="A813" i="38" s="1"/>
  <c r="A814" i="38" s="1"/>
  <c r="A815" i="38" s="1"/>
  <c r="A816" i="38" s="1"/>
  <c r="A817" i="38" s="1"/>
  <c r="A818" i="38" s="1"/>
  <c r="A819" i="38" s="1"/>
  <c r="A820" i="38" s="1"/>
  <c r="L13" i="39" l="1"/>
  <c r="H13" i="39"/>
  <c r="L15" i="39"/>
  <c r="H15" i="39"/>
  <c r="L14" i="39"/>
  <c r="G16" i="39"/>
  <c r="C43" i="35"/>
  <c r="H16" i="39" l="1"/>
  <c r="G21" i="39"/>
  <c r="H21" i="39" s="1"/>
  <c r="L16" i="39"/>
  <c r="A3" i="25"/>
  <c r="A3" i="31"/>
  <c r="A1" i="31"/>
  <c r="D28" i="32" l="1"/>
  <c r="G22" i="39"/>
  <c r="H22" i="39"/>
  <c r="A7" i="25"/>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39" i="25" s="1"/>
  <c r="A140" i="25" s="1"/>
  <c r="A141" i="25" s="1"/>
  <c r="A142" i="25" s="1"/>
  <c r="A143" i="25" s="1"/>
  <c r="A144" i="25" s="1"/>
  <c r="A145" i="25" s="1"/>
  <c r="A146" i="25" s="1"/>
  <c r="A147" i="25" s="1"/>
  <c r="A148" i="25" s="1"/>
  <c r="A149" i="25" s="1"/>
  <c r="A150" i="25" s="1"/>
  <c r="A151" i="25" s="1"/>
  <c r="A152" i="25" s="1"/>
  <c r="A153" i="25" s="1"/>
  <c r="A154" i="25" s="1"/>
  <c r="A155" i="25" s="1"/>
  <c r="A156" i="25" s="1"/>
  <c r="A157" i="25" s="1"/>
  <c r="A158" i="25" s="1"/>
  <c r="A159" i="25" s="1"/>
  <c r="A160" i="25" s="1"/>
  <c r="A161" i="25" s="1"/>
  <c r="A162" i="25" s="1"/>
  <c r="A163" i="25" s="1"/>
  <c r="A164" i="25" s="1"/>
  <c r="A165" i="25" s="1"/>
  <c r="A166" i="25" s="1"/>
  <c r="F111" i="1" l="1"/>
  <c r="A7" i="36" l="1"/>
  <c r="A8" i="36" s="1"/>
  <c r="A9" i="36" s="1"/>
  <c r="A10" i="36" s="1"/>
  <c r="A11" i="36" s="1"/>
  <c r="A12" i="36" s="1"/>
  <c r="A13" i="36" s="1"/>
  <c r="A14" i="36" s="1"/>
  <c r="A15" i="36" s="1"/>
  <c r="A16" i="36" s="1"/>
  <c r="A17" i="36" s="1"/>
  <c r="A18" i="36" s="1"/>
  <c r="A19" i="36" s="1"/>
  <c r="A20" i="36" s="1"/>
  <c r="A21" i="36" s="1"/>
  <c r="A22" i="36" s="1"/>
  <c r="A23" i="36" s="1"/>
  <c r="A10" i="32" l="1"/>
  <c r="A11" i="32" s="1"/>
  <c r="A12" i="32" s="1"/>
  <c r="A13" i="32" s="1"/>
  <c r="E100" i="35"/>
  <c r="C100" i="35"/>
  <c r="A14" i="32" l="1"/>
  <c r="A15" i="32" s="1"/>
  <c r="C165" i="25"/>
  <c r="C152" i="25"/>
  <c r="C139" i="25"/>
  <c r="C126" i="25"/>
  <c r="C109" i="25"/>
  <c r="C96" i="25"/>
  <c r="C83" i="25"/>
  <c r="C70" i="25"/>
  <c r="C57" i="25"/>
  <c r="C44" i="25"/>
  <c r="A16" i="32" l="1"/>
  <c r="A17" i="32" s="1"/>
  <c r="A18" i="32" s="1"/>
  <c r="A19" i="32" s="1"/>
  <c r="I16" i="36"/>
  <c r="A1" i="36"/>
  <c r="A3" i="36"/>
  <c r="D19" i="36"/>
  <c r="D20" i="36"/>
  <c r="D21" i="36"/>
  <c r="D22" i="36"/>
  <c r="D34" i="36"/>
  <c r="D35" i="36"/>
  <c r="D36" i="36"/>
  <c r="F505" i="1" l="1"/>
  <c r="G472" i="1"/>
  <c r="I472" i="1"/>
  <c r="J472" i="1"/>
  <c r="G452" i="1"/>
  <c r="I452" i="1"/>
  <c r="J452" i="1"/>
  <c r="F452" i="1"/>
  <c r="G420" i="1"/>
  <c r="J420" i="1"/>
  <c r="F420" i="1"/>
  <c r="G280" i="1"/>
  <c r="I280" i="1"/>
  <c r="J280" i="1"/>
  <c r="F280" i="1"/>
  <c r="G275" i="1"/>
  <c r="I275" i="1"/>
  <c r="J275" i="1"/>
  <c r="G261" i="1"/>
  <c r="F261" i="1"/>
  <c r="G257" i="1"/>
  <c r="I257" i="1"/>
  <c r="J257" i="1"/>
  <c r="G238" i="1"/>
  <c r="I238" i="1"/>
  <c r="G111" i="1"/>
  <c r="I111" i="1"/>
  <c r="G505" i="1"/>
  <c r="J505" i="1"/>
  <c r="C170" i="35" l="1"/>
  <c r="F37" i="36" s="1"/>
  <c r="I140" i="35"/>
  <c r="K170" i="35" l="1"/>
  <c r="H6" i="1"/>
  <c r="K6" i="1" l="1"/>
  <c r="A7" i="5"/>
  <c r="A8" i="5" s="1"/>
  <c r="A9" i="5" s="1"/>
  <c r="A10" i="5" s="1"/>
  <c r="A11" i="5" s="1"/>
  <c r="A12" i="5" s="1"/>
  <c r="A13" i="5" s="1"/>
  <c r="A14" i="5" s="1"/>
  <c r="A15" i="5" s="1"/>
  <c r="A16" i="5" s="1"/>
  <c r="A18" i="5" s="1"/>
  <c r="A19" i="5" s="1"/>
  <c r="A20" i="5" s="1"/>
  <c r="A21" i="5" s="1"/>
  <c r="A22" i="5" s="1"/>
  <c r="I534" i="1"/>
  <c r="J534" i="1"/>
  <c r="G533" i="1"/>
  <c r="G534" i="1" s="1"/>
  <c r="F533" i="1"/>
  <c r="F534" i="1" s="1"/>
  <c r="G527" i="1"/>
  <c r="F527" i="1"/>
  <c r="F532" i="1" s="1"/>
  <c r="I523" i="1"/>
  <c r="J523" i="1"/>
  <c r="G519" i="1"/>
  <c r="I519" i="1"/>
  <c r="J519" i="1"/>
  <c r="I437" i="1"/>
  <c r="J437" i="1"/>
  <c r="F437" i="1"/>
  <c r="G511" i="1"/>
  <c r="I511" i="1"/>
  <c r="J511" i="1"/>
  <c r="F511" i="1"/>
  <c r="G507" i="1"/>
  <c r="I507" i="1"/>
  <c r="J507" i="1"/>
  <c r="F507" i="1"/>
  <c r="G476" i="1"/>
  <c r="I476" i="1"/>
  <c r="J476" i="1"/>
  <c r="I504" i="1"/>
  <c r="H504" i="1"/>
  <c r="I503" i="1"/>
  <c r="H503" i="1"/>
  <c r="H475" i="1"/>
  <c r="K475" i="1" s="1"/>
  <c r="H474" i="1"/>
  <c r="K474" i="1" s="1"/>
  <c r="F245" i="1"/>
  <c r="F257" i="1" s="1"/>
  <c r="F473" i="1"/>
  <c r="H440" i="1"/>
  <c r="G13" i="5"/>
  <c r="G7" i="5"/>
  <c r="I41" i="35"/>
  <c r="A23" i="5" l="1"/>
  <c r="A24" i="5" s="1"/>
  <c r="A25" i="5" s="1"/>
  <c r="K13" i="5"/>
  <c r="K14" i="5" s="1"/>
  <c r="G14" i="5"/>
  <c r="A20" i="32"/>
  <c r="A21" i="32" s="1"/>
  <c r="A22" i="32" s="1"/>
  <c r="A23" i="32" s="1"/>
  <c r="A24" i="32" s="1"/>
  <c r="A25" i="32" s="1"/>
  <c r="A26" i="32" s="1"/>
  <c r="A27" i="32" s="1"/>
  <c r="A28" i="32" s="1"/>
  <c r="H473" i="1"/>
  <c r="K473" i="1" s="1"/>
  <c r="F476" i="1"/>
  <c r="J508" i="1"/>
  <c r="G508" i="1"/>
  <c r="K440" i="1"/>
  <c r="F535" i="1"/>
  <c r="H533" i="1"/>
  <c r="J524" i="1"/>
  <c r="I524" i="1"/>
  <c r="K503" i="1"/>
  <c r="K476" i="1"/>
  <c r="H476" i="1"/>
  <c r="K504" i="1"/>
  <c r="E157" i="35"/>
  <c r="C157" i="35"/>
  <c r="E156" i="35"/>
  <c r="C156" i="35"/>
  <c r="E154" i="35"/>
  <c r="C154" i="35"/>
  <c r="K153" i="35"/>
  <c r="E151" i="35"/>
  <c r="C151" i="35"/>
  <c r="I149" i="35"/>
  <c r="I158" i="35" s="1"/>
  <c r="I167" i="35" s="1"/>
  <c r="G149" i="35"/>
  <c r="G158" i="35" s="1"/>
  <c r="G167" i="35" s="1"/>
  <c r="E149" i="35"/>
  <c r="C149" i="35"/>
  <c r="I133" i="35"/>
  <c r="G133" i="35"/>
  <c r="C132" i="35"/>
  <c r="K132" i="35" s="1"/>
  <c r="C131" i="35"/>
  <c r="K131" i="35" s="1"/>
  <c r="K130" i="35"/>
  <c r="E129" i="35"/>
  <c r="C129" i="35"/>
  <c r="E128" i="35"/>
  <c r="K128" i="35" s="1"/>
  <c r="E127" i="35"/>
  <c r="C127" i="35"/>
  <c r="E126" i="35"/>
  <c r="C126" i="35"/>
  <c r="E125" i="35"/>
  <c r="C125" i="35"/>
  <c r="E124" i="35"/>
  <c r="C124" i="35"/>
  <c r="E123" i="35"/>
  <c r="C123" i="35"/>
  <c r="E122" i="35"/>
  <c r="C122" i="35"/>
  <c r="E121" i="35"/>
  <c r="C121" i="35"/>
  <c r="E120" i="35"/>
  <c r="C120" i="35"/>
  <c r="I100" i="35"/>
  <c r="G100" i="35"/>
  <c r="I86" i="35"/>
  <c r="G86" i="35"/>
  <c r="E86" i="35"/>
  <c r="C86" i="35"/>
  <c r="I70" i="35"/>
  <c r="I78" i="35" s="1"/>
  <c r="G70" i="35"/>
  <c r="G78" i="35" s="1"/>
  <c r="E70" i="35"/>
  <c r="E78" i="35" s="1"/>
  <c r="C78" i="35"/>
  <c r="I43" i="35"/>
  <c r="I51" i="35" s="1"/>
  <c r="G43" i="35"/>
  <c r="G51" i="35" s="1"/>
  <c r="E43" i="35"/>
  <c r="E51" i="35" s="1"/>
  <c r="C51" i="35"/>
  <c r="I7" i="35"/>
  <c r="I9" i="35" s="1"/>
  <c r="G7" i="35"/>
  <c r="E7" i="35"/>
  <c r="A7" i="35"/>
  <c r="A3" i="35"/>
  <c r="A1" i="35"/>
  <c r="D165" i="25"/>
  <c r="Q28" i="36" s="1"/>
  <c r="D152" i="25"/>
  <c r="R28" i="36" s="1"/>
  <c r="R31" i="36" s="1"/>
  <c r="D139" i="25"/>
  <c r="Q26" i="36" s="1"/>
  <c r="D126" i="25"/>
  <c r="R23" i="36" s="1"/>
  <c r="D18" i="25"/>
  <c r="R18" i="36" s="1"/>
  <c r="D83" i="25"/>
  <c r="D57" i="25"/>
  <c r="D44" i="25"/>
  <c r="C19" i="35" l="1"/>
  <c r="C11" i="35"/>
  <c r="K11" i="35" s="1"/>
  <c r="Q31" i="36"/>
  <c r="K78" i="35"/>
  <c r="K51" i="35"/>
  <c r="I52" i="35"/>
  <c r="I53" i="35"/>
  <c r="A8" i="35"/>
  <c r="K43" i="35"/>
  <c r="K70" i="35"/>
  <c r="G140" i="35"/>
  <c r="I8" i="36" s="1"/>
  <c r="K533" i="1"/>
  <c r="K534" i="1" s="1"/>
  <c r="G16" i="35" s="1"/>
  <c r="H534" i="1"/>
  <c r="E26" i="35"/>
  <c r="I26" i="35"/>
  <c r="I25" i="35"/>
  <c r="I44" i="35" s="1"/>
  <c r="I57" i="35" s="1"/>
  <c r="K122" i="35"/>
  <c r="K129" i="35"/>
  <c r="K127" i="35"/>
  <c r="K121" i="35"/>
  <c r="K125" i="35"/>
  <c r="K100" i="35"/>
  <c r="K157" i="35"/>
  <c r="K149" i="35"/>
  <c r="K156" i="35"/>
  <c r="K123" i="35"/>
  <c r="K120" i="35"/>
  <c r="K124" i="35"/>
  <c r="K86" i="35"/>
  <c r="K126" i="35"/>
  <c r="K154" i="35"/>
  <c r="C133" i="35"/>
  <c r="E133" i="35"/>
  <c r="K151" i="35"/>
  <c r="C37" i="35" l="1"/>
  <c r="K19" i="35"/>
  <c r="C142" i="35"/>
  <c r="G34" i="35"/>
  <c r="G53" i="35" s="1"/>
  <c r="K16" i="36"/>
  <c r="A9" i="35"/>
  <c r="A10" i="35" s="1"/>
  <c r="J25" i="35"/>
  <c r="D25" i="35"/>
  <c r="H25" i="35"/>
  <c r="F25" i="35"/>
  <c r="J9" i="35"/>
  <c r="H9" i="35"/>
  <c r="E142" i="35"/>
  <c r="E140" i="35"/>
  <c r="I87" i="35"/>
  <c r="I62" i="35"/>
  <c r="I101" i="35"/>
  <c r="I160" i="35"/>
  <c r="I71" i="35"/>
  <c r="I12" i="35"/>
  <c r="I30" i="35"/>
  <c r="E152" i="35"/>
  <c r="E158" i="35" s="1"/>
  <c r="C152" i="35"/>
  <c r="C158" i="35" s="1"/>
  <c r="K133" i="35"/>
  <c r="K142" i="35" l="1"/>
  <c r="G109" i="35"/>
  <c r="G169" i="35"/>
  <c r="D26" i="35"/>
  <c r="F26" i="35"/>
  <c r="H26" i="35"/>
  <c r="J26" i="35"/>
  <c r="E167" i="35"/>
  <c r="I106" i="35"/>
  <c r="I49" i="35"/>
  <c r="I92" i="35"/>
  <c r="G80" i="35"/>
  <c r="G16" i="36" s="1"/>
  <c r="G96" i="35"/>
  <c r="M16" i="36"/>
  <c r="O16" i="36" s="1"/>
  <c r="I165" i="35"/>
  <c r="I76" i="35"/>
  <c r="K152" i="35"/>
  <c r="K158" i="35" s="1"/>
  <c r="C167" i="35"/>
  <c r="K167" i="35" l="1"/>
  <c r="G66" i="35"/>
  <c r="H527" i="1" l="1"/>
  <c r="K527" i="1" s="1"/>
  <c r="H528" i="1"/>
  <c r="K528" i="1" s="1"/>
  <c r="H529" i="1"/>
  <c r="K529" i="1" s="1"/>
  <c r="H530" i="1"/>
  <c r="K530" i="1" s="1"/>
  <c r="H531" i="1"/>
  <c r="K531" i="1" s="1"/>
  <c r="H526" i="1"/>
  <c r="K526" i="1" s="1"/>
  <c r="H515" i="1"/>
  <c r="K515" i="1" s="1"/>
  <c r="H516" i="1"/>
  <c r="K516" i="1" s="1"/>
  <c r="H518" i="1"/>
  <c r="K518" i="1" s="1"/>
  <c r="H514" i="1"/>
  <c r="H422" i="1"/>
  <c r="K422" i="1" s="1"/>
  <c r="H423" i="1"/>
  <c r="K423" i="1" s="1"/>
  <c r="H424" i="1"/>
  <c r="K424" i="1" s="1"/>
  <c r="H425" i="1"/>
  <c r="H427" i="1"/>
  <c r="K427" i="1" s="1"/>
  <c r="H428" i="1"/>
  <c r="K428" i="1" s="1"/>
  <c r="H429" i="1"/>
  <c r="K429" i="1" s="1"/>
  <c r="H430" i="1"/>
  <c r="K430" i="1" s="1"/>
  <c r="H431" i="1"/>
  <c r="K431" i="1" s="1"/>
  <c r="H432" i="1"/>
  <c r="K432" i="1" s="1"/>
  <c r="H433" i="1"/>
  <c r="K433" i="1" s="1"/>
  <c r="H434" i="1"/>
  <c r="K434" i="1" s="1"/>
  <c r="H435" i="1"/>
  <c r="K435" i="1" s="1"/>
  <c r="H506" i="1"/>
  <c r="H436" i="1"/>
  <c r="K436" i="1" s="1"/>
  <c r="H421" i="1"/>
  <c r="H510" i="1"/>
  <c r="K510" i="1" s="1"/>
  <c r="H509" i="1"/>
  <c r="H342" i="1"/>
  <c r="H343" i="1"/>
  <c r="H344" i="1"/>
  <c r="H345" i="1"/>
  <c r="H346" i="1"/>
  <c r="H347" i="1"/>
  <c r="H348" i="1"/>
  <c r="H489" i="1"/>
  <c r="H490" i="1"/>
  <c r="H349" i="1"/>
  <c r="H350" i="1"/>
  <c r="H491" i="1"/>
  <c r="H492" i="1"/>
  <c r="H493" i="1"/>
  <c r="H351" i="1"/>
  <c r="H352" i="1"/>
  <c r="H353" i="1"/>
  <c r="H494" i="1"/>
  <c r="H354" i="1"/>
  <c r="H355" i="1"/>
  <c r="H356" i="1"/>
  <c r="H357" i="1"/>
  <c r="H495" i="1"/>
  <c r="H358" i="1"/>
  <c r="H359" i="1"/>
  <c r="H360" i="1"/>
  <c r="H361" i="1"/>
  <c r="H362" i="1"/>
  <c r="H363" i="1"/>
  <c r="H496" i="1"/>
  <c r="H364" i="1"/>
  <c r="H365" i="1"/>
  <c r="H366" i="1"/>
  <c r="H367" i="1"/>
  <c r="H368" i="1"/>
  <c r="H369" i="1"/>
  <c r="H370" i="1"/>
  <c r="H371" i="1"/>
  <c r="H372" i="1"/>
  <c r="H373" i="1"/>
  <c r="H374" i="1"/>
  <c r="H375" i="1"/>
  <c r="H376" i="1"/>
  <c r="H377" i="1"/>
  <c r="H378" i="1"/>
  <c r="H379" i="1"/>
  <c r="H380" i="1"/>
  <c r="H381" i="1"/>
  <c r="H382" i="1"/>
  <c r="H497" i="1"/>
  <c r="H383" i="1"/>
  <c r="H384" i="1"/>
  <c r="H385" i="1"/>
  <c r="H386" i="1"/>
  <c r="H387" i="1"/>
  <c r="H498" i="1"/>
  <c r="H499" i="1"/>
  <c r="H500" i="1"/>
  <c r="H388" i="1"/>
  <c r="H389" i="1"/>
  <c r="H390" i="1"/>
  <c r="H391" i="1"/>
  <c r="H392" i="1"/>
  <c r="H501" i="1"/>
  <c r="H393" i="1"/>
  <c r="H502"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317" i="1"/>
  <c r="H485" i="1"/>
  <c r="H318" i="1"/>
  <c r="H319" i="1"/>
  <c r="H320" i="1"/>
  <c r="H321" i="1"/>
  <c r="H322" i="1"/>
  <c r="H323" i="1"/>
  <c r="H324" i="1"/>
  <c r="H325" i="1"/>
  <c r="H326" i="1"/>
  <c r="H327" i="1"/>
  <c r="H328" i="1"/>
  <c r="H329" i="1"/>
  <c r="H330" i="1"/>
  <c r="H331" i="1"/>
  <c r="H486" i="1"/>
  <c r="H332" i="1"/>
  <c r="H333" i="1"/>
  <c r="H487" i="1"/>
  <c r="H334" i="1"/>
  <c r="H335" i="1"/>
  <c r="H336" i="1"/>
  <c r="H488" i="1"/>
  <c r="H337" i="1"/>
  <c r="H338" i="1"/>
  <c r="H339" i="1"/>
  <c r="H340" i="1"/>
  <c r="H341" i="1"/>
  <c r="H481" i="1"/>
  <c r="H302" i="1"/>
  <c r="H303" i="1"/>
  <c r="H304" i="1"/>
  <c r="H305" i="1"/>
  <c r="H482" i="1"/>
  <c r="H483" i="1"/>
  <c r="H306" i="1"/>
  <c r="H307" i="1"/>
  <c r="H308" i="1"/>
  <c r="H309" i="1"/>
  <c r="H310" i="1"/>
  <c r="H311" i="1"/>
  <c r="H312" i="1"/>
  <c r="H313" i="1"/>
  <c r="H314" i="1"/>
  <c r="H484" i="1"/>
  <c r="H315" i="1"/>
  <c r="H316" i="1"/>
  <c r="H282" i="1"/>
  <c r="H283" i="1"/>
  <c r="H284" i="1"/>
  <c r="H285" i="1"/>
  <c r="H286" i="1"/>
  <c r="H287" i="1"/>
  <c r="H288" i="1"/>
  <c r="H289" i="1"/>
  <c r="H290" i="1"/>
  <c r="H478" i="1"/>
  <c r="H291" i="1"/>
  <c r="H292" i="1"/>
  <c r="H293" i="1"/>
  <c r="H479" i="1"/>
  <c r="H294" i="1"/>
  <c r="H295" i="1"/>
  <c r="H296" i="1"/>
  <c r="H297" i="1"/>
  <c r="H298" i="1"/>
  <c r="H299" i="1"/>
  <c r="H300" i="1"/>
  <c r="H301" i="1"/>
  <c r="H480" i="1"/>
  <c r="H281" i="1"/>
  <c r="H277" i="1"/>
  <c r="K277" i="1" s="1"/>
  <c r="H278" i="1"/>
  <c r="K278" i="1" s="1"/>
  <c r="H279" i="1"/>
  <c r="K279" i="1" s="1"/>
  <c r="H276" i="1"/>
  <c r="H271" i="1"/>
  <c r="K271" i="1" s="1"/>
  <c r="H272" i="1"/>
  <c r="K272" i="1" s="1"/>
  <c r="H274" i="1"/>
  <c r="K274" i="1" s="1"/>
  <c r="H263" i="1"/>
  <c r="K263" i="1" s="1"/>
  <c r="H477" i="1"/>
  <c r="H264" i="1"/>
  <c r="K264" i="1" s="1"/>
  <c r="H265" i="1"/>
  <c r="K265" i="1" s="1"/>
  <c r="H266" i="1"/>
  <c r="K266" i="1" s="1"/>
  <c r="H267" i="1"/>
  <c r="K267" i="1" s="1"/>
  <c r="H268" i="1"/>
  <c r="K268" i="1" s="1"/>
  <c r="H269" i="1"/>
  <c r="K269" i="1" s="1"/>
  <c r="H270" i="1"/>
  <c r="K270" i="1" s="1"/>
  <c r="H262" i="1"/>
  <c r="H259" i="1"/>
  <c r="H260" i="1"/>
  <c r="H258" i="1"/>
  <c r="H240" i="1"/>
  <c r="K240" i="1" s="1"/>
  <c r="H241" i="1"/>
  <c r="K241" i="1" s="1"/>
  <c r="H242" i="1"/>
  <c r="K242" i="1" s="1"/>
  <c r="H243" i="1"/>
  <c r="K243" i="1" s="1"/>
  <c r="H244" i="1"/>
  <c r="K244" i="1" s="1"/>
  <c r="H245" i="1"/>
  <c r="K245" i="1" s="1"/>
  <c r="H246" i="1"/>
  <c r="K246" i="1" s="1"/>
  <c r="H247" i="1"/>
  <c r="K247" i="1" s="1"/>
  <c r="H248" i="1"/>
  <c r="K248" i="1" s="1"/>
  <c r="H249" i="1"/>
  <c r="K249" i="1" s="1"/>
  <c r="H250" i="1"/>
  <c r="K250" i="1" s="1"/>
  <c r="H251" i="1"/>
  <c r="K251" i="1" s="1"/>
  <c r="H252" i="1"/>
  <c r="K252" i="1" s="1"/>
  <c r="H253" i="1"/>
  <c r="K253" i="1" s="1"/>
  <c r="H254" i="1"/>
  <c r="K254" i="1" s="1"/>
  <c r="H255" i="1"/>
  <c r="K255" i="1" s="1"/>
  <c r="H256" i="1"/>
  <c r="K256" i="1" s="1"/>
  <c r="H239" i="1"/>
  <c r="H125" i="1"/>
  <c r="K125" i="1" s="1"/>
  <c r="H126" i="1"/>
  <c r="K126" i="1" s="1"/>
  <c r="H127" i="1"/>
  <c r="K127" i="1" s="1"/>
  <c r="H455" i="1"/>
  <c r="K455" i="1" s="1"/>
  <c r="H128" i="1"/>
  <c r="K128" i="1" s="1"/>
  <c r="H129" i="1"/>
  <c r="K129" i="1" s="1"/>
  <c r="H130" i="1"/>
  <c r="K130" i="1" s="1"/>
  <c r="H131" i="1"/>
  <c r="K131" i="1" s="1"/>
  <c r="H132" i="1"/>
  <c r="K132" i="1" s="1"/>
  <c r="H457" i="1"/>
  <c r="K457" i="1" s="1"/>
  <c r="H133" i="1"/>
  <c r="K133" i="1" s="1"/>
  <c r="H458" i="1"/>
  <c r="K458" i="1" s="1"/>
  <c r="H134" i="1"/>
  <c r="K134" i="1" s="1"/>
  <c r="H136" i="1"/>
  <c r="K136" i="1" s="1"/>
  <c r="H137" i="1"/>
  <c r="K137" i="1" s="1"/>
  <c r="H138" i="1"/>
  <c r="K138" i="1" s="1"/>
  <c r="H139" i="1"/>
  <c r="K139" i="1" s="1"/>
  <c r="H140" i="1"/>
  <c r="K140" i="1" s="1"/>
  <c r="H141" i="1"/>
  <c r="K141" i="1" s="1"/>
  <c r="H142" i="1"/>
  <c r="K142" i="1" s="1"/>
  <c r="H143" i="1"/>
  <c r="K143" i="1" s="1"/>
  <c r="H144" i="1"/>
  <c r="K144" i="1" s="1"/>
  <c r="H145" i="1"/>
  <c r="K145" i="1" s="1"/>
  <c r="H146" i="1"/>
  <c r="K146" i="1" s="1"/>
  <c r="H147" i="1"/>
  <c r="K147" i="1" s="1"/>
  <c r="H148" i="1"/>
  <c r="K148" i="1" s="1"/>
  <c r="H149" i="1"/>
  <c r="K149" i="1" s="1"/>
  <c r="H150" i="1"/>
  <c r="K150" i="1" s="1"/>
  <c r="H151" i="1"/>
  <c r="K151" i="1" s="1"/>
  <c r="H152" i="1"/>
  <c r="K152" i="1" s="1"/>
  <c r="H153" i="1"/>
  <c r="K153" i="1" s="1"/>
  <c r="H154" i="1"/>
  <c r="K154" i="1" s="1"/>
  <c r="H155" i="1"/>
  <c r="K155" i="1" s="1"/>
  <c r="H156" i="1"/>
  <c r="K156" i="1" s="1"/>
  <c r="H157" i="1"/>
  <c r="K157" i="1" s="1"/>
  <c r="H158" i="1"/>
  <c r="K158" i="1" s="1"/>
  <c r="H159" i="1"/>
  <c r="K159" i="1" s="1"/>
  <c r="H160" i="1"/>
  <c r="K160" i="1" s="1"/>
  <c r="H161" i="1"/>
  <c r="K161" i="1" s="1"/>
  <c r="H162" i="1"/>
  <c r="K162" i="1" s="1"/>
  <c r="H459" i="1"/>
  <c r="K459" i="1" s="1"/>
  <c r="H163" i="1"/>
  <c r="K163" i="1" s="1"/>
  <c r="H164" i="1"/>
  <c r="K164" i="1" s="1"/>
  <c r="H165" i="1"/>
  <c r="K165" i="1" s="1"/>
  <c r="H460" i="1"/>
  <c r="K460" i="1" s="1"/>
  <c r="H461" i="1"/>
  <c r="K461" i="1" s="1"/>
  <c r="H166" i="1"/>
  <c r="K166" i="1" s="1"/>
  <c r="H167" i="1"/>
  <c r="K167" i="1" s="1"/>
  <c r="H168" i="1"/>
  <c r="K168" i="1" s="1"/>
  <c r="H169" i="1"/>
  <c r="K169" i="1" s="1"/>
  <c r="H170" i="1"/>
  <c r="K170" i="1" s="1"/>
  <c r="H171" i="1"/>
  <c r="K171" i="1" s="1"/>
  <c r="H172" i="1"/>
  <c r="K172" i="1" s="1"/>
  <c r="H173" i="1"/>
  <c r="K173" i="1" s="1"/>
  <c r="H174" i="1"/>
  <c r="K174" i="1" s="1"/>
  <c r="H175" i="1"/>
  <c r="K175" i="1" s="1"/>
  <c r="H462" i="1"/>
  <c r="K462" i="1" s="1"/>
  <c r="H176" i="1"/>
  <c r="K176" i="1" s="1"/>
  <c r="H177" i="1"/>
  <c r="K177" i="1" s="1"/>
  <c r="H178" i="1"/>
  <c r="K178" i="1" s="1"/>
  <c r="H179" i="1"/>
  <c r="K179" i="1" s="1"/>
  <c r="H180" i="1"/>
  <c r="K180" i="1" s="1"/>
  <c r="H463" i="1"/>
  <c r="K463" i="1" s="1"/>
  <c r="H181" i="1"/>
  <c r="K181" i="1" s="1"/>
  <c r="H182" i="1"/>
  <c r="K182" i="1" s="1"/>
  <c r="H183" i="1"/>
  <c r="K183" i="1" s="1"/>
  <c r="H184" i="1"/>
  <c r="K184" i="1" s="1"/>
  <c r="H185" i="1"/>
  <c r="K185" i="1" s="1"/>
  <c r="H186" i="1"/>
  <c r="K186" i="1" s="1"/>
  <c r="H187" i="1"/>
  <c r="K187" i="1" s="1"/>
  <c r="H188" i="1"/>
  <c r="K188" i="1" s="1"/>
  <c r="H189" i="1"/>
  <c r="K189" i="1" s="1"/>
  <c r="H190" i="1"/>
  <c r="K190" i="1" s="1"/>
  <c r="H191" i="1"/>
  <c r="K191" i="1" s="1"/>
  <c r="H192" i="1"/>
  <c r="K192" i="1" s="1"/>
  <c r="H193" i="1"/>
  <c r="K193" i="1" s="1"/>
  <c r="H194" i="1"/>
  <c r="K194" i="1" s="1"/>
  <c r="H195" i="1"/>
  <c r="K195" i="1" s="1"/>
  <c r="H464" i="1"/>
  <c r="K464" i="1" s="1"/>
  <c r="H197" i="1"/>
  <c r="K197" i="1" s="1"/>
  <c r="H198" i="1"/>
  <c r="H199" i="1"/>
  <c r="K199" i="1" s="1"/>
  <c r="H465" i="1"/>
  <c r="K465" i="1" s="1"/>
  <c r="H200" i="1"/>
  <c r="K200" i="1" s="1"/>
  <c r="H201" i="1"/>
  <c r="K201" i="1" s="1"/>
  <c r="H466" i="1"/>
  <c r="K466" i="1" s="1"/>
  <c r="H467" i="1"/>
  <c r="K467" i="1" s="1"/>
  <c r="H202" i="1"/>
  <c r="K202" i="1" s="1"/>
  <c r="H203" i="1"/>
  <c r="K203" i="1" s="1"/>
  <c r="H204" i="1"/>
  <c r="K204" i="1" s="1"/>
  <c r="H205" i="1"/>
  <c r="K205" i="1" s="1"/>
  <c r="H206" i="1"/>
  <c r="K206" i="1" s="1"/>
  <c r="H207" i="1"/>
  <c r="K207" i="1" s="1"/>
  <c r="H208" i="1"/>
  <c r="K208" i="1" s="1"/>
  <c r="H209" i="1"/>
  <c r="K209" i="1" s="1"/>
  <c r="H210" i="1"/>
  <c r="K210" i="1" s="1"/>
  <c r="H211" i="1"/>
  <c r="K211" i="1" s="1"/>
  <c r="H468" i="1"/>
  <c r="K468" i="1" s="1"/>
  <c r="H212" i="1"/>
  <c r="K212" i="1" s="1"/>
  <c r="H213" i="1"/>
  <c r="K213" i="1" s="1"/>
  <c r="H214" i="1"/>
  <c r="K214" i="1" s="1"/>
  <c r="H215" i="1"/>
  <c r="K215" i="1" s="1"/>
  <c r="H216" i="1"/>
  <c r="K216" i="1" s="1"/>
  <c r="H469" i="1"/>
  <c r="K469" i="1" s="1"/>
  <c r="H217" i="1"/>
  <c r="K217" i="1" s="1"/>
  <c r="H218" i="1"/>
  <c r="K218" i="1" s="1"/>
  <c r="H219" i="1"/>
  <c r="K219" i="1" s="1"/>
  <c r="H220" i="1"/>
  <c r="K220" i="1" s="1"/>
  <c r="H221" i="1"/>
  <c r="K221" i="1" s="1"/>
  <c r="H222" i="1"/>
  <c r="K222" i="1" s="1"/>
  <c r="H223" i="1"/>
  <c r="K223" i="1" s="1"/>
  <c r="H224" i="1"/>
  <c r="K224" i="1" s="1"/>
  <c r="H225" i="1"/>
  <c r="K225" i="1" s="1"/>
  <c r="H226" i="1"/>
  <c r="K226" i="1" s="1"/>
  <c r="H227" i="1"/>
  <c r="K227" i="1" s="1"/>
  <c r="H470" i="1"/>
  <c r="K470" i="1" s="1"/>
  <c r="H471" i="1"/>
  <c r="K471" i="1" s="1"/>
  <c r="H228" i="1"/>
  <c r="K228" i="1" s="1"/>
  <c r="H229" i="1"/>
  <c r="K229" i="1" s="1"/>
  <c r="H230" i="1"/>
  <c r="K230" i="1" s="1"/>
  <c r="H231" i="1"/>
  <c r="K231" i="1" s="1"/>
  <c r="H232" i="1"/>
  <c r="K232" i="1" s="1"/>
  <c r="H233" i="1"/>
  <c r="K233" i="1" s="1"/>
  <c r="H234" i="1"/>
  <c r="K234" i="1" s="1"/>
  <c r="H235" i="1"/>
  <c r="K235" i="1" s="1"/>
  <c r="H236" i="1"/>
  <c r="K236" i="1" s="1"/>
  <c r="H237" i="1"/>
  <c r="K237" i="1" s="1"/>
  <c r="H119" i="1"/>
  <c r="K119" i="1" s="1"/>
  <c r="H121" i="1"/>
  <c r="K121" i="1" s="1"/>
  <c r="H122" i="1"/>
  <c r="K122" i="1" s="1"/>
  <c r="H124" i="1"/>
  <c r="K124" i="1" s="1"/>
  <c r="H454" i="1"/>
  <c r="K454" i="1" s="1"/>
  <c r="H113" i="1"/>
  <c r="K113" i="1" s="1"/>
  <c r="H114" i="1"/>
  <c r="K114" i="1" s="1"/>
  <c r="H115" i="1"/>
  <c r="K115" i="1" s="1"/>
  <c r="H116" i="1"/>
  <c r="K116" i="1" s="1"/>
  <c r="H453" i="1"/>
  <c r="H117" i="1"/>
  <c r="K117" i="1" s="1"/>
  <c r="H118" i="1"/>
  <c r="K118" i="1" s="1"/>
  <c r="H112" i="1"/>
  <c r="H8" i="1"/>
  <c r="K8" i="1" s="1"/>
  <c r="H9" i="1"/>
  <c r="K9" i="1" s="1"/>
  <c r="H10" i="1"/>
  <c r="K10" i="1" s="1"/>
  <c r="H11" i="1"/>
  <c r="K11" i="1" s="1"/>
  <c r="H12" i="1"/>
  <c r="K12" i="1" s="1"/>
  <c r="H13" i="1"/>
  <c r="K13" i="1" s="1"/>
  <c r="H14" i="1"/>
  <c r="K14" i="1" s="1"/>
  <c r="H15" i="1"/>
  <c r="K15" i="1" s="1"/>
  <c r="H16" i="1"/>
  <c r="K16" i="1" s="1"/>
  <c r="H17" i="1"/>
  <c r="K17" i="1" s="1"/>
  <c r="H18" i="1"/>
  <c r="K18" i="1" s="1"/>
  <c r="H19" i="1"/>
  <c r="K19" i="1" s="1"/>
  <c r="H20" i="1"/>
  <c r="K20" i="1" s="1"/>
  <c r="H21" i="1"/>
  <c r="K21" i="1" s="1"/>
  <c r="H22" i="1"/>
  <c r="K22" i="1" s="1"/>
  <c r="H23" i="1"/>
  <c r="K23" i="1" s="1"/>
  <c r="H24" i="1"/>
  <c r="K24" i="1" s="1"/>
  <c r="H25" i="1"/>
  <c r="K25" i="1" s="1"/>
  <c r="H26" i="1"/>
  <c r="K26" i="1" s="1"/>
  <c r="H27" i="1"/>
  <c r="H28" i="1"/>
  <c r="K28" i="1" s="1"/>
  <c r="H29" i="1"/>
  <c r="K29" i="1" s="1"/>
  <c r="H30" i="1"/>
  <c r="K30" i="1" s="1"/>
  <c r="H31" i="1"/>
  <c r="K31" i="1" s="1"/>
  <c r="H32" i="1"/>
  <c r="K32" i="1" s="1"/>
  <c r="H33" i="1"/>
  <c r="K33" i="1" s="1"/>
  <c r="H34" i="1"/>
  <c r="K34" i="1" s="1"/>
  <c r="H35" i="1"/>
  <c r="K35" i="1" s="1"/>
  <c r="H36" i="1"/>
  <c r="K36" i="1" s="1"/>
  <c r="H37" i="1"/>
  <c r="K37" i="1" s="1"/>
  <c r="H38" i="1"/>
  <c r="K38" i="1" s="1"/>
  <c r="H39" i="1"/>
  <c r="K39" i="1" s="1"/>
  <c r="H40" i="1"/>
  <c r="K40" i="1" s="1"/>
  <c r="H441" i="1"/>
  <c r="H442" i="1"/>
  <c r="K442" i="1" s="1"/>
  <c r="H41" i="1"/>
  <c r="K41" i="1" s="1"/>
  <c r="H42" i="1"/>
  <c r="K42" i="1" s="1"/>
  <c r="H43" i="1"/>
  <c r="K43" i="1" s="1"/>
  <c r="H44" i="1"/>
  <c r="K44" i="1" s="1"/>
  <c r="H45" i="1"/>
  <c r="K45" i="1" s="1"/>
  <c r="H46" i="1"/>
  <c r="K46" i="1" s="1"/>
  <c r="H47" i="1"/>
  <c r="K47" i="1" s="1"/>
  <c r="H48" i="1"/>
  <c r="K48" i="1" s="1"/>
  <c r="H49" i="1"/>
  <c r="K49" i="1" s="1"/>
  <c r="H50" i="1"/>
  <c r="K50" i="1" s="1"/>
  <c r="H51" i="1"/>
  <c r="K51" i="1" s="1"/>
  <c r="H52" i="1"/>
  <c r="K52" i="1" s="1"/>
  <c r="H53" i="1"/>
  <c r="K53" i="1" s="1"/>
  <c r="H54" i="1"/>
  <c r="K54" i="1" s="1"/>
  <c r="H55" i="1"/>
  <c r="K55" i="1" s="1"/>
  <c r="H56" i="1"/>
  <c r="K56" i="1" s="1"/>
  <c r="H57" i="1"/>
  <c r="K57" i="1" s="1"/>
  <c r="H58" i="1"/>
  <c r="K58" i="1" s="1"/>
  <c r="H59" i="1"/>
  <c r="K59" i="1" s="1"/>
  <c r="H443" i="1"/>
  <c r="K443" i="1" s="1"/>
  <c r="H60" i="1"/>
  <c r="K60" i="1" s="1"/>
  <c r="H61" i="1"/>
  <c r="K61" i="1" s="1"/>
  <c r="H62" i="1"/>
  <c r="K62" i="1" s="1"/>
  <c r="H444" i="1"/>
  <c r="K444" i="1" s="1"/>
  <c r="H445" i="1"/>
  <c r="K445" i="1" s="1"/>
  <c r="H63" i="1"/>
  <c r="K63" i="1" s="1"/>
  <c r="H64" i="1"/>
  <c r="K64" i="1" s="1"/>
  <c r="H65" i="1"/>
  <c r="K65" i="1" s="1"/>
  <c r="H66" i="1"/>
  <c r="K66" i="1" s="1"/>
  <c r="H67" i="1"/>
  <c r="K67" i="1" s="1"/>
  <c r="H68" i="1"/>
  <c r="K68" i="1" s="1"/>
  <c r="H69" i="1"/>
  <c r="K69" i="1" s="1"/>
  <c r="H70" i="1"/>
  <c r="K70" i="1" s="1"/>
  <c r="H71" i="1"/>
  <c r="K71" i="1" s="1"/>
  <c r="H72" i="1"/>
  <c r="K72" i="1" s="1"/>
  <c r="H446" i="1"/>
  <c r="K446" i="1" s="1"/>
  <c r="H73" i="1"/>
  <c r="K73" i="1" s="1"/>
  <c r="H74" i="1"/>
  <c r="K74" i="1" s="1"/>
  <c r="H75" i="1"/>
  <c r="K75" i="1" s="1"/>
  <c r="H76" i="1"/>
  <c r="K76" i="1" s="1"/>
  <c r="H77" i="1"/>
  <c r="H78" i="1"/>
  <c r="K78" i="1" s="1"/>
  <c r="H79" i="1"/>
  <c r="K79" i="1" s="1"/>
  <c r="H447" i="1"/>
  <c r="K447" i="1" s="1"/>
  <c r="H80" i="1"/>
  <c r="K80" i="1" s="1"/>
  <c r="H81" i="1"/>
  <c r="K81" i="1" s="1"/>
  <c r="H82" i="1"/>
  <c r="K82" i="1" s="1"/>
  <c r="H83" i="1"/>
  <c r="K83" i="1" s="1"/>
  <c r="H84" i="1"/>
  <c r="K84" i="1" s="1"/>
  <c r="H85" i="1"/>
  <c r="K85" i="1" s="1"/>
  <c r="H86" i="1"/>
  <c r="K86" i="1" s="1"/>
  <c r="H87" i="1"/>
  <c r="K87" i="1" s="1"/>
  <c r="H88" i="1"/>
  <c r="K88" i="1" s="1"/>
  <c r="H89" i="1"/>
  <c r="K89" i="1" s="1"/>
  <c r="H90" i="1"/>
  <c r="K90" i="1" s="1"/>
  <c r="H91" i="1"/>
  <c r="K91" i="1" s="1"/>
  <c r="H92" i="1"/>
  <c r="K92" i="1" s="1"/>
  <c r="H93" i="1"/>
  <c r="K93" i="1" s="1"/>
  <c r="H94" i="1"/>
  <c r="K94" i="1" s="1"/>
  <c r="H95" i="1"/>
  <c r="K95" i="1" s="1"/>
  <c r="H96" i="1"/>
  <c r="K96" i="1" s="1"/>
  <c r="H448" i="1"/>
  <c r="K448" i="1" s="1"/>
  <c r="H97" i="1"/>
  <c r="K97" i="1" s="1"/>
  <c r="H98" i="1"/>
  <c r="K98" i="1" s="1"/>
  <c r="H99" i="1"/>
  <c r="K99" i="1" s="1"/>
  <c r="H100" i="1"/>
  <c r="K100" i="1" s="1"/>
  <c r="H101" i="1"/>
  <c r="K101" i="1" s="1"/>
  <c r="H449" i="1"/>
  <c r="K449" i="1" s="1"/>
  <c r="H102" i="1"/>
  <c r="K102" i="1" s="1"/>
  <c r="H103" i="1"/>
  <c r="K103" i="1" s="1"/>
  <c r="H450" i="1"/>
  <c r="K450" i="1" s="1"/>
  <c r="H104" i="1"/>
  <c r="K104" i="1" s="1"/>
  <c r="H105" i="1"/>
  <c r="K105" i="1" s="1"/>
  <c r="H106" i="1"/>
  <c r="K106" i="1" s="1"/>
  <c r="H107" i="1"/>
  <c r="K107" i="1" s="1"/>
  <c r="H108" i="1"/>
  <c r="K108" i="1" s="1"/>
  <c r="H109" i="1"/>
  <c r="K109" i="1" s="1"/>
  <c r="H110" i="1"/>
  <c r="K110" i="1" s="1"/>
  <c r="H451" i="1"/>
  <c r="K451" i="1" s="1"/>
  <c r="H7" i="1"/>
  <c r="D35" i="35" l="1"/>
  <c r="D36" i="35"/>
  <c r="F33" i="35"/>
  <c r="D33" i="35"/>
  <c r="H33" i="35"/>
  <c r="K11" i="36"/>
  <c r="H261" i="1"/>
  <c r="H505" i="1"/>
  <c r="H452" i="1"/>
  <c r="H420" i="1"/>
  <c r="H280" i="1"/>
  <c r="K262" i="1"/>
  <c r="H257" i="1"/>
  <c r="H111" i="1"/>
  <c r="K514" i="1"/>
  <c r="K239" i="1"/>
  <c r="K257" i="1" s="1"/>
  <c r="K276" i="1"/>
  <c r="K280" i="1" s="1"/>
  <c r="K509" i="1"/>
  <c r="H511" i="1"/>
  <c r="K112" i="1"/>
  <c r="K421" i="1"/>
  <c r="K506" i="1"/>
  <c r="K507" i="1" s="1"/>
  <c r="H507" i="1"/>
  <c r="K441" i="1"/>
  <c r="K452" i="1" s="1"/>
  <c r="K477" i="1"/>
  <c r="K77" i="1"/>
  <c r="K453" i="1"/>
  <c r="H532" i="1"/>
  <c r="H535" i="1" s="1"/>
  <c r="K7" i="1"/>
  <c r="K425" i="1"/>
  <c r="D28" i="35" l="1"/>
  <c r="D29" i="35"/>
  <c r="D37" i="35"/>
  <c r="D34" i="35"/>
  <c r="H34" i="35"/>
  <c r="F34" i="35"/>
  <c r="K10" i="36"/>
  <c r="K511" i="1"/>
  <c r="D38" i="35" l="1"/>
  <c r="K12" i="36"/>
  <c r="L11" i="36" s="1"/>
  <c r="I532" i="1"/>
  <c r="I535" i="1" s="1"/>
  <c r="J532" i="1"/>
  <c r="J535" i="1" s="1"/>
  <c r="L10" i="36" l="1"/>
  <c r="K532" i="1"/>
  <c r="G15" i="35" s="1"/>
  <c r="G14" i="35" s="1"/>
  <c r="K9" i="5"/>
  <c r="K22" i="36" s="1"/>
  <c r="K19" i="36"/>
  <c r="G8" i="5"/>
  <c r="D39" i="35" l="1"/>
  <c r="G10" i="5"/>
  <c r="K8" i="5"/>
  <c r="K8" i="36"/>
  <c r="G33" i="35"/>
  <c r="K535" i="1"/>
  <c r="G8" i="35" s="1"/>
  <c r="K7" i="5"/>
  <c r="K20" i="36" s="1"/>
  <c r="D40" i="35" l="1"/>
  <c r="G52" i="35"/>
  <c r="G65" i="35" s="1"/>
  <c r="G79" i="35"/>
  <c r="G8" i="36" s="1"/>
  <c r="G168" i="35"/>
  <c r="K21" i="36"/>
  <c r="G41" i="35"/>
  <c r="G25" i="35"/>
  <c r="G95" i="35"/>
  <c r="G108" i="35"/>
  <c r="K10" i="5"/>
  <c r="G9" i="35"/>
  <c r="C17" i="35" l="1"/>
  <c r="C10" i="35"/>
  <c r="K10" i="35" s="1"/>
  <c r="K23" i="36"/>
  <c r="K26" i="36" s="1"/>
  <c r="L22" i="36"/>
  <c r="L19" i="36"/>
  <c r="G101" i="35"/>
  <c r="G87" i="35"/>
  <c r="G71" i="35"/>
  <c r="G44" i="35"/>
  <c r="G57" i="35" s="1"/>
  <c r="G160" i="35"/>
  <c r="L20" i="36"/>
  <c r="R20" i="36" s="1"/>
  <c r="M8" i="36"/>
  <c r="O8" i="36" s="1"/>
  <c r="F8" i="36"/>
  <c r="F16" i="36"/>
  <c r="G12" i="35"/>
  <c r="G26" i="35"/>
  <c r="R19" i="36" l="1"/>
  <c r="T19" i="36"/>
  <c r="L21" i="36"/>
  <c r="T21" i="36" s="1"/>
  <c r="C35" i="35"/>
  <c r="C28" i="35"/>
  <c r="R22" i="36"/>
  <c r="R21" i="36"/>
  <c r="Q21" i="36"/>
  <c r="K17" i="35"/>
  <c r="Q20" i="36"/>
  <c r="T20" i="36"/>
  <c r="Q22" i="36"/>
  <c r="T22" i="36"/>
  <c r="Q19" i="36"/>
  <c r="G106" i="35"/>
  <c r="G113" i="35"/>
  <c r="G49" i="35"/>
  <c r="G165" i="35"/>
  <c r="G30" i="35"/>
  <c r="G76" i="35"/>
  <c r="C102" i="35" l="1"/>
  <c r="C72" i="35"/>
  <c r="C45" i="35"/>
  <c r="C58" i="35" s="1"/>
  <c r="C161" i="35"/>
  <c r="K28" i="36"/>
  <c r="K31" i="36" s="1"/>
  <c r="G92" i="35"/>
  <c r="G62" i="35"/>
  <c r="L27" i="36" l="1"/>
  <c r="F273" i="1"/>
  <c r="F275" i="1" s="1"/>
  <c r="I294" i="1"/>
  <c r="K294" i="1" s="1"/>
  <c r="I295" i="1"/>
  <c r="K295" i="1" s="1"/>
  <c r="I296" i="1"/>
  <c r="K296" i="1" s="1"/>
  <c r="I387" i="1"/>
  <c r="K387" i="1" s="1"/>
  <c r="I498" i="1"/>
  <c r="K498" i="1" s="1"/>
  <c r="I499" i="1"/>
  <c r="K499" i="1" s="1"/>
  <c r="T27" i="36" l="1"/>
  <c r="Q27" i="36"/>
  <c r="R27" i="36"/>
  <c r="H273" i="1"/>
  <c r="H275" i="1" s="1"/>
  <c r="K273" i="1" l="1"/>
  <c r="K275" i="1" s="1"/>
  <c r="G426" i="1"/>
  <c r="H426" i="1" l="1"/>
  <c r="H437" i="1" s="1"/>
  <c r="G437" i="1"/>
  <c r="K22" i="35"/>
  <c r="F135" i="1"/>
  <c r="H135" i="1" s="1"/>
  <c r="K135" i="1" s="1"/>
  <c r="F120" i="1"/>
  <c r="F123" i="1"/>
  <c r="H123" i="1" s="1"/>
  <c r="K123" i="1" s="1"/>
  <c r="K426" i="1" l="1"/>
  <c r="K437" i="1" s="1"/>
  <c r="G438" i="1"/>
  <c r="G512" i="1" s="1"/>
  <c r="H120" i="1"/>
  <c r="K120" i="1" l="1"/>
  <c r="F522" i="1" l="1"/>
  <c r="F517" i="1"/>
  <c r="D55" i="35" l="1"/>
  <c r="H517" i="1"/>
  <c r="H519" i="1" s="1"/>
  <c r="F519" i="1"/>
  <c r="G522" i="1"/>
  <c r="H522" i="1" s="1"/>
  <c r="K522" i="1" s="1"/>
  <c r="H44" i="35" l="1"/>
  <c r="H52" i="35"/>
  <c r="D45" i="35"/>
  <c r="F53" i="35"/>
  <c r="D44" i="35"/>
  <c r="F44" i="35"/>
  <c r="F52" i="35"/>
  <c r="D52" i="35"/>
  <c r="D53" i="35"/>
  <c r="H53" i="35"/>
  <c r="D57" i="35"/>
  <c r="D46" i="35"/>
  <c r="D47" i="35"/>
  <c r="D48" i="35"/>
  <c r="D54" i="35"/>
  <c r="K517" i="1"/>
  <c r="K519" i="1" s="1"/>
  <c r="E33" i="35" s="1"/>
  <c r="J57" i="35" l="1"/>
  <c r="F57" i="35"/>
  <c r="H57" i="35"/>
  <c r="E108" i="35"/>
  <c r="E79" i="35"/>
  <c r="E52" i="35"/>
  <c r="E168" i="35"/>
  <c r="E15" i="35"/>
  <c r="E65" i="35" l="1"/>
  <c r="K7" i="36"/>
  <c r="F7" i="36"/>
  <c r="E95" i="35"/>
  <c r="G7" i="36"/>
  <c r="E143" i="35"/>
  <c r="I7" i="36" s="1"/>
  <c r="K135" i="5"/>
  <c r="K136" i="5"/>
  <c r="I135" i="5"/>
  <c r="I136" i="5"/>
  <c r="K63" i="5"/>
  <c r="K64" i="5"/>
  <c r="I63" i="5"/>
  <c r="I64" i="5"/>
  <c r="M7" i="36" l="1"/>
  <c r="O7" i="36" s="1"/>
  <c r="D95" i="25"/>
  <c r="D94" i="25"/>
  <c r="D93" i="25"/>
  <c r="D92" i="25"/>
  <c r="D91" i="25"/>
  <c r="D90" i="25"/>
  <c r="D89" i="25"/>
  <c r="D88" i="25"/>
  <c r="D87" i="25"/>
  <c r="D86" i="25"/>
  <c r="D85" i="25"/>
  <c r="D84" i="25"/>
  <c r="D69" i="25"/>
  <c r="D68" i="25"/>
  <c r="D67" i="25"/>
  <c r="D66" i="25"/>
  <c r="D65" i="25"/>
  <c r="D64" i="25"/>
  <c r="D63" i="25"/>
  <c r="D62" i="25"/>
  <c r="D61" i="25"/>
  <c r="D60" i="25"/>
  <c r="D59" i="25"/>
  <c r="D58" i="25"/>
  <c r="D30" i="25"/>
  <c r="D29" i="25"/>
  <c r="D28" i="25"/>
  <c r="D27" i="25"/>
  <c r="D26" i="25"/>
  <c r="D25" i="25"/>
  <c r="D24" i="25"/>
  <c r="D23" i="25"/>
  <c r="D22" i="25"/>
  <c r="D21" i="25"/>
  <c r="D20" i="25"/>
  <c r="D19" i="25"/>
  <c r="D70" i="25" l="1"/>
  <c r="D96" i="25"/>
  <c r="R37" i="36" s="1"/>
  <c r="D31" i="25"/>
  <c r="Q18" i="36" s="1"/>
  <c r="A1" i="32" l="1"/>
  <c r="F65" i="35" l="1"/>
  <c r="H65" i="35"/>
  <c r="D65" i="35"/>
  <c r="K47" i="5"/>
  <c r="K48" i="5"/>
  <c r="I47" i="5"/>
  <c r="I48" i="5"/>
  <c r="K51" i="5"/>
  <c r="K52" i="5"/>
  <c r="K55" i="5"/>
  <c r="K56" i="5"/>
  <c r="I52" i="5"/>
  <c r="I55" i="5"/>
  <c r="I56" i="5"/>
  <c r="K74" i="5"/>
  <c r="K75" i="5"/>
  <c r="K76" i="5"/>
  <c r="K77" i="5"/>
  <c r="I74" i="5"/>
  <c r="I75" i="5"/>
  <c r="I76" i="5"/>
  <c r="I77" i="5"/>
  <c r="I78" i="5"/>
  <c r="D66" i="35" l="1"/>
  <c r="F66" i="35"/>
  <c r="H66" i="35"/>
  <c r="I290" i="1"/>
  <c r="K290" i="1" s="1"/>
  <c r="I478" i="1"/>
  <c r="I291" i="1"/>
  <c r="K291" i="1" s="1"/>
  <c r="I292" i="1"/>
  <c r="K292" i="1" s="1"/>
  <c r="F456" i="1"/>
  <c r="I416" i="1"/>
  <c r="K416" i="1" s="1"/>
  <c r="I392" i="1"/>
  <c r="K392" i="1" s="1"/>
  <c r="I339" i="1"/>
  <c r="K339" i="1" s="1"/>
  <c r="K86" i="5"/>
  <c r="K87" i="5"/>
  <c r="D67" i="35" l="1"/>
  <c r="F472" i="1"/>
  <c r="F508" i="1" s="1"/>
  <c r="K478" i="1"/>
  <c r="H456" i="1"/>
  <c r="H472" i="1" s="1"/>
  <c r="H508" i="1" s="1"/>
  <c r="J27" i="1"/>
  <c r="J111" i="1" s="1"/>
  <c r="D68" i="35" l="1"/>
  <c r="K27" i="1"/>
  <c r="K111" i="1" s="1"/>
  <c r="K456" i="1"/>
  <c r="K472" i="1" s="1"/>
  <c r="D72" i="35" l="1"/>
  <c r="D73" i="35"/>
  <c r="D74" i="35"/>
  <c r="D75" i="35"/>
  <c r="H71" i="35"/>
  <c r="F71" i="35"/>
  <c r="D71" i="35"/>
  <c r="I87" i="5"/>
  <c r="K61" i="5"/>
  <c r="K62" i="5"/>
  <c r="I61" i="5"/>
  <c r="I62" i="5"/>
  <c r="F80" i="35" l="1"/>
  <c r="D80" i="35"/>
  <c r="F79" i="35"/>
  <c r="H79" i="35"/>
  <c r="H80" i="35"/>
  <c r="D82" i="35"/>
  <c r="D81" i="35"/>
  <c r="D79" i="35"/>
  <c r="J198" i="1"/>
  <c r="J238" i="1" s="1"/>
  <c r="D87" i="35" l="1"/>
  <c r="D88" i="35"/>
  <c r="D89" i="35"/>
  <c r="D90" i="35"/>
  <c r="D91" i="35"/>
  <c r="F87" i="35"/>
  <c r="D98" i="35"/>
  <c r="H87" i="35"/>
  <c r="H96" i="35"/>
  <c r="F96" i="35"/>
  <c r="D97" i="35"/>
  <c r="D95" i="35"/>
  <c r="F95" i="35"/>
  <c r="H95" i="35"/>
  <c r="D96" i="35"/>
  <c r="K198" i="1"/>
  <c r="G98" i="5"/>
  <c r="D109" i="35" l="1"/>
  <c r="D108" i="35"/>
  <c r="D101" i="35"/>
  <c r="H108" i="35"/>
  <c r="D110" i="35"/>
  <c r="D111" i="35"/>
  <c r="H109" i="35"/>
  <c r="F101" i="35"/>
  <c r="H101" i="35"/>
  <c r="F108" i="35"/>
  <c r="F109" i="35"/>
  <c r="G82" i="5"/>
  <c r="K81" i="5"/>
  <c r="K80" i="5"/>
  <c r="K79" i="5"/>
  <c r="K78" i="5"/>
  <c r="I79" i="5"/>
  <c r="I80" i="5"/>
  <c r="I81" i="5"/>
  <c r="K33" i="5"/>
  <c r="K34" i="5"/>
  <c r="I33" i="5"/>
  <c r="I34" i="5"/>
  <c r="G43" i="5"/>
  <c r="J113" i="35" l="1"/>
  <c r="H113" i="35"/>
  <c r="F113" i="35"/>
  <c r="D113" i="35"/>
  <c r="K127" i="5"/>
  <c r="K128" i="5"/>
  <c r="K131" i="5"/>
  <c r="K132" i="5"/>
  <c r="K133" i="5"/>
  <c r="K134" i="5"/>
  <c r="I127" i="5"/>
  <c r="I128" i="5"/>
  <c r="I131" i="5"/>
  <c r="I132" i="5"/>
  <c r="I133" i="5"/>
  <c r="I134" i="5"/>
  <c r="G139" i="5"/>
  <c r="I139" i="5" s="1"/>
  <c r="B108" i="25"/>
  <c r="B107" i="25"/>
  <c r="B106" i="25"/>
  <c r="B105" i="25"/>
  <c r="B104" i="25"/>
  <c r="B103" i="25"/>
  <c r="B102" i="25"/>
  <c r="B101" i="25"/>
  <c r="B100" i="25"/>
  <c r="B99" i="25"/>
  <c r="B98" i="25"/>
  <c r="B97" i="25"/>
  <c r="B17" i="25"/>
  <c r="B164" i="25" s="1"/>
  <c r="B16" i="25"/>
  <c r="B15" i="25"/>
  <c r="B14" i="25"/>
  <c r="B13" i="25"/>
  <c r="B12" i="25"/>
  <c r="B11" i="25"/>
  <c r="B10" i="25"/>
  <c r="B9" i="25"/>
  <c r="B8" i="25"/>
  <c r="B7" i="25"/>
  <c r="B6" i="25"/>
  <c r="B82" i="25"/>
  <c r="B125" i="25" s="1"/>
  <c r="B81" i="25"/>
  <c r="B80" i="25"/>
  <c r="B79" i="25"/>
  <c r="B78" i="25"/>
  <c r="B77" i="25"/>
  <c r="B76" i="25"/>
  <c r="B75" i="25"/>
  <c r="B74" i="25"/>
  <c r="B73" i="25"/>
  <c r="B72" i="25"/>
  <c r="B71" i="25"/>
  <c r="B94" i="25"/>
  <c r="B93" i="25"/>
  <c r="B92" i="25"/>
  <c r="B91" i="25"/>
  <c r="B90" i="25"/>
  <c r="B89" i="25"/>
  <c r="B88" i="25"/>
  <c r="B87" i="25"/>
  <c r="B86" i="25"/>
  <c r="B85" i="25"/>
  <c r="B84" i="25"/>
  <c r="B69" i="25"/>
  <c r="B163" i="25" s="1"/>
  <c r="B68" i="25"/>
  <c r="B162" i="25" s="1"/>
  <c r="B67" i="25"/>
  <c r="B66" i="25"/>
  <c r="B65" i="25"/>
  <c r="B64" i="25"/>
  <c r="B63" i="25"/>
  <c r="B62" i="25"/>
  <c r="B61" i="25"/>
  <c r="B155" i="25" s="1"/>
  <c r="B60" i="25"/>
  <c r="B154" i="25" s="1"/>
  <c r="B59" i="25"/>
  <c r="B153" i="25" s="1"/>
  <c r="B58" i="25"/>
  <c r="B56" i="25"/>
  <c r="B55" i="25"/>
  <c r="B54" i="25"/>
  <c r="B53" i="25"/>
  <c r="B52" i="25"/>
  <c r="B51" i="25"/>
  <c r="B50" i="25"/>
  <c r="B49" i="25"/>
  <c r="B48" i="25"/>
  <c r="B47" i="25"/>
  <c r="B46" i="25"/>
  <c r="B45" i="25"/>
  <c r="B43" i="25"/>
  <c r="B124" i="25" s="1"/>
  <c r="B42" i="25"/>
  <c r="B123" i="25" s="1"/>
  <c r="B41" i="25"/>
  <c r="B122" i="25" s="1"/>
  <c r="B40" i="25"/>
  <c r="B121" i="25" s="1"/>
  <c r="B39" i="25"/>
  <c r="B120" i="25" s="1"/>
  <c r="B38" i="25"/>
  <c r="B119" i="25" s="1"/>
  <c r="B37" i="25"/>
  <c r="B118" i="25" s="1"/>
  <c r="B36" i="25"/>
  <c r="B117" i="25" s="1"/>
  <c r="B35" i="25"/>
  <c r="B116" i="25" s="1"/>
  <c r="B34" i="25"/>
  <c r="B115" i="25" s="1"/>
  <c r="B33" i="25"/>
  <c r="B114" i="25" s="1"/>
  <c r="B32" i="25"/>
  <c r="I418" i="1"/>
  <c r="K418" i="1" s="1"/>
  <c r="I382" i="1"/>
  <c r="K382" i="1" s="1"/>
  <c r="I310" i="1"/>
  <c r="K310" i="1" s="1"/>
  <c r="A3" i="5"/>
  <c r="A3" i="1"/>
  <c r="A1" i="25"/>
  <c r="A1" i="5"/>
  <c r="A1" i="1"/>
  <c r="K147" i="5"/>
  <c r="I147" i="5"/>
  <c r="K73" i="5"/>
  <c r="I73" i="5"/>
  <c r="I486" i="1"/>
  <c r="K486" i="1" s="1"/>
  <c r="F196" i="1"/>
  <c r="F238" i="1" s="1"/>
  <c r="F438" i="1" s="1"/>
  <c r="F512" i="1" s="1"/>
  <c r="I334" i="1"/>
  <c r="K334" i="1" s="1"/>
  <c r="I328" i="1"/>
  <c r="K328" i="1" s="1"/>
  <c r="G532" i="1"/>
  <c r="G535" i="1" s="1"/>
  <c r="G537" i="1" s="1"/>
  <c r="G155" i="5"/>
  <c r="K155" i="5" s="1"/>
  <c r="G154" i="5"/>
  <c r="K154" i="5" s="1"/>
  <c r="G153" i="5"/>
  <c r="I153" i="5" s="1"/>
  <c r="G152" i="5"/>
  <c r="G151" i="5"/>
  <c r="G150" i="5"/>
  <c r="K150" i="5" s="1"/>
  <c r="G149" i="5"/>
  <c r="K149" i="5" s="1"/>
  <c r="G148" i="5"/>
  <c r="G145" i="5"/>
  <c r="G144" i="5"/>
  <c r="G143" i="5"/>
  <c r="I143" i="5" s="1"/>
  <c r="G142" i="5"/>
  <c r="I129" i="5"/>
  <c r="G138" i="5"/>
  <c r="G126" i="5"/>
  <c r="I126" i="5" s="1"/>
  <c r="G125" i="5"/>
  <c r="G124" i="5"/>
  <c r="I124" i="5" s="1"/>
  <c r="G123" i="5"/>
  <c r="K123" i="5" s="1"/>
  <c r="G122" i="5"/>
  <c r="G121" i="5"/>
  <c r="G120" i="5"/>
  <c r="I120" i="5" s="1"/>
  <c r="G119" i="5"/>
  <c r="K119" i="5" s="1"/>
  <c r="G118" i="5"/>
  <c r="G117" i="5"/>
  <c r="G116" i="5"/>
  <c r="K116" i="5" s="1"/>
  <c r="G115" i="5"/>
  <c r="I115" i="5" s="1"/>
  <c r="G114" i="5"/>
  <c r="G113" i="5"/>
  <c r="K113" i="5" s="1"/>
  <c r="G112" i="5"/>
  <c r="K112" i="5" s="1"/>
  <c r="G111" i="5"/>
  <c r="K111" i="5" s="1"/>
  <c r="G110" i="5"/>
  <c r="G109" i="5"/>
  <c r="K109" i="5" s="1"/>
  <c r="G108" i="5"/>
  <c r="I108" i="5" s="1"/>
  <c r="G107" i="5"/>
  <c r="K107" i="5" s="1"/>
  <c r="G104" i="5"/>
  <c r="I104" i="5" s="1"/>
  <c r="G103" i="5"/>
  <c r="K103" i="5" s="1"/>
  <c r="G102" i="5"/>
  <c r="G101" i="5"/>
  <c r="G100" i="5"/>
  <c r="K100" i="5" s="1"/>
  <c r="G99" i="5"/>
  <c r="I99" i="5" s="1"/>
  <c r="G97" i="5"/>
  <c r="K97" i="5" s="1"/>
  <c r="G96" i="5"/>
  <c r="K96" i="5" s="1"/>
  <c r="G95" i="5"/>
  <c r="I95" i="5" s="1"/>
  <c r="G94" i="5"/>
  <c r="G93" i="5"/>
  <c r="K93" i="5" s="1"/>
  <c r="I92" i="5"/>
  <c r="G91" i="5"/>
  <c r="I91" i="5" s="1"/>
  <c r="G90" i="5"/>
  <c r="G89" i="5"/>
  <c r="G88" i="5"/>
  <c r="I88" i="5" s="1"/>
  <c r="G85" i="5"/>
  <c r="K85" i="5" s="1"/>
  <c r="G84" i="5"/>
  <c r="G83" i="5"/>
  <c r="G60" i="5"/>
  <c r="G59" i="5"/>
  <c r="K59" i="5" s="1"/>
  <c r="K58" i="5"/>
  <c r="G57" i="5"/>
  <c r="K57" i="5" s="1"/>
  <c r="G54" i="5"/>
  <c r="G53" i="5"/>
  <c r="G50" i="5"/>
  <c r="I50" i="5" s="1"/>
  <c r="G49" i="5"/>
  <c r="G46" i="5"/>
  <c r="K46" i="5" s="1"/>
  <c r="G45" i="5"/>
  <c r="I45" i="5" s="1"/>
  <c r="G44" i="5"/>
  <c r="K44" i="5" s="1"/>
  <c r="G42" i="5"/>
  <c r="G41" i="5"/>
  <c r="I41" i="5" s="1"/>
  <c r="G40" i="5"/>
  <c r="K40" i="5" s="1"/>
  <c r="G39" i="5"/>
  <c r="G38" i="5"/>
  <c r="G37" i="5"/>
  <c r="I37" i="5" s="1"/>
  <c r="G36" i="5"/>
  <c r="K36" i="5" s="1"/>
  <c r="G35" i="5"/>
  <c r="I35" i="5" s="1"/>
  <c r="G32" i="5"/>
  <c r="G31" i="5"/>
  <c r="I31" i="5" s="1"/>
  <c r="G30" i="5"/>
  <c r="K30" i="5" s="1"/>
  <c r="G29" i="5"/>
  <c r="G28" i="5"/>
  <c r="G27" i="5"/>
  <c r="K27" i="5" s="1"/>
  <c r="G26" i="5"/>
  <c r="I26" i="5" s="1"/>
  <c r="G25" i="5"/>
  <c r="K25" i="5" s="1"/>
  <c r="G24" i="5"/>
  <c r="G23" i="5"/>
  <c r="G71" i="5"/>
  <c r="G19" i="5" s="1"/>
  <c r="K69" i="5"/>
  <c r="K70" i="5"/>
  <c r="I69" i="5"/>
  <c r="I70" i="5"/>
  <c r="I346" i="1"/>
  <c r="K346" i="1" s="1"/>
  <c r="K68" i="5"/>
  <c r="I68" i="5"/>
  <c r="F521" i="1"/>
  <c r="F523" i="1" s="1"/>
  <c r="F524" i="1" s="1"/>
  <c r="G520" i="1"/>
  <c r="K146" i="5"/>
  <c r="I146" i="5"/>
  <c r="K141" i="5"/>
  <c r="I141" i="5"/>
  <c r="K140" i="5"/>
  <c r="I140" i="5"/>
  <c r="I86" i="5"/>
  <c r="K72" i="5"/>
  <c r="I72" i="5"/>
  <c r="K67" i="5"/>
  <c r="I67" i="5"/>
  <c r="K66" i="5"/>
  <c r="I66" i="5"/>
  <c r="I419" i="1"/>
  <c r="K419" i="1" s="1"/>
  <c r="I417" i="1"/>
  <c r="K417" i="1" s="1"/>
  <c r="I415" i="1"/>
  <c r="K415" i="1" s="1"/>
  <c r="I414" i="1"/>
  <c r="K414" i="1" s="1"/>
  <c r="I413" i="1"/>
  <c r="K413" i="1" s="1"/>
  <c r="I412" i="1"/>
  <c r="K412" i="1" s="1"/>
  <c r="I411" i="1"/>
  <c r="K411" i="1" s="1"/>
  <c r="I410" i="1"/>
  <c r="K410" i="1" s="1"/>
  <c r="I409" i="1"/>
  <c r="K409" i="1" s="1"/>
  <c r="I408" i="1"/>
  <c r="K408" i="1" s="1"/>
  <c r="I407" i="1"/>
  <c r="K407" i="1" s="1"/>
  <c r="I406" i="1"/>
  <c r="K406" i="1" s="1"/>
  <c r="I405" i="1"/>
  <c r="K405" i="1" s="1"/>
  <c r="I404" i="1"/>
  <c r="K404" i="1" s="1"/>
  <c r="I403" i="1"/>
  <c r="K403" i="1" s="1"/>
  <c r="I402" i="1"/>
  <c r="K402" i="1" s="1"/>
  <c r="I401" i="1"/>
  <c r="K401" i="1" s="1"/>
  <c r="I400" i="1"/>
  <c r="K400" i="1" s="1"/>
  <c r="I399" i="1"/>
  <c r="K399" i="1" s="1"/>
  <c r="I398" i="1"/>
  <c r="K398" i="1" s="1"/>
  <c r="I397" i="1"/>
  <c r="K397" i="1" s="1"/>
  <c r="I396" i="1"/>
  <c r="K396" i="1" s="1"/>
  <c r="I395" i="1"/>
  <c r="K395" i="1" s="1"/>
  <c r="I394" i="1"/>
  <c r="K394" i="1" s="1"/>
  <c r="I502" i="1"/>
  <c r="K502" i="1" s="1"/>
  <c r="I393" i="1"/>
  <c r="K393" i="1" s="1"/>
  <c r="I501" i="1"/>
  <c r="K501" i="1" s="1"/>
  <c r="I391" i="1"/>
  <c r="K391" i="1" s="1"/>
  <c r="I390" i="1"/>
  <c r="K390" i="1" s="1"/>
  <c r="I389" i="1"/>
  <c r="K389" i="1" s="1"/>
  <c r="I388" i="1"/>
  <c r="K388" i="1" s="1"/>
  <c r="I500" i="1"/>
  <c r="K500" i="1" s="1"/>
  <c r="I386" i="1"/>
  <c r="K386" i="1" s="1"/>
  <c r="I385" i="1"/>
  <c r="K385" i="1" s="1"/>
  <c r="I384" i="1"/>
  <c r="K384" i="1" s="1"/>
  <c r="I383" i="1"/>
  <c r="K383" i="1" s="1"/>
  <c r="I497" i="1"/>
  <c r="K497" i="1" s="1"/>
  <c r="I381" i="1"/>
  <c r="K381" i="1" s="1"/>
  <c r="I380" i="1"/>
  <c r="K380" i="1" s="1"/>
  <c r="I379" i="1"/>
  <c r="K379" i="1" s="1"/>
  <c r="I378" i="1"/>
  <c r="K378" i="1" s="1"/>
  <c r="I377" i="1"/>
  <c r="K377" i="1" s="1"/>
  <c r="I376" i="1"/>
  <c r="K376" i="1" s="1"/>
  <c r="I375" i="1"/>
  <c r="K375" i="1" s="1"/>
  <c r="I374" i="1"/>
  <c r="K374" i="1" s="1"/>
  <c r="I373" i="1"/>
  <c r="K373" i="1" s="1"/>
  <c r="I372" i="1"/>
  <c r="K372" i="1" s="1"/>
  <c r="I371" i="1"/>
  <c r="K371" i="1" s="1"/>
  <c r="I370" i="1"/>
  <c r="K370" i="1" s="1"/>
  <c r="I369" i="1"/>
  <c r="K369" i="1" s="1"/>
  <c r="I368" i="1"/>
  <c r="K368" i="1" s="1"/>
  <c r="I367" i="1"/>
  <c r="K367" i="1" s="1"/>
  <c r="I366" i="1"/>
  <c r="K366" i="1" s="1"/>
  <c r="I365" i="1"/>
  <c r="K365" i="1" s="1"/>
  <c r="I364" i="1"/>
  <c r="K364" i="1" s="1"/>
  <c r="I496" i="1"/>
  <c r="K496" i="1" s="1"/>
  <c r="I363" i="1"/>
  <c r="K363" i="1" s="1"/>
  <c r="I362" i="1"/>
  <c r="K362" i="1" s="1"/>
  <c r="I361" i="1"/>
  <c r="K361" i="1" s="1"/>
  <c r="I360" i="1"/>
  <c r="K360" i="1" s="1"/>
  <c r="I359" i="1"/>
  <c r="K359" i="1" s="1"/>
  <c r="I358" i="1"/>
  <c r="I495" i="1"/>
  <c r="K495" i="1" s="1"/>
  <c r="I357" i="1"/>
  <c r="K357" i="1" s="1"/>
  <c r="I356" i="1"/>
  <c r="K356" i="1" s="1"/>
  <c r="I355" i="1"/>
  <c r="K355" i="1" s="1"/>
  <c r="I354" i="1"/>
  <c r="K354" i="1" s="1"/>
  <c r="I494" i="1"/>
  <c r="K494" i="1" s="1"/>
  <c r="I353" i="1"/>
  <c r="K353" i="1" s="1"/>
  <c r="I352" i="1"/>
  <c r="K352" i="1" s="1"/>
  <c r="I351" i="1"/>
  <c r="K351" i="1" s="1"/>
  <c r="I493" i="1"/>
  <c r="K493" i="1" s="1"/>
  <c r="I492" i="1"/>
  <c r="K492" i="1" s="1"/>
  <c r="I491" i="1"/>
  <c r="K491" i="1" s="1"/>
  <c r="I350" i="1"/>
  <c r="K350" i="1" s="1"/>
  <c r="I349" i="1"/>
  <c r="K349" i="1" s="1"/>
  <c r="I490" i="1"/>
  <c r="K490" i="1" s="1"/>
  <c r="I489" i="1"/>
  <c r="K489" i="1" s="1"/>
  <c r="I348" i="1"/>
  <c r="K348" i="1" s="1"/>
  <c r="I347" i="1"/>
  <c r="K347" i="1" s="1"/>
  <c r="I345" i="1"/>
  <c r="K345" i="1" s="1"/>
  <c r="I344" i="1"/>
  <c r="K344" i="1" s="1"/>
  <c r="I343" i="1"/>
  <c r="K343" i="1" s="1"/>
  <c r="I342" i="1"/>
  <c r="K342" i="1" s="1"/>
  <c r="I341" i="1"/>
  <c r="K341" i="1" s="1"/>
  <c r="I340" i="1"/>
  <c r="K340" i="1" s="1"/>
  <c r="I338" i="1"/>
  <c r="K338" i="1" s="1"/>
  <c r="I337" i="1"/>
  <c r="K337" i="1" s="1"/>
  <c r="I488" i="1"/>
  <c r="K488" i="1" s="1"/>
  <c r="I336" i="1"/>
  <c r="K336" i="1" s="1"/>
  <c r="I335" i="1"/>
  <c r="K335" i="1" s="1"/>
  <c r="I487" i="1"/>
  <c r="K487" i="1" s="1"/>
  <c r="I333" i="1"/>
  <c r="K333" i="1" s="1"/>
  <c r="I332" i="1"/>
  <c r="K332" i="1" s="1"/>
  <c r="I331" i="1"/>
  <c r="K331" i="1" s="1"/>
  <c r="I330" i="1"/>
  <c r="K330" i="1" s="1"/>
  <c r="I329" i="1"/>
  <c r="K329" i="1" s="1"/>
  <c r="I327" i="1"/>
  <c r="K327" i="1" s="1"/>
  <c r="I326" i="1"/>
  <c r="K326" i="1" s="1"/>
  <c r="I325" i="1"/>
  <c r="K325" i="1" s="1"/>
  <c r="I324" i="1"/>
  <c r="K324" i="1" s="1"/>
  <c r="I323" i="1"/>
  <c r="K323" i="1" s="1"/>
  <c r="I322" i="1"/>
  <c r="K322" i="1" s="1"/>
  <c r="I321" i="1"/>
  <c r="K321" i="1" s="1"/>
  <c r="I320" i="1"/>
  <c r="K320" i="1" s="1"/>
  <c r="I319" i="1"/>
  <c r="K319" i="1" s="1"/>
  <c r="I318" i="1"/>
  <c r="K318" i="1" s="1"/>
  <c r="I485" i="1"/>
  <c r="K485" i="1" s="1"/>
  <c r="I317" i="1"/>
  <c r="K317" i="1" s="1"/>
  <c r="I316" i="1"/>
  <c r="K316" i="1" s="1"/>
  <c r="I315" i="1"/>
  <c r="K315" i="1" s="1"/>
  <c r="I484" i="1"/>
  <c r="K484" i="1" s="1"/>
  <c r="I314" i="1"/>
  <c r="K314" i="1" s="1"/>
  <c r="I313" i="1"/>
  <c r="K313" i="1" s="1"/>
  <c r="I312" i="1"/>
  <c r="K312" i="1" s="1"/>
  <c r="I311" i="1"/>
  <c r="K311" i="1" s="1"/>
  <c r="I309" i="1"/>
  <c r="K309" i="1" s="1"/>
  <c r="I308" i="1"/>
  <c r="K308" i="1" s="1"/>
  <c r="I307" i="1"/>
  <c r="K307" i="1" s="1"/>
  <c r="I306" i="1"/>
  <c r="K306" i="1" s="1"/>
  <c r="I483" i="1"/>
  <c r="K483" i="1" s="1"/>
  <c r="I482" i="1"/>
  <c r="K482" i="1" s="1"/>
  <c r="I305" i="1"/>
  <c r="K305" i="1" s="1"/>
  <c r="I304" i="1"/>
  <c r="K304" i="1" s="1"/>
  <c r="I303" i="1"/>
  <c r="K303" i="1" s="1"/>
  <c r="I302" i="1"/>
  <c r="K302" i="1" s="1"/>
  <c r="I481" i="1"/>
  <c r="K481" i="1" s="1"/>
  <c r="I480" i="1"/>
  <c r="K480" i="1" s="1"/>
  <c r="I301" i="1"/>
  <c r="K301" i="1" s="1"/>
  <c r="I300" i="1"/>
  <c r="K300" i="1" s="1"/>
  <c r="I299" i="1"/>
  <c r="K299" i="1" s="1"/>
  <c r="I298" i="1"/>
  <c r="K298" i="1" s="1"/>
  <c r="I297" i="1"/>
  <c r="K297" i="1" s="1"/>
  <c r="I479" i="1"/>
  <c r="I293" i="1"/>
  <c r="K293" i="1" s="1"/>
  <c r="I289" i="1"/>
  <c r="K289" i="1" s="1"/>
  <c r="I288" i="1"/>
  <c r="K288" i="1" s="1"/>
  <c r="I287" i="1"/>
  <c r="K287" i="1" s="1"/>
  <c r="I286" i="1"/>
  <c r="K286" i="1" s="1"/>
  <c r="I285" i="1"/>
  <c r="K285" i="1" s="1"/>
  <c r="I284" i="1"/>
  <c r="K284" i="1" s="1"/>
  <c r="I283" i="1"/>
  <c r="K283" i="1" s="1"/>
  <c r="I282" i="1"/>
  <c r="K282" i="1" s="1"/>
  <c r="I281" i="1"/>
  <c r="K23" i="5" l="1"/>
  <c r="I23" i="5"/>
  <c r="D135" i="35"/>
  <c r="F135" i="35"/>
  <c r="K144" i="5"/>
  <c r="I420" i="1"/>
  <c r="I505" i="1"/>
  <c r="I508" i="1" s="1"/>
  <c r="H520" i="1"/>
  <c r="K520" i="1" s="1"/>
  <c r="K281" i="1"/>
  <c r="K479" i="1"/>
  <c r="K505" i="1" s="1"/>
  <c r="K508" i="1" s="1"/>
  <c r="C16" i="35" s="1"/>
  <c r="K358" i="1"/>
  <c r="H196" i="1"/>
  <c r="H238" i="1" s="1"/>
  <c r="H438" i="1" s="1"/>
  <c r="K139" i="5"/>
  <c r="G137" i="5"/>
  <c r="G65" i="5"/>
  <c r="G18" i="5" s="1"/>
  <c r="I144" i="5"/>
  <c r="K95" i="5"/>
  <c r="K49" i="5"/>
  <c r="I49" i="5"/>
  <c r="I53" i="5"/>
  <c r="K53" i="5"/>
  <c r="I54" i="5"/>
  <c r="K54" i="5"/>
  <c r="I82" i="5"/>
  <c r="K138" i="5"/>
  <c r="G156" i="5"/>
  <c r="I83" i="5"/>
  <c r="K50" i="5"/>
  <c r="I59" i="5"/>
  <c r="I100" i="5"/>
  <c r="K91" i="5"/>
  <c r="I149" i="5"/>
  <c r="I103" i="5"/>
  <c r="K115" i="5"/>
  <c r="K37" i="5"/>
  <c r="I119" i="5"/>
  <c r="I46" i="5"/>
  <c r="I111" i="5"/>
  <c r="I138" i="5"/>
  <c r="I27" i="5"/>
  <c r="K99" i="5"/>
  <c r="I36" i="5"/>
  <c r="I112" i="5"/>
  <c r="I123" i="5"/>
  <c r="K153" i="5"/>
  <c r="I107" i="5"/>
  <c r="I51" i="5"/>
  <c r="K143" i="5"/>
  <c r="K104" i="5"/>
  <c r="K92" i="5"/>
  <c r="I116" i="5"/>
  <c r="I40" i="5"/>
  <c r="K41" i="5"/>
  <c r="K108" i="5"/>
  <c r="I93" i="5"/>
  <c r="K45" i="5"/>
  <c r="I109" i="5"/>
  <c r="K126" i="5"/>
  <c r="K124" i="5"/>
  <c r="I155" i="5"/>
  <c r="B143" i="25"/>
  <c r="B130" i="25"/>
  <c r="B160" i="25"/>
  <c r="B151" i="25"/>
  <c r="B138" i="25"/>
  <c r="B140" i="25"/>
  <c r="B127" i="25"/>
  <c r="B144" i="25"/>
  <c r="B131" i="25"/>
  <c r="B148" i="25"/>
  <c r="B135" i="25"/>
  <c r="B157" i="25"/>
  <c r="B161" i="25"/>
  <c r="B141" i="25"/>
  <c r="B128" i="25"/>
  <c r="B145" i="25"/>
  <c r="B132" i="25"/>
  <c r="B149" i="25"/>
  <c r="B136" i="25"/>
  <c r="B158" i="25"/>
  <c r="B147" i="25"/>
  <c r="B134" i="25"/>
  <c r="B156" i="25"/>
  <c r="B142" i="25"/>
  <c r="B129" i="25"/>
  <c r="B146" i="25"/>
  <c r="B133" i="25"/>
  <c r="B150" i="25"/>
  <c r="B137" i="25"/>
  <c r="B159" i="25"/>
  <c r="I44" i="5"/>
  <c r="I71" i="5"/>
  <c r="K88" i="5"/>
  <c r="I25" i="5"/>
  <c r="K71" i="5"/>
  <c r="K129" i="5"/>
  <c r="K82" i="5"/>
  <c r="I30" i="5"/>
  <c r="I57" i="5"/>
  <c r="K120" i="5"/>
  <c r="K83" i="5"/>
  <c r="I58" i="5"/>
  <c r="I96" i="5"/>
  <c r="K31" i="5"/>
  <c r="I97" i="5"/>
  <c r="I113" i="5"/>
  <c r="I150" i="5"/>
  <c r="I154" i="5"/>
  <c r="G521" i="1"/>
  <c r="H521" i="1" s="1"/>
  <c r="I24" i="5"/>
  <c r="K24" i="5"/>
  <c r="I28" i="5"/>
  <c r="K28" i="5"/>
  <c r="K32" i="5"/>
  <c r="I32" i="5"/>
  <c r="K38" i="5"/>
  <c r="I38" i="5"/>
  <c r="K42" i="5"/>
  <c r="I42" i="5"/>
  <c r="I84" i="5"/>
  <c r="K84" i="5"/>
  <c r="K89" i="5"/>
  <c r="I89" i="5"/>
  <c r="I101" i="5"/>
  <c r="K101" i="5"/>
  <c r="K105" i="5"/>
  <c r="I105" i="5"/>
  <c r="I117" i="5"/>
  <c r="K117" i="5"/>
  <c r="K121" i="5"/>
  <c r="I121" i="5"/>
  <c r="K125" i="5"/>
  <c r="I125" i="5"/>
  <c r="I142" i="5"/>
  <c r="K142" i="5"/>
  <c r="I145" i="5"/>
  <c r="K145" i="5"/>
  <c r="K151" i="5"/>
  <c r="I151" i="5"/>
  <c r="K29" i="5"/>
  <c r="I29" i="5"/>
  <c r="K35" i="5"/>
  <c r="K39" i="5"/>
  <c r="I39" i="5"/>
  <c r="K43" i="5"/>
  <c r="I43" i="5"/>
  <c r="K60" i="5"/>
  <c r="I60" i="5"/>
  <c r="I85" i="5"/>
  <c r="I90" i="5"/>
  <c r="K90" i="5"/>
  <c r="I94" i="5"/>
  <c r="K94" i="5"/>
  <c r="I98" i="5"/>
  <c r="K98" i="5"/>
  <c r="I102" i="5"/>
  <c r="K102" i="5"/>
  <c r="I106" i="5"/>
  <c r="K106" i="5"/>
  <c r="I110" i="5"/>
  <c r="K110" i="5"/>
  <c r="I114" i="5"/>
  <c r="K114" i="5"/>
  <c r="I118" i="5"/>
  <c r="K118" i="5"/>
  <c r="I122" i="5"/>
  <c r="K122" i="5"/>
  <c r="K130" i="5"/>
  <c r="I130" i="5"/>
  <c r="I148" i="5"/>
  <c r="K148" i="5"/>
  <c r="I152" i="5"/>
  <c r="K152" i="5"/>
  <c r="K26" i="5"/>
  <c r="K14" i="36" l="1"/>
  <c r="C7" i="35"/>
  <c r="K35" i="36"/>
  <c r="K420" i="1"/>
  <c r="G523" i="1"/>
  <c r="G524" i="1" s="1"/>
  <c r="H523" i="1"/>
  <c r="H524" i="1" s="1"/>
  <c r="K196" i="1"/>
  <c r="K238" i="1" s="1"/>
  <c r="H512" i="1"/>
  <c r="K521" i="1"/>
  <c r="K523" i="1" s="1"/>
  <c r="I137" i="5"/>
  <c r="K137" i="5"/>
  <c r="K65" i="5"/>
  <c r="K18" i="5" s="1"/>
  <c r="I65" i="5"/>
  <c r="I156" i="5"/>
  <c r="K156" i="5"/>
  <c r="K19" i="5"/>
  <c r="G20" i="5"/>
  <c r="G21" i="5" s="1"/>
  <c r="K34" i="36" l="1"/>
  <c r="C21" i="35"/>
  <c r="C39" i="35" s="1"/>
  <c r="C145" i="35" s="1"/>
  <c r="K21" i="5"/>
  <c r="C29" i="35"/>
  <c r="C38" i="35"/>
  <c r="C40" i="35"/>
  <c r="C34" i="35"/>
  <c r="C80" i="35" s="1"/>
  <c r="C57" i="35"/>
  <c r="E16" i="35"/>
  <c r="E14" i="35" s="1"/>
  <c r="E34" i="35"/>
  <c r="E109" i="35" s="1"/>
  <c r="K7" i="35"/>
  <c r="K36" i="36"/>
  <c r="K524" i="1"/>
  <c r="E8" i="35" s="1"/>
  <c r="K20" i="5"/>
  <c r="J20" i="5" s="1"/>
  <c r="J19" i="5"/>
  <c r="J18" i="5"/>
  <c r="K37" i="36" l="1"/>
  <c r="L34" i="36" s="1"/>
  <c r="C164" i="35"/>
  <c r="F30" i="36" s="1"/>
  <c r="F29" i="36" s="1"/>
  <c r="C91" i="35"/>
  <c r="C48" i="35"/>
  <c r="C139" i="35"/>
  <c r="C105" i="35"/>
  <c r="K105" i="35" s="1"/>
  <c r="C75" i="35"/>
  <c r="G30" i="36" s="1"/>
  <c r="G29" i="36" s="1"/>
  <c r="C104" i="35"/>
  <c r="K104" i="35" s="1"/>
  <c r="C138" i="35"/>
  <c r="C90" i="35"/>
  <c r="K90" i="35" s="1"/>
  <c r="C74" i="35"/>
  <c r="C163" i="35"/>
  <c r="F28" i="36" s="1"/>
  <c r="F27" i="36" s="1"/>
  <c r="C47" i="35"/>
  <c r="K102" i="35"/>
  <c r="C88" i="35"/>
  <c r="C136" i="35"/>
  <c r="C53" i="35"/>
  <c r="C66" i="35" s="1"/>
  <c r="J21" i="5"/>
  <c r="K15" i="36"/>
  <c r="K17" i="36" s="1"/>
  <c r="E25" i="35"/>
  <c r="C55" i="35"/>
  <c r="C68" i="35" s="1"/>
  <c r="C82" i="35"/>
  <c r="E41" i="35"/>
  <c r="E53" i="35"/>
  <c r="E66" i="35" s="1"/>
  <c r="K16" i="35"/>
  <c r="L35" i="36"/>
  <c r="R35" i="36" s="1"/>
  <c r="L36" i="36"/>
  <c r="R36" i="36" s="1"/>
  <c r="C96" i="35"/>
  <c r="C109" i="35"/>
  <c r="E169" i="35"/>
  <c r="F15" i="36" s="1"/>
  <c r="E96" i="35"/>
  <c r="C169" i="35"/>
  <c r="E80" i="35"/>
  <c r="G15" i="36" s="1"/>
  <c r="E144" i="35"/>
  <c r="I15" i="36" s="1"/>
  <c r="C144" i="35"/>
  <c r="K21" i="35"/>
  <c r="I259" i="1"/>
  <c r="K259" i="1" s="1"/>
  <c r="I260" i="1"/>
  <c r="K260" i="1" s="1"/>
  <c r="E12" i="35"/>
  <c r="J258" i="1"/>
  <c r="F34" i="36" l="1"/>
  <c r="R34" i="36"/>
  <c r="T34" i="36"/>
  <c r="K74" i="35"/>
  <c r="G28" i="36"/>
  <c r="G27" i="36" s="1"/>
  <c r="K138" i="35"/>
  <c r="I28" i="36"/>
  <c r="I27" i="36" s="1"/>
  <c r="M28" i="36"/>
  <c r="O27" i="36" s="1"/>
  <c r="C60" i="35"/>
  <c r="K139" i="35"/>
  <c r="I30" i="36"/>
  <c r="I29" i="36" s="1"/>
  <c r="M30" i="36"/>
  <c r="O29" i="36"/>
  <c r="C61" i="35"/>
  <c r="M23" i="36"/>
  <c r="E160" i="35"/>
  <c r="E135" i="35"/>
  <c r="D143" i="35"/>
  <c r="F144" i="35"/>
  <c r="D145" i="35"/>
  <c r="D146" i="35"/>
  <c r="F143" i="35"/>
  <c r="D144" i="35"/>
  <c r="K45" i="35"/>
  <c r="K48" i="35"/>
  <c r="K47" i="35"/>
  <c r="T36" i="36"/>
  <c r="T35" i="36"/>
  <c r="K109" i="35"/>
  <c r="E101" i="35"/>
  <c r="E106" i="35" s="1"/>
  <c r="E87" i="35"/>
  <c r="K75" i="35"/>
  <c r="F35" i="36"/>
  <c r="F36" i="36"/>
  <c r="J261" i="1"/>
  <c r="J438" i="1" s="1"/>
  <c r="J512" i="1" s="1"/>
  <c r="I261" i="1"/>
  <c r="I438" i="1" s="1"/>
  <c r="I512" i="1" s="1"/>
  <c r="F23" i="36"/>
  <c r="F22" i="36" s="1"/>
  <c r="G23" i="36"/>
  <c r="K72" i="35"/>
  <c r="I23" i="36"/>
  <c r="K136" i="35"/>
  <c r="K88" i="35"/>
  <c r="M14" i="36"/>
  <c r="O14" i="36" s="1"/>
  <c r="K91" i="35"/>
  <c r="E30" i="35"/>
  <c r="E71" i="35"/>
  <c r="E44" i="35"/>
  <c r="E57" i="35" s="1"/>
  <c r="M15" i="36"/>
  <c r="O15" i="36" s="1"/>
  <c r="K144" i="35"/>
  <c r="I14" i="36"/>
  <c r="I17" i="36" s="1"/>
  <c r="K80" i="35"/>
  <c r="G14" i="36"/>
  <c r="G17" i="36" s="1"/>
  <c r="K169" i="35"/>
  <c r="F14" i="36"/>
  <c r="K53" i="35"/>
  <c r="K258" i="1"/>
  <c r="O30" i="36" l="1"/>
  <c r="F19" i="36"/>
  <c r="K163" i="35"/>
  <c r="K164" i="35"/>
  <c r="F160" i="35"/>
  <c r="K161" i="35"/>
  <c r="H160" i="35"/>
  <c r="M31" i="36"/>
  <c r="O28" i="36"/>
  <c r="O31" i="36" s="1"/>
  <c r="F17" i="36"/>
  <c r="E113" i="35"/>
  <c r="K261" i="1"/>
  <c r="K438" i="1" s="1"/>
  <c r="E49" i="35"/>
  <c r="E62" i="35"/>
  <c r="E76" i="35"/>
  <c r="E165" i="35"/>
  <c r="I20" i="36"/>
  <c r="I19" i="36"/>
  <c r="I22" i="36"/>
  <c r="I21" i="36"/>
  <c r="G21" i="36"/>
  <c r="G20" i="36"/>
  <c r="G19" i="36"/>
  <c r="G22" i="36"/>
  <c r="F20" i="36"/>
  <c r="F21" i="36"/>
  <c r="E92" i="35"/>
  <c r="M17" i="36"/>
  <c r="K66" i="35"/>
  <c r="O17" i="36"/>
  <c r="C9" i="35"/>
  <c r="C26" i="35" s="1"/>
  <c r="H169" i="35" l="1"/>
  <c r="D171" i="35"/>
  <c r="D168" i="35"/>
  <c r="F169" i="35"/>
  <c r="H168" i="35"/>
  <c r="D169" i="35"/>
  <c r="F168" i="35"/>
  <c r="C15" i="35"/>
  <c r="C14" i="35" s="1"/>
  <c r="K512" i="1"/>
  <c r="K537" i="1" s="1"/>
  <c r="C137" i="35" l="1"/>
  <c r="C46" i="35"/>
  <c r="C59" i="35" s="1"/>
  <c r="C89" i="35"/>
  <c r="K89" i="35" s="1"/>
  <c r="C103" i="35"/>
  <c r="K103" i="35" s="1"/>
  <c r="C162" i="35"/>
  <c r="C73" i="35"/>
  <c r="P36" i="36"/>
  <c r="P34" i="36"/>
  <c r="P35" i="36"/>
  <c r="C33" i="35"/>
  <c r="C41" i="35" s="1"/>
  <c r="C8" i="35"/>
  <c r="K15" i="35"/>
  <c r="K14" i="35" s="1"/>
  <c r="K6" i="36"/>
  <c r="F25" i="36" l="1"/>
  <c r="F24" i="36" s="1"/>
  <c r="C12" i="35"/>
  <c r="C25" i="35"/>
  <c r="M25" i="36"/>
  <c r="M24" i="36" s="1"/>
  <c r="G25" i="36"/>
  <c r="G24" i="36" s="1"/>
  <c r="K73" i="35"/>
  <c r="K162" i="35"/>
  <c r="K46" i="35"/>
  <c r="I25" i="36"/>
  <c r="K137" i="35"/>
  <c r="C140" i="35"/>
  <c r="K9" i="36"/>
  <c r="K13" i="36" s="1"/>
  <c r="C79" i="35"/>
  <c r="C52" i="35"/>
  <c r="M6" i="36" s="1"/>
  <c r="M9" i="36" s="1"/>
  <c r="C168" i="35"/>
  <c r="K60" i="35"/>
  <c r="C95" i="35"/>
  <c r="K95" i="35" s="1"/>
  <c r="C108" i="35"/>
  <c r="K108" i="35" s="1"/>
  <c r="C143" i="35"/>
  <c r="C160" i="35" l="1"/>
  <c r="C165" i="35" s="1"/>
  <c r="C87" i="35"/>
  <c r="F26" i="36"/>
  <c r="I26" i="36"/>
  <c r="I24" i="36"/>
  <c r="C135" i="35"/>
  <c r="C30" i="35"/>
  <c r="G26" i="36"/>
  <c r="M26" i="36"/>
  <c r="M20" i="36"/>
  <c r="O20" i="36" s="1"/>
  <c r="M22" i="36"/>
  <c r="O22" i="36" s="1"/>
  <c r="M19" i="36"/>
  <c r="M21" i="36"/>
  <c r="O21" i="36" s="1"/>
  <c r="O24" i="36"/>
  <c r="O25" i="36" s="1"/>
  <c r="K59" i="35"/>
  <c r="K18" i="36"/>
  <c r="O6" i="36"/>
  <c r="O9" i="36" s="1"/>
  <c r="K87" i="35"/>
  <c r="C101" i="35"/>
  <c r="K101" i="35" s="1"/>
  <c r="C71" i="35"/>
  <c r="K71" i="35" s="1"/>
  <c r="C44" i="35"/>
  <c r="C65" i="35"/>
  <c r="K65" i="35" s="1"/>
  <c r="K52" i="35"/>
  <c r="G6" i="36"/>
  <c r="G9" i="36" s="1"/>
  <c r="K79" i="35"/>
  <c r="K168" i="35"/>
  <c r="F6" i="36"/>
  <c r="K143" i="35"/>
  <c r="I6" i="36"/>
  <c r="I9" i="36" s="1"/>
  <c r="K135" i="35"/>
  <c r="O19" i="36" l="1"/>
  <c r="O23" i="36" s="1"/>
  <c r="O26" i="36" s="1"/>
  <c r="K160" i="35"/>
  <c r="N29" i="36"/>
  <c r="H29" i="36" s="1"/>
  <c r="N24" i="36"/>
  <c r="H24" i="36" s="1"/>
  <c r="F9" i="36"/>
  <c r="C113" i="35"/>
  <c r="N8" i="36"/>
  <c r="H8" i="36" s="1"/>
  <c r="J8" i="36" s="1"/>
  <c r="N7" i="36"/>
  <c r="N20" i="36"/>
  <c r="N6" i="36"/>
  <c r="H6" i="36" s="1"/>
  <c r="N21" i="36"/>
  <c r="N16" i="36"/>
  <c r="N27" i="36"/>
  <c r="N15" i="36"/>
  <c r="N14" i="36"/>
  <c r="N19" i="36"/>
  <c r="N22" i="36"/>
  <c r="H22" i="36" s="1"/>
  <c r="N11" i="36"/>
  <c r="N10" i="36"/>
  <c r="H30" i="36" l="1"/>
  <c r="J29" i="36"/>
  <c r="H25" i="36"/>
  <c r="J24" i="36"/>
  <c r="V24" i="36" s="1"/>
  <c r="U24" i="36" s="1"/>
  <c r="C111" i="35"/>
  <c r="K111" i="35" s="1"/>
  <c r="C97" i="35"/>
  <c r="C110" i="35"/>
  <c r="K110" i="35" s="1"/>
  <c r="C171" i="35"/>
  <c r="C98" i="35"/>
  <c r="K98" i="35" s="1"/>
  <c r="C81" i="35"/>
  <c r="C146" i="35"/>
  <c r="C54" i="35"/>
  <c r="C67" i="35" s="1"/>
  <c r="J30" i="36" l="1"/>
  <c r="V30" i="36" s="1"/>
  <c r="U30" i="36" s="1"/>
  <c r="V29" i="36"/>
  <c r="J25" i="36"/>
  <c r="W24" i="36"/>
  <c r="W25" i="36" s="1"/>
  <c r="F12" i="36"/>
  <c r="I12" i="36"/>
  <c r="G12" i="36"/>
  <c r="M12" i="36"/>
  <c r="M11" i="36" s="1"/>
  <c r="O11" i="36" s="1"/>
  <c r="K96" i="35"/>
  <c r="M37" i="36"/>
  <c r="M34" i="36" s="1"/>
  <c r="O34" i="36" s="1"/>
  <c r="K145" i="35"/>
  <c r="I37" i="36"/>
  <c r="K97" i="35"/>
  <c r="K68" i="35"/>
  <c r="K146" i="35"/>
  <c r="K82" i="35"/>
  <c r="K81" i="35"/>
  <c r="G37" i="36"/>
  <c r="G34" i="36" s="1"/>
  <c r="K171" i="35"/>
  <c r="K55" i="35"/>
  <c r="K67" i="35"/>
  <c r="K54" i="35"/>
  <c r="G31" i="36"/>
  <c r="I31" i="36"/>
  <c r="K8" i="35"/>
  <c r="V25" i="36" l="1"/>
  <c r="U29" i="36"/>
  <c r="E114" i="35"/>
  <c r="G114" i="35"/>
  <c r="C114" i="35"/>
  <c r="W29" i="36"/>
  <c r="W30" i="36" s="1"/>
  <c r="X24" i="36"/>
  <c r="X25" i="36" s="1"/>
  <c r="P7" i="36"/>
  <c r="P8" i="36"/>
  <c r="P15" i="36"/>
  <c r="P16" i="36"/>
  <c r="P6" i="36"/>
  <c r="P14" i="36"/>
  <c r="P10" i="36"/>
  <c r="R10" i="36" s="1"/>
  <c r="P11" i="36"/>
  <c r="R11" i="36" s="1"/>
  <c r="G11" i="36"/>
  <c r="G10" i="36"/>
  <c r="G18" i="36"/>
  <c r="G13" i="36"/>
  <c r="I11" i="36"/>
  <c r="I10" i="36"/>
  <c r="I18" i="36"/>
  <c r="I13" i="36"/>
  <c r="F11" i="36"/>
  <c r="F10" i="36"/>
  <c r="F13" i="36"/>
  <c r="F18" i="36"/>
  <c r="H11" i="36"/>
  <c r="M18" i="36"/>
  <c r="M13" i="36"/>
  <c r="M10" i="36"/>
  <c r="O10" i="36" s="1"/>
  <c r="H10" i="36" s="1"/>
  <c r="M35" i="36"/>
  <c r="O35" i="36" s="1"/>
  <c r="M36" i="36"/>
  <c r="O36" i="36" s="1"/>
  <c r="G35" i="36"/>
  <c r="G36" i="36"/>
  <c r="I34" i="36"/>
  <c r="I35" i="36"/>
  <c r="I36" i="36"/>
  <c r="G116" i="35"/>
  <c r="I116" i="35"/>
  <c r="C116" i="35"/>
  <c r="K9" i="35"/>
  <c r="K12" i="35" s="1"/>
  <c r="U25" i="36" l="1"/>
  <c r="X29" i="36"/>
  <c r="X30" i="36" s="1"/>
  <c r="R12" i="36"/>
  <c r="Q14" i="36"/>
  <c r="R14" i="36"/>
  <c r="T6" i="36"/>
  <c r="R6" i="36"/>
  <c r="T16" i="36"/>
  <c r="R16" i="36"/>
  <c r="T15" i="36"/>
  <c r="R15" i="36"/>
  <c r="T8" i="36"/>
  <c r="R8" i="36"/>
  <c r="T7" i="36"/>
  <c r="R7" i="36"/>
  <c r="T14" i="36"/>
  <c r="T10" i="36"/>
  <c r="P12" i="36"/>
  <c r="P17" i="36"/>
  <c r="P9" i="36"/>
  <c r="J11" i="36"/>
  <c r="J10" i="36"/>
  <c r="T11" i="36"/>
  <c r="Q11" i="36"/>
  <c r="Q10" i="36"/>
  <c r="Q6" i="36"/>
  <c r="Q7" i="36"/>
  <c r="Q15" i="36"/>
  <c r="Q16" i="36"/>
  <c r="Q8" i="36"/>
  <c r="H12" i="36"/>
  <c r="O12" i="36"/>
  <c r="O37" i="36"/>
  <c r="K115" i="35"/>
  <c r="K106" i="35"/>
  <c r="C106" i="35"/>
  <c r="C92" i="35"/>
  <c r="K44" i="35"/>
  <c r="K49" i="35" s="1"/>
  <c r="K57" i="35"/>
  <c r="K117" i="35"/>
  <c r="Q9" i="36" l="1"/>
  <c r="P18" i="36"/>
  <c r="R17" i="36"/>
  <c r="R9" i="36"/>
  <c r="Q12" i="36"/>
  <c r="T12" i="36"/>
  <c r="T9" i="36"/>
  <c r="J12" i="36"/>
  <c r="Q17" i="36"/>
  <c r="T17" i="36"/>
  <c r="O13" i="36"/>
  <c r="O18" i="36"/>
  <c r="N35" i="36"/>
  <c r="N34" i="36"/>
  <c r="H34" i="36" s="1"/>
  <c r="J34" i="36" s="1"/>
  <c r="N36" i="36"/>
  <c r="K58" i="35"/>
  <c r="C49" i="35"/>
  <c r="K92" i="35"/>
  <c r="C76" i="35"/>
  <c r="K76" i="35"/>
  <c r="K140" i="35"/>
  <c r="K165" i="35"/>
  <c r="Q34" i="36" l="1"/>
  <c r="V34" i="36"/>
  <c r="T13" i="36"/>
  <c r="R13" i="36"/>
  <c r="J22" i="36"/>
  <c r="H14" i="36"/>
  <c r="J14" i="36" s="1"/>
  <c r="H15" i="36"/>
  <c r="J15" i="36" s="1"/>
  <c r="H16" i="36"/>
  <c r="J16" i="36" s="1"/>
  <c r="J6" i="36"/>
  <c r="H7" i="36"/>
  <c r="J7" i="36" s="1"/>
  <c r="H35" i="36"/>
  <c r="J35" i="36" s="1"/>
  <c r="H36" i="36"/>
  <c r="J36" i="36" s="1"/>
  <c r="H19" i="36"/>
  <c r="H20" i="36"/>
  <c r="J20" i="36" s="1"/>
  <c r="H21" i="36"/>
  <c r="J21" i="36" s="1"/>
  <c r="V21" i="36" s="1"/>
  <c r="V22" i="36" l="1"/>
  <c r="U22" i="36" s="1"/>
  <c r="J19" i="36"/>
  <c r="H23" i="36"/>
  <c r="H26" i="36" s="1"/>
  <c r="U34" i="36"/>
  <c r="V20" i="36"/>
  <c r="U20" i="36" s="1"/>
  <c r="U21" i="36"/>
  <c r="Q35" i="36"/>
  <c r="Q36" i="36"/>
  <c r="V36" i="36" s="1"/>
  <c r="U36" i="36" s="1"/>
  <c r="J9" i="36"/>
  <c r="W22" i="36"/>
  <c r="X22" i="36" s="1"/>
  <c r="D21" i="32"/>
  <c r="H9" i="36"/>
  <c r="H37" i="36"/>
  <c r="H27" i="36"/>
  <c r="H28" i="36" s="1"/>
  <c r="H17" i="36"/>
  <c r="V19" i="36" l="1"/>
  <c r="W19" i="36" s="1"/>
  <c r="J23" i="36"/>
  <c r="D19" i="32"/>
  <c r="Q37" i="36"/>
  <c r="W21" i="36"/>
  <c r="X21" i="36" s="1"/>
  <c r="X19" i="36"/>
  <c r="W20" i="36"/>
  <c r="X20" i="36" s="1"/>
  <c r="V35" i="36"/>
  <c r="W36" i="36"/>
  <c r="X36" i="36" s="1"/>
  <c r="D20" i="32"/>
  <c r="J17" i="36"/>
  <c r="H13" i="36"/>
  <c r="H18" i="36"/>
  <c r="J13" i="36"/>
  <c r="J27" i="36"/>
  <c r="H31" i="36"/>
  <c r="J37" i="36"/>
  <c r="S18" i="36" s="1"/>
  <c r="S6" i="36" s="1"/>
  <c r="U19" i="36" l="1"/>
  <c r="V23" i="36"/>
  <c r="J26" i="36"/>
  <c r="J28" i="36"/>
  <c r="V27" i="36"/>
  <c r="U27" i="36" s="1"/>
  <c r="V6" i="36"/>
  <c r="U6" i="36" s="1"/>
  <c r="U35" i="36"/>
  <c r="V37" i="36"/>
  <c r="W35" i="36"/>
  <c r="X35" i="36" s="1"/>
  <c r="W23" i="36"/>
  <c r="W27" i="36"/>
  <c r="W34" i="36"/>
  <c r="J18" i="36"/>
  <c r="V18" i="36" s="1"/>
  <c r="U18" i="36" s="1"/>
  <c r="S11" i="36"/>
  <c r="S10" i="36"/>
  <c r="S15" i="36"/>
  <c r="S14" i="36"/>
  <c r="S16" i="36"/>
  <c r="S7" i="36"/>
  <c r="V7" i="36" s="1"/>
  <c r="U7" i="36" s="1"/>
  <c r="D18" i="32"/>
  <c r="U37" i="36" l="1"/>
  <c r="J31" i="36"/>
  <c r="V28" i="36"/>
  <c r="X23" i="36"/>
  <c r="U23" i="36"/>
  <c r="U26" i="36" s="1"/>
  <c r="V26" i="36"/>
  <c r="W37" i="36"/>
  <c r="X37" i="36" s="1"/>
  <c r="V11" i="36"/>
  <c r="U11" i="36" s="1"/>
  <c r="V16" i="36"/>
  <c r="U16" i="36" s="1"/>
  <c r="V14" i="36"/>
  <c r="U14" i="36" s="1"/>
  <c r="V15" i="36"/>
  <c r="U15" i="36" s="1"/>
  <c r="V10" i="36"/>
  <c r="U10" i="36" s="1"/>
  <c r="X27" i="36"/>
  <c r="W28" i="36"/>
  <c r="D25" i="32"/>
  <c r="D26" i="32" s="1"/>
  <c r="W6" i="36"/>
  <c r="X6" i="36" s="1"/>
  <c r="X34" i="36"/>
  <c r="W7" i="36"/>
  <c r="D22" i="32"/>
  <c r="S12" i="36"/>
  <c r="V12" i="36" s="1"/>
  <c r="U12" i="36" s="1"/>
  <c r="S17" i="36"/>
  <c r="D15" i="32"/>
  <c r="U28" i="36" l="1"/>
  <c r="U31" i="36" s="1"/>
  <c r="V31" i="36"/>
  <c r="X28" i="36"/>
  <c r="W14" i="36"/>
  <c r="X14" i="36" s="1"/>
  <c r="W15" i="36"/>
  <c r="X15" i="36" s="1"/>
  <c r="W10" i="36"/>
  <c r="X10" i="36" s="1"/>
  <c r="W16" i="36"/>
  <c r="X16" i="36" s="1"/>
  <c r="V17" i="36"/>
  <c r="U17" i="36" s="1"/>
  <c r="W11" i="36"/>
  <c r="X11" i="36" s="1"/>
  <c r="W31" i="36"/>
  <c r="X31" i="36" s="1"/>
  <c r="X7" i="36"/>
  <c r="D10" i="32"/>
  <c r="K61" i="35"/>
  <c r="K62" i="35" s="1"/>
  <c r="C62" i="35"/>
  <c r="W12" i="36" l="1"/>
  <c r="X12" i="36" s="1"/>
  <c r="W17" i="36"/>
  <c r="X17" i="36" s="1"/>
  <c r="D12" i="32"/>
  <c r="S8" i="36"/>
  <c r="V8" i="36" l="1"/>
  <c r="U8" i="36" s="1"/>
  <c r="S9" i="36"/>
  <c r="W8" i="36" l="1"/>
  <c r="W9" i="36" s="1"/>
  <c r="W13" i="36" s="1"/>
  <c r="W18" i="36" s="1"/>
  <c r="X18" i="36" s="1"/>
  <c r="S13" i="36"/>
  <c r="V9" i="36"/>
  <c r="U9" i="36" s="1"/>
  <c r="Q13" i="36"/>
  <c r="X8" i="36" l="1"/>
  <c r="X9" i="36"/>
  <c r="V13" i="36"/>
  <c r="D9" i="32"/>
  <c r="X13" i="36" l="1"/>
  <c r="U13" i="36"/>
  <c r="D11" i="32"/>
  <c r="D13" i="32" s="1"/>
  <c r="F31" i="36" l="1"/>
  <c r="W26" i="36" l="1"/>
  <c r="X26" i="36" s="1"/>
  <c r="A34" i="36" l="1"/>
  <c r="A35" i="36" s="1"/>
  <c r="A36" i="36" s="1"/>
  <c r="A37" i="36" s="1"/>
</calcChain>
</file>

<file path=xl/sharedStrings.xml><?xml version="1.0" encoding="utf-8"?>
<sst xmlns="http://schemas.openxmlformats.org/spreadsheetml/2006/main" count="5416" uniqueCount="2429">
  <si>
    <t>Western Area Power Administration (WAPA)</t>
  </si>
  <si>
    <t>Upper Great Plains Region (WAPA-UGP)</t>
  </si>
  <si>
    <t>Transmission and Ancillary Services</t>
  </si>
  <si>
    <t>Rate True-up Calculation</t>
  </si>
  <si>
    <t>Effective April 1, 2026 (proposed)</t>
  </si>
  <si>
    <t>WAPA-UGP 2023 Rate True-up Calculation</t>
  </si>
  <si>
    <t>(Rate Order No. WAPA-218)</t>
  </si>
  <si>
    <t>WAPA-UGP</t>
  </si>
  <si>
    <t xml:space="preserve"> Transmission and Ancillary Services List of Workpapers and Schedules</t>
  </si>
  <si>
    <t>Worksheet Tab Label</t>
  </si>
  <si>
    <t>Worksheet Tab Description</t>
  </si>
  <si>
    <t>Summary-TrueUp</t>
  </si>
  <si>
    <t>Worksheet "Summary-TrueUp" -- Calculation of True-ups</t>
  </si>
  <si>
    <t>Log of Revisions</t>
  </si>
  <si>
    <t>WS1-ATRR RateBase</t>
  </si>
  <si>
    <t>WS2-RevCredits</t>
  </si>
  <si>
    <t>WS3-CostData</t>
  </si>
  <si>
    <t>WS4-TransFac</t>
  </si>
  <si>
    <t>WS5-FacDetail</t>
  </si>
  <si>
    <t>Worksheet 5 -- Other Facility Detail</t>
  </si>
  <si>
    <t>WS6-AI-Detail</t>
  </si>
  <si>
    <t>WS7-IMEU</t>
  </si>
  <si>
    <t>12 Months Ending 09/30/2023 True-up</t>
  </si>
  <si>
    <t>WAPA-UGP True-up</t>
  </si>
  <si>
    <t>Line No.</t>
  </si>
  <si>
    <t>Description</t>
  </si>
  <si>
    <t>Annual</t>
  </si>
  <si>
    <t>East</t>
  </si>
  <si>
    <t>Schedule 9 (AC Facilities) Sub-Total</t>
  </si>
  <si>
    <t xml:space="preserve">Schedule 9 (DC Facilities) Sub-Total </t>
  </si>
  <si>
    <t xml:space="preserve">Schedule 9 East Sub-Total </t>
  </si>
  <si>
    <t>West</t>
  </si>
  <si>
    <t>Schedule 9 West Sub-Total</t>
  </si>
  <si>
    <t xml:space="preserve">LEWIS-RICHLAND 115 kV Ckt 1, 72052 </t>
  </si>
  <si>
    <t xml:space="preserve">ROBERTS COUNTY 115 kV SUBSTATION, 71926 </t>
  </si>
  <si>
    <t xml:space="preserve">ROBERTS COUNTY 115/69 kV TRANSFORMER, 71927 </t>
  </si>
  <si>
    <t xml:space="preserve">WILLISTON SUBSTATION 115 kV TERMINAL UPGRADES, 61856 </t>
  </si>
  <si>
    <t>BPU refers to the SPP Base Plan Upgrades throughout the workbook</t>
  </si>
  <si>
    <t>Rev Log</t>
  </si>
  <si>
    <t>Summary of incremental changes:</t>
  </si>
  <si>
    <t>Line</t>
  </si>
  <si>
    <t>(1)</t>
  </si>
  <si>
    <t>(2)</t>
  </si>
  <si>
    <t>(3)</t>
  </si>
  <si>
    <t>(4)</t>
  </si>
  <si>
    <t>(5)</t>
  </si>
  <si>
    <t>No.</t>
  </si>
  <si>
    <t>Date</t>
  </si>
  <si>
    <t>Worksheet</t>
  </si>
  <si>
    <t>Reference Cell(s)</t>
  </si>
  <si>
    <t>Change From</t>
  </si>
  <si>
    <t>Change To</t>
  </si>
  <si>
    <t>(Back to Worksheet Links)</t>
  </si>
  <si>
    <t>Worksheet 1 - SPP ATRR Calculations</t>
  </si>
  <si>
    <t>Location</t>
  </si>
  <si>
    <t>Rate</t>
  </si>
  <si>
    <t>Project Name and #</t>
  </si>
  <si>
    <t>Type</t>
  </si>
  <si>
    <t>O&amp;M $</t>
  </si>
  <si>
    <t>Depreciation $</t>
  </si>
  <si>
    <t>A&amp;G $</t>
  </si>
  <si>
    <t>Subtotal of Gross Plant  $</t>
  </si>
  <si>
    <t>Sub Allocation Factor %(if applicable)</t>
  </si>
  <si>
    <t>Accumulated Depreciation $</t>
  </si>
  <si>
    <t>Cost of Capital</t>
  </si>
  <si>
    <t xml:space="preserve"> Line No.</t>
  </si>
  <si>
    <t>Crosscheck</t>
  </si>
  <si>
    <t>Schedule 9</t>
  </si>
  <si>
    <t>WAPA-UGP (Upper Great Plains)</t>
  </si>
  <si>
    <t>UGP</t>
  </si>
  <si>
    <t>WAPA-RMR (Rocky Mountain Region)</t>
  </si>
  <si>
    <t>RMR</t>
  </si>
  <si>
    <t>WAPA-COE (Corps of Engineers)</t>
  </si>
  <si>
    <t>COE</t>
  </si>
  <si>
    <t>DC Tie</t>
  </si>
  <si>
    <t>Schedule 9 Total</t>
  </si>
  <si>
    <t>BPU-Zonal</t>
  </si>
  <si>
    <t>TL</t>
  </si>
  <si>
    <t>N/A</t>
  </si>
  <si>
    <t>SUB</t>
  </si>
  <si>
    <t>BPU-Regional</t>
  </si>
  <si>
    <t>BPU-Regional Total</t>
  </si>
  <si>
    <t>SSCD</t>
  </si>
  <si>
    <t>OPS</t>
  </si>
  <si>
    <t>Total</t>
  </si>
  <si>
    <t>Worksheet 2 - Revenue Credit Calculation</t>
  </si>
  <si>
    <t>MONTH</t>
  </si>
  <si>
    <t>ACCOUNT</t>
  </si>
  <si>
    <t>TOTAL</t>
  </si>
  <si>
    <t>45643 Revenue from Trans.</t>
  </si>
  <si>
    <t>Subtotal</t>
  </si>
  <si>
    <t>Sch 7/8/11 Z2</t>
  </si>
  <si>
    <t>Schedule 7 Firm PTP</t>
  </si>
  <si>
    <t>Schedule 8 Nonfirm PTP</t>
  </si>
  <si>
    <t>Sch 7/8/11 MISO Seams</t>
  </si>
  <si>
    <t>45420 Rent from Electric Property</t>
  </si>
  <si>
    <t>7088 SSCD</t>
  </si>
  <si>
    <t>IMEU</t>
  </si>
  <si>
    <t>Sch 11 BPU-Zonal Revenue</t>
  </si>
  <si>
    <t>Sch 11 BPU-Zonal PTP</t>
  </si>
  <si>
    <t xml:space="preserve">Sch 11 BPU-Regional Revenue </t>
  </si>
  <si>
    <t>Sch 11 BPU-Regional PTP</t>
  </si>
  <si>
    <t>NOTES:</t>
  </si>
  <si>
    <t>Includes twelve months of revenue credits from January-December or February-January depending on when WAPA began receiving revenue credits from SPP.  Revenue credit sheet may be updated or adjusted as necessary to include all revenue credits received.  Reference to FERC Code or Object Class indicates Financial Account source.   Other reference indicates SPP Invoice as source document.</t>
  </si>
  <si>
    <t>Worksheet 3 - Cost Support Data</t>
  </si>
  <si>
    <t xml:space="preserve">WAPA-UGP </t>
  </si>
  <si>
    <t>WAPA-RMR</t>
  </si>
  <si>
    <t>BOR</t>
  </si>
  <si>
    <t>Total Plant-in-Service</t>
  </si>
  <si>
    <t>1/</t>
  </si>
  <si>
    <t>2/</t>
  </si>
  <si>
    <t>3/</t>
  </si>
  <si>
    <t>4/</t>
  </si>
  <si>
    <t>Transmission Plant-in-Service</t>
  </si>
  <si>
    <t>Generation Plant-in-Service</t>
  </si>
  <si>
    <t>5/</t>
  </si>
  <si>
    <t>Net Plant Investment Total</t>
  </si>
  <si>
    <t>Total PS  Sub-Allocated Plant-in-Service</t>
  </si>
  <si>
    <t>PS-ED Transmission Plant-in-Service - East</t>
  </si>
  <si>
    <t>PS-ED Transmission Plant-in-Service - West</t>
  </si>
  <si>
    <t>PS-ED SSCD Plant-in-Service</t>
  </si>
  <si>
    <t>PS-ED DC Tie Plant-in-Service</t>
  </si>
  <si>
    <t>Agency Allocation Rates</t>
  </si>
  <si>
    <t>Transmission Plant to Total Plant</t>
  </si>
  <si>
    <t>Generation Plant to Total Plant (N/R)</t>
  </si>
  <si>
    <t>AI Excluded (N/R)</t>
  </si>
  <si>
    <t>Total Allocation Rate</t>
  </si>
  <si>
    <t>Agency Sub-Allocation Rates</t>
  </si>
  <si>
    <t>Schedule 9-East Allocation to Total Plant</t>
  </si>
  <si>
    <t>Schedule 9-West Allocation to Total Plant</t>
  </si>
  <si>
    <t>SSCD Allocation to Total Plant</t>
  </si>
  <si>
    <t>DC Tie Allocation to Total Plant</t>
  </si>
  <si>
    <t>Total Sub-Allocation Rate</t>
  </si>
  <si>
    <t>.</t>
  </si>
  <si>
    <t>PS Accumulated Depreciation</t>
  </si>
  <si>
    <t>6/</t>
  </si>
  <si>
    <t>7/</t>
  </si>
  <si>
    <t>8/</t>
  </si>
  <si>
    <t>Transmission Accumulated Depreciation</t>
  </si>
  <si>
    <t>Net Recoverable Accum. Depreciation Total</t>
  </si>
  <si>
    <t>PS Accumulated Depreciation Sub-Allocation</t>
  </si>
  <si>
    <t>Sch 9-East Accumulated Depreciation</t>
  </si>
  <si>
    <t>Sch 9-West Accumulated Depreciation</t>
  </si>
  <si>
    <t>Sch 1 SSCD Accumulated Depreciation</t>
  </si>
  <si>
    <t>DC Tie Accumulated Depreciation</t>
  </si>
  <si>
    <t>PS-ED Net Transmission Plant</t>
  </si>
  <si>
    <t>Net Plant less Accumulated Depreciation Total</t>
  </si>
  <si>
    <t>PS Net Plant Sub-Allocation</t>
  </si>
  <si>
    <t>Sch 9-East Net Plant</t>
  </si>
  <si>
    <t>Sch 9-West Net Plant</t>
  </si>
  <si>
    <t>Sch 1 SSCD Net Plant</t>
  </si>
  <si>
    <t>DC Tie Net Plant</t>
  </si>
  <si>
    <t>PS Depreciation Expense</t>
  </si>
  <si>
    <t>9/</t>
  </si>
  <si>
    <t>PS-ED Transmission Annual Depreciation</t>
  </si>
  <si>
    <t>Total Annual Depreciation Expense</t>
  </si>
  <si>
    <t>PS Sub-Allocated Depreciation Expense</t>
  </si>
  <si>
    <t>Sch 9-East Annual Depreciation</t>
  </si>
  <si>
    <t>Sch 9-West Annual Depreciation</t>
  </si>
  <si>
    <t>Sch 1 SSCD Annual Depreciation</t>
  </si>
  <si>
    <t>DC Tie Annual Depreciation</t>
  </si>
  <si>
    <t>Long Term Debt:</t>
  </si>
  <si>
    <t>FY Balances</t>
  </si>
  <si>
    <t>10/</t>
  </si>
  <si>
    <t>PS-ED Transmission LTD</t>
  </si>
  <si>
    <t xml:space="preserve">Total </t>
  </si>
  <si>
    <t>Long Term Debt Sub-Allocation:</t>
  </si>
  <si>
    <t>Sch 9-East LTD</t>
  </si>
  <si>
    <t>Sch 9-West LTD</t>
  </si>
  <si>
    <t>Sch 1 SSCD LTD</t>
  </si>
  <si>
    <t>DC Tie LTD</t>
  </si>
  <si>
    <t>FY Interest</t>
  </si>
  <si>
    <t>11/</t>
  </si>
  <si>
    <t>12/</t>
  </si>
  <si>
    <t>PS-ED Transmission Interest</t>
  </si>
  <si>
    <t>Sch 9-East Interest</t>
  </si>
  <si>
    <t>Sch 9-West Interest</t>
  </si>
  <si>
    <t>Sch 1 SSCD Interest</t>
  </si>
  <si>
    <t>DC Tie Interest</t>
  </si>
  <si>
    <t>Average Interest Rate</t>
  </si>
  <si>
    <t>Transmission Plant Factor</t>
  </si>
  <si>
    <t>Weighted Trans. Composite Rate</t>
  </si>
  <si>
    <t>Generation Plant Factor</t>
  </si>
  <si>
    <t>Weighted Gen. Composite Rate</t>
  </si>
  <si>
    <t>A&amp;G Expenses</t>
  </si>
  <si>
    <t>13/</t>
  </si>
  <si>
    <t>14/</t>
  </si>
  <si>
    <t>15/</t>
  </si>
  <si>
    <t>PS Total A&amp;G</t>
  </si>
  <si>
    <t>PS-ED Transmission A&amp;G</t>
  </si>
  <si>
    <t>Total Allocated A&amp;G</t>
  </si>
  <si>
    <t>PS Sub-Allocated A&amp;G</t>
  </si>
  <si>
    <t>Sch 9-East  A&amp;G</t>
  </si>
  <si>
    <t>Sch 9-West A&amp;G</t>
  </si>
  <si>
    <t>Sch 1 SSCD A&amp;G</t>
  </si>
  <si>
    <t>DC Tie A&amp;G</t>
  </si>
  <si>
    <t>O&amp;M Expenses</t>
  </si>
  <si>
    <t>16/</t>
  </si>
  <si>
    <t>17/</t>
  </si>
  <si>
    <t>Total Electric Operating Expense</t>
  </si>
  <si>
    <t>Less:</t>
  </si>
  <si>
    <t xml:space="preserve">  Other Power Supply Expenses</t>
  </si>
  <si>
    <t xml:space="preserve">  A&amp;G Expenses</t>
  </si>
  <si>
    <t xml:space="preserve">  Prior Year Adjustments</t>
  </si>
  <si>
    <t xml:space="preserve">  Annual Reserve Sharing Group Cost</t>
  </si>
  <si>
    <t>Plus:</t>
  </si>
  <si>
    <t xml:space="preserve">  Moveable Property Interest</t>
  </si>
  <si>
    <t xml:space="preserve">  Warehouse Stores Interest</t>
  </si>
  <si>
    <t>PS Total O&amp;M</t>
  </si>
  <si>
    <t xml:space="preserve">PS-ED Transmission O&amp;M </t>
  </si>
  <si>
    <t>Total O&amp;M Allocated</t>
  </si>
  <si>
    <t>PS Sub-Allocated O&amp;M</t>
  </si>
  <si>
    <t>Sch 9-East O&amp;M</t>
  </si>
  <si>
    <t>Sch 9-West O&amp;M</t>
  </si>
  <si>
    <t xml:space="preserve">  Scheduling, System Control &amp; Dispatch O&amp;M</t>
  </si>
  <si>
    <t>18/</t>
  </si>
  <si>
    <t>DC Tie O&amp;M</t>
  </si>
  <si>
    <t>1/ WS4-TransFac Worksheet</t>
  </si>
  <si>
    <t>2/  RMCSR - Pick-Sloan Missouri River Basin Results of Operations (ROOs), Schedule 1</t>
  </si>
  <si>
    <t>3/  Corps of Engineers (COE) Financial Statements, Electric and Power Multi-Purpose Plant in Service</t>
  </si>
  <si>
    <t>4/  Combined Financial Statements, Combining Schedules of Revenues and Expenses Data by Agency</t>
  </si>
  <si>
    <t>5/  WS5-FacDetail Worksheet</t>
  </si>
  <si>
    <t>6/  UGPCSR - Pick-Sloan Missouri River Basin and UGPCSR - Ft. Peck Power System Results of Operations, Schedule 4</t>
  </si>
  <si>
    <t>7/  RMCSR - Pick-Sloan Missouri River Basin Results of Operations, Schedule 4</t>
  </si>
  <si>
    <t>8/  Corps of Engineers Financial Statements, Statement of Assets and Liabilities</t>
  </si>
  <si>
    <t>9/ Corps of Engineers Financial Statements, Statement of Revenues and Expenses</t>
  </si>
  <si>
    <t>10/ Historical Financial Data in Support of the Power Repayment Study for the P-SMBP, Schedules 21X and 21RX</t>
  </si>
  <si>
    <t>11/ FY UGPCSR - Pick-Sloan Missouri River Basin and UGPCSR - Ft. Peck Power System Results of Operations, Schedule 5-excludes deficit interest</t>
  </si>
  <si>
    <t>12/ FY RMCSR - Pick-Sloan Missouri River Basin and UGPCSR - Ft. Peck Power System Results of Operations, Schedule 5-excludes deficit interest</t>
  </si>
  <si>
    <t>13/  WAPA-UGP A&amp;G Expenses are from the UGPCSR - Pick-Sloan Missouri River Basin and UGPCSR - Ft. Peck Power System Results of Operations, Schedule 11A</t>
  </si>
  <si>
    <t>14/  WAPA-RMR A&amp;G Expenses are from the RMCSR - Pick-Sloan Missouri River Basin Results of Operations, Schedule 11A</t>
  </si>
  <si>
    <t>15/  A&amp;G Expenses for COE and BOR are unavailable.  All COE and BOR A&amp;G expenses are included in O&amp;M Expenses</t>
  </si>
  <si>
    <t xml:space="preserve">16/  All WAPA-UGP O&amp;M Expenses are from the UGPCSR - Pick-Sloan Missouri River Basin and UGPCSR -  Ft. Peck Power System Results of Operations, Schedule 11; except </t>
  </si>
  <si>
    <t>Moveable Property and Warehouse Stores Interest,  which are from Schedule 5</t>
  </si>
  <si>
    <t xml:space="preserve">17/  All WAPA-RMR O&amp;M Expenses are from the RMCSR - Pick-Sloan Missouri River Basin Results of Operations, Schedule 11; except Moveable Property and Warehouse </t>
  </si>
  <si>
    <t>Stores Interest, which are from Schedule 5</t>
  </si>
  <si>
    <t>18/ SSCD O&amp;M detail is provided in SSCD O&amp;M report</t>
  </si>
  <si>
    <t>Worksheet 4 - Transmission Facilities</t>
  </si>
  <si>
    <t>SPLIT</t>
  </si>
  <si>
    <t>FID</t>
  </si>
  <si>
    <t>DESCRIPTION</t>
  </si>
  <si>
    <t>FY2023  Facility Totals ($)</t>
  </si>
  <si>
    <t>Attachment AI Adjustments ($)</t>
  </si>
  <si>
    <t>Subtotal of Recoverable Transmission Facility Costs ($)</t>
  </si>
  <si>
    <t>Generation Adjustments ($)</t>
  </si>
  <si>
    <t>Other Adjustments ($)</t>
  </si>
  <si>
    <t>FY2023 Actual Total ($)</t>
  </si>
  <si>
    <t>NOTES</t>
  </si>
  <si>
    <t>AUR FL</t>
  </si>
  <si>
    <t>AURORA-FLANDREAU 115-KV T/L</t>
  </si>
  <si>
    <t>AUR BR</t>
  </si>
  <si>
    <t>AURORA- BROOKINGS 115-KV T/L</t>
  </si>
  <si>
    <t>BK HET</t>
  </si>
  <si>
    <t>BAKER-HETTINGER</t>
  </si>
  <si>
    <t>BU GA</t>
  </si>
  <si>
    <t>BEULAH-GARRISON</t>
  </si>
  <si>
    <t>BS GH</t>
  </si>
  <si>
    <t>BISMARCK-GLENHAM</t>
  </si>
  <si>
    <t>BS JT 1</t>
  </si>
  <si>
    <t>BISMARCK-JAMESTOWN NO. 1</t>
  </si>
  <si>
    <t>BS JT 2</t>
  </si>
  <si>
    <t>BISMARCK-JAMESTOWN NO. 2</t>
  </si>
  <si>
    <t>BS MDR</t>
  </si>
  <si>
    <t>BISMARCK-MEDORA</t>
  </si>
  <si>
    <t>BR SF</t>
  </si>
  <si>
    <t>BROOKINGS-SIOUX FALLS</t>
  </si>
  <si>
    <t>BR WT 1</t>
  </si>
  <si>
    <t>BROOKINGS-WATERTOWN NO. 1</t>
  </si>
  <si>
    <t>BR WT 2</t>
  </si>
  <si>
    <t>BROOKINGS-WATERTOWN NO. 2</t>
  </si>
  <si>
    <t>BR WHT</t>
  </si>
  <si>
    <t>BROOKINGS-WHITE 115/230KV</t>
  </si>
  <si>
    <t>CA JT</t>
  </si>
  <si>
    <t>CARRINGTON-JAMESTOWN</t>
  </si>
  <si>
    <t>WC BU</t>
  </si>
  <si>
    <t>CHARLIE CREEK - WATFORD CITY</t>
  </si>
  <si>
    <t>CCRBEF</t>
  </si>
  <si>
    <t>CHARLIE CREEK-BELFIELD</t>
  </si>
  <si>
    <t>CR DC</t>
  </si>
  <si>
    <t>CIRCLE-DAWSON COUNTY</t>
  </si>
  <si>
    <t>CS MY</t>
  </si>
  <si>
    <t>CRESTON-MARYVILLE</t>
  </si>
  <si>
    <t>DC MC</t>
  </si>
  <si>
    <t>DAWSON COUNTY - MILES CITY</t>
  </si>
  <si>
    <t>DC GL</t>
  </si>
  <si>
    <t>DAWSON-GLENDIVE</t>
  </si>
  <si>
    <t>DC MDR</t>
  </si>
  <si>
    <t>DAWSON-MEDORA</t>
  </si>
  <si>
    <t>DC OF</t>
  </si>
  <si>
    <t>DAWSON-O'FALLON CREEK</t>
  </si>
  <si>
    <t>DC WN</t>
  </si>
  <si>
    <t>DAWSON-WILLISTON /1</t>
  </si>
  <si>
    <t>DN CS</t>
  </si>
  <si>
    <t>DENISON-CRESTON</t>
  </si>
  <si>
    <t xml:space="preserve">DL CA </t>
  </si>
  <si>
    <t>DEVILS LAKE-CARRINGTON</t>
  </si>
  <si>
    <t>DL LA</t>
  </si>
  <si>
    <t>DEVILS LAKE-LAKOTA</t>
  </si>
  <si>
    <t>ED FO</t>
  </si>
  <si>
    <t>EDGELEY-FORMAN</t>
  </si>
  <si>
    <t>ED GR</t>
  </si>
  <si>
    <t>EDGELEY-GROTON</t>
  </si>
  <si>
    <t>ELCMA</t>
  </si>
  <si>
    <t>ELK CREEK-NEWELL-MAURINE 115-kV T/L</t>
  </si>
  <si>
    <t>FA GK</t>
  </si>
  <si>
    <t>FARGO-GRAND FORKS</t>
  </si>
  <si>
    <t>FA MO</t>
  </si>
  <si>
    <t>FARGO-MORRIS</t>
  </si>
  <si>
    <t>FO RCO</t>
  </si>
  <si>
    <t>FORMAN-ROBERTS COUNTY</t>
  </si>
  <si>
    <t>FO SU D</t>
  </si>
  <si>
    <t>FORMAN-SUMMIT (BISMARCK)</t>
  </si>
  <si>
    <t>FO SU C</t>
  </si>
  <si>
    <t>FORMAN-SUMMIT (HURON)</t>
  </si>
  <si>
    <t>FP DC 1</t>
  </si>
  <si>
    <t>FORT PECK-DAWSON 1</t>
  </si>
  <si>
    <t>FP DC 2</t>
  </si>
  <si>
    <t>FORT PECK-DAWSON 2</t>
  </si>
  <si>
    <t>FP WN</t>
  </si>
  <si>
    <t>FORT PECK-WILLISTON</t>
  </si>
  <si>
    <t>FP WP 2</t>
  </si>
  <si>
    <t>FORT PECK-WOLF POINT #2</t>
  </si>
  <si>
    <t>FR FT D</t>
  </si>
  <si>
    <t>FORT RANDALL-FORT THOMPSON 1&amp;2</t>
  </si>
  <si>
    <t>FR GP</t>
  </si>
  <si>
    <t>FORT RANDALL-GAVIN'S POINT</t>
  </si>
  <si>
    <t>FR GY</t>
  </si>
  <si>
    <t>FORT RANDALL-GREGORY</t>
  </si>
  <si>
    <t>FR MV</t>
  </si>
  <si>
    <t>FORT RANDALL-MT VERNON</t>
  </si>
  <si>
    <t>FR ON</t>
  </si>
  <si>
    <t>FORT RANDALL-O'NEILL</t>
  </si>
  <si>
    <t>FR SC D</t>
  </si>
  <si>
    <t>FORT RANDALL-SIOUX CITY 1&amp;2</t>
  </si>
  <si>
    <t>FT GI</t>
  </si>
  <si>
    <t>FORT THOMPSON-GRAND ISLAND</t>
  </si>
  <si>
    <t>FT HU D</t>
  </si>
  <si>
    <t>FORT THOMPSON-HURON 230-KV 1&amp;2</t>
  </si>
  <si>
    <t>FT SF D</t>
  </si>
  <si>
    <t>FORT THOMPSON-SIOUX FALLS 1&amp;2</t>
  </si>
  <si>
    <t>GA BS D</t>
  </si>
  <si>
    <t>GARRISON-BISMARCK 230KV 1&amp;2</t>
  </si>
  <si>
    <t>GA JT</t>
  </si>
  <si>
    <t>GARRISON-JAMESTOWN</t>
  </si>
  <si>
    <t>GA ML</t>
  </si>
  <si>
    <t>GARRISON-MALLARD</t>
  </si>
  <si>
    <t>GA WJ</t>
  </si>
  <si>
    <t>GARRISON-WM. J. NEAL</t>
  </si>
  <si>
    <t>GP BN</t>
  </si>
  <si>
    <t>GAVINS POINT-BELDEN</t>
  </si>
  <si>
    <t xml:space="preserve">GP SF </t>
  </si>
  <si>
    <t>GAVINS POINT-SIOUX FALLS</t>
  </si>
  <si>
    <t>GF MO</t>
  </si>
  <si>
    <t>GRANITE FALLS- MORRIS</t>
  </si>
  <si>
    <t>GF MNV</t>
  </si>
  <si>
    <t>GRANITE FALLS-MINNESOTA VALLEY</t>
  </si>
  <si>
    <t>GY MS</t>
  </si>
  <si>
    <t>GREGORY-MISSION</t>
  </si>
  <si>
    <t>GR HU</t>
  </si>
  <si>
    <t>GROTON-HURON</t>
  </si>
  <si>
    <t>GR SU</t>
  </si>
  <si>
    <t>GROTON-SUMMIT</t>
  </si>
  <si>
    <t>HE DV</t>
  </si>
  <si>
    <t>HESKETT-DEVAUL</t>
  </si>
  <si>
    <t>HETNU</t>
  </si>
  <si>
    <t>HETTINGER-NEW UNDERWOOD</t>
  </si>
  <si>
    <t>HU MV</t>
  </si>
  <si>
    <t>HURON-MT VERNON</t>
  </si>
  <si>
    <t>HU WT D</t>
  </si>
  <si>
    <t>HURON-WATERTOWN 230KV 1&amp;3</t>
  </si>
  <si>
    <t>JT ED</t>
  </si>
  <si>
    <t>JAMESTOWN-EDGELEY</t>
  </si>
  <si>
    <t xml:space="preserve">JT FA 1 </t>
  </si>
  <si>
    <t>JAMESTOWN-FARGO NO. 1</t>
  </si>
  <si>
    <t>JT FA 2</t>
  </si>
  <si>
    <t>JAMESTOWN-FARGO NO. 2</t>
  </si>
  <si>
    <t>JT GK</t>
  </si>
  <si>
    <t>JAMESTOWN-GRAND FORKS</t>
  </si>
  <si>
    <t>JT VC</t>
  </si>
  <si>
    <t>JAMESTOWN-VALLEY CITY</t>
  </si>
  <si>
    <t>KD CCR</t>
  </si>
  <si>
    <t>KILDEER-CHARLIE CREEK</t>
  </si>
  <si>
    <t>LE DL</t>
  </si>
  <si>
    <t>LEEDS-DEVILS LAKE</t>
  </si>
  <si>
    <t xml:space="preserve">LE RL </t>
  </si>
  <si>
    <t>LEEDS-ROLLA</t>
  </si>
  <si>
    <t>ML RG</t>
  </si>
  <si>
    <t>MALLARD-RUGBY</t>
  </si>
  <si>
    <t>MR MS</t>
  </si>
  <si>
    <t>MARTIN-MISSION</t>
  </si>
  <si>
    <t>MR PL</t>
  </si>
  <si>
    <t>MARTIN-PHILIP</t>
  </si>
  <si>
    <t>MA RC</t>
  </si>
  <si>
    <t>MAURINE-RAPID CITY</t>
  </si>
  <si>
    <t>MC BK</t>
  </si>
  <si>
    <t>MILES CITY-BAKER</t>
  </si>
  <si>
    <t>NU PL</t>
  </si>
  <si>
    <t>NEW UNDERWOOD-PHILIP</t>
  </si>
  <si>
    <t>NU RC 1</t>
  </si>
  <si>
    <t>NEW UNDERWOOD-RAPID CITY NO. 1</t>
  </si>
  <si>
    <t>NU RC 2</t>
  </si>
  <si>
    <t>NEW UNDERWOOD-RAPID CITY NO. 2</t>
  </si>
  <si>
    <t>NU SG C</t>
  </si>
  <si>
    <t>NEW UNDERWOOD-STEGALL (HURON)</t>
  </si>
  <si>
    <t>OA FT N</t>
  </si>
  <si>
    <t>OAHE-FORT THOMPSON 230KV 1&amp;2</t>
  </si>
  <si>
    <t>OA FT S</t>
  </si>
  <si>
    <t>OAHE-FORT THOMPSON 230KV 3&amp;4</t>
  </si>
  <si>
    <t>OA GH</t>
  </si>
  <si>
    <t>OAHE-GLENHAM</t>
  </si>
  <si>
    <t>OA MA</t>
  </si>
  <si>
    <t>OAHE-MAURINE</t>
  </si>
  <si>
    <t>OA NU</t>
  </si>
  <si>
    <t>OAHE-NEW UNDERWOOD</t>
  </si>
  <si>
    <t>OA PI</t>
  </si>
  <si>
    <t>OAHE-PIERRE</t>
  </si>
  <si>
    <t>OF MC</t>
  </si>
  <si>
    <t>O'FALLON CREEK-MILES CITY</t>
  </si>
  <si>
    <t>ORD GSO</t>
  </si>
  <si>
    <t>ORDWAY-GROTON SOUTH</t>
  </si>
  <si>
    <t>PI PL</t>
  </si>
  <si>
    <t>PIERRE-PHILIP</t>
  </si>
  <si>
    <t>RC DRY</t>
  </si>
  <si>
    <t>RAPID CITY-DRY CREEK</t>
  </si>
  <si>
    <t>ELCRC</t>
  </si>
  <si>
    <t>RAPID CITY-ELK CREEK 115-kV T/L</t>
  </si>
  <si>
    <t>RCOSU</t>
  </si>
  <si>
    <t>ROBERTS COUNTY-SUMMIT</t>
  </si>
  <si>
    <t>RG LE</t>
  </si>
  <si>
    <t>RUGBY-LEEDS</t>
  </si>
  <si>
    <t>SC DN</t>
  </si>
  <si>
    <t>SIOUX CITY-DENISON</t>
  </si>
  <si>
    <t>SC SP</t>
  </si>
  <si>
    <t>SIOUX CITY-SPENCER</t>
  </si>
  <si>
    <t>SC SF</t>
  </si>
  <si>
    <t>SIOUX FALLS- SIOUX CITY</t>
  </si>
  <si>
    <t>SF VFO</t>
  </si>
  <si>
    <t>SIOUX FALLS-VIRGIL FODNESS 230KV T-LINE</t>
  </si>
  <si>
    <t>SU WT</t>
  </si>
  <si>
    <t>SUMMIT-WATERTOWN</t>
  </si>
  <si>
    <t>UJ SF</t>
  </si>
  <si>
    <t>UTICA JCT-SIOUX FALLS</t>
  </si>
  <si>
    <t>VC FO</t>
  </si>
  <si>
    <t>VALLEY CITY-FORMAN</t>
  </si>
  <si>
    <t>UJ VFO</t>
  </si>
  <si>
    <t>VIRGIL FODNESS-UTICA JUNCTION-FT RANDALL/RASMUS</t>
  </si>
  <si>
    <t>WDDBEF</t>
  </si>
  <si>
    <t>WARD DELIVERY-BELFIELD 230KV T-LINE</t>
  </si>
  <si>
    <t>WT GF D</t>
  </si>
  <si>
    <t>WATERTOWN-GRANITE FALLS 1&amp;2</t>
  </si>
  <si>
    <t>WT SC</t>
  </si>
  <si>
    <t>WATERTOWN-SIOUX CITY</t>
  </si>
  <si>
    <t>WN WC</t>
  </si>
  <si>
    <t>WILLISTON-WATFORD CITY</t>
  </si>
  <si>
    <t>WP CR</t>
  </si>
  <si>
    <t>WOLF POINT-CIRCLE</t>
  </si>
  <si>
    <t>WJ RG</t>
  </si>
  <si>
    <t>WM. J. NEAL-RUGBY</t>
  </si>
  <si>
    <t>TL Total</t>
  </si>
  <si>
    <t>TRANSMISSION LINES</t>
  </si>
  <si>
    <t>AN</t>
  </si>
  <si>
    <t>ANITA</t>
  </si>
  <si>
    <t>AVS</t>
  </si>
  <si>
    <t>ANTELOPE VALLEY</t>
  </si>
  <si>
    <t>APD</t>
  </si>
  <si>
    <t>APPELDORN SUBSTATION</t>
  </si>
  <si>
    <t>AR</t>
  </si>
  <si>
    <t>ARMOUR SUBSTATION</t>
  </si>
  <si>
    <t>AHS</t>
  </si>
  <si>
    <t>ASH SUBSTATION</t>
  </si>
  <si>
    <t>AUR</t>
  </si>
  <si>
    <t>AURORA SUBSTATION</t>
  </si>
  <si>
    <t>BK</t>
  </si>
  <si>
    <t xml:space="preserve">BAKER </t>
  </si>
  <si>
    <t>BN</t>
  </si>
  <si>
    <t>BELDEN SUBSTATION</t>
  </si>
  <si>
    <t>BEF</t>
  </si>
  <si>
    <t>BELFIELD SUBSTATION</t>
  </si>
  <si>
    <t xml:space="preserve">BE </t>
  </si>
  <si>
    <t>BERESFORD SUBSTATION</t>
  </si>
  <si>
    <t>BB</t>
  </si>
  <si>
    <t>BISBEE SUBSTATION</t>
  </si>
  <si>
    <t>BS</t>
  </si>
  <si>
    <t>BISMARK SUBSTATION</t>
  </si>
  <si>
    <t>BI</t>
  </si>
  <si>
    <t xml:space="preserve">BISON  </t>
  </si>
  <si>
    <t xml:space="preserve">BO </t>
  </si>
  <si>
    <t>BONESTEEL SUBSTATION</t>
  </si>
  <si>
    <t>BR</t>
  </si>
  <si>
    <t>BROOKINGS SUBSTATION</t>
  </si>
  <si>
    <t>CBC</t>
  </si>
  <si>
    <t>CAMPBELL COUNTY SWITCHING STATION</t>
  </si>
  <si>
    <t>CRP</t>
  </si>
  <si>
    <t>CARPENTER SUBSTATION</t>
  </si>
  <si>
    <t xml:space="preserve">CA </t>
  </si>
  <si>
    <t>CARRINGTON SUBSTATION</t>
  </si>
  <si>
    <t>CCR</t>
  </si>
  <si>
    <t>CHARLIE CREEK</t>
  </si>
  <si>
    <t>CR</t>
  </si>
  <si>
    <t>CIRCLE SUBSTATION</t>
  </si>
  <si>
    <t>CS</t>
  </si>
  <si>
    <t>CRESTON SUBSTATION</t>
  </si>
  <si>
    <t>CQE</t>
  </si>
  <si>
    <t>CULBERTSON EAST SWITCHING STATION</t>
  </si>
  <si>
    <t>CT</t>
  </si>
  <si>
    <t>CUSTER TRAIL SUBSTATION</t>
  </si>
  <si>
    <t>DC</t>
  </si>
  <si>
    <t>DAWSON COUNTY SUBSTATION</t>
  </si>
  <si>
    <t>DNT</t>
  </si>
  <si>
    <t>DENBIGH TAP</t>
  </si>
  <si>
    <t>DN</t>
  </si>
  <si>
    <t>DENISON SUBSTATION</t>
  </si>
  <si>
    <t>DV</t>
  </si>
  <si>
    <t>DEVAUL SUBSTATION</t>
  </si>
  <si>
    <t>DL</t>
  </si>
  <si>
    <t>DEVILS LAKE SUBSTATION</t>
  </si>
  <si>
    <t>DK</t>
  </si>
  <si>
    <t>DICKINSON</t>
  </si>
  <si>
    <t>EJ</t>
  </si>
  <si>
    <t>E. J. MANNING</t>
  </si>
  <si>
    <t>EA</t>
  </si>
  <si>
    <t>EAGLE</t>
  </si>
  <si>
    <t>EB</t>
  </si>
  <si>
    <t>EAGLE BUTTE SUBSTATION</t>
  </si>
  <si>
    <t>ED</t>
  </si>
  <si>
    <t>EDGELEY SUBSTATION</t>
  </si>
  <si>
    <t>ELC</t>
  </si>
  <si>
    <t>ELK CREEK SUBSTATION</t>
  </si>
  <si>
    <t xml:space="preserve">EL </t>
  </si>
  <si>
    <t>ELLENDALE SUBSTATION</t>
  </si>
  <si>
    <t>ELI</t>
  </si>
  <si>
    <t>ELLIOTT SWITCHING STATION</t>
  </si>
  <si>
    <t>END</t>
  </si>
  <si>
    <t>ENDERLIN TAP STATION</t>
  </si>
  <si>
    <t>EXI</t>
  </si>
  <si>
    <t>EXIRA SWITCHING STATION</t>
  </si>
  <si>
    <t>FVW</t>
  </si>
  <si>
    <t>FAIRVIEW WEST SWITCHING STATION</t>
  </si>
  <si>
    <t>FH</t>
  </si>
  <si>
    <t>FAITH SUBSTATION</t>
  </si>
  <si>
    <t>FA</t>
  </si>
  <si>
    <t>FARGO SUBSTATION</t>
  </si>
  <si>
    <t>FL</t>
  </si>
  <si>
    <t>FLANDREAU SUBSTATION</t>
  </si>
  <si>
    <t>FO</t>
  </si>
  <si>
    <t>FORMAN SUBSTATION</t>
  </si>
  <si>
    <t>FR</t>
  </si>
  <si>
    <t>FORT RANDALL</t>
  </si>
  <si>
    <t>FT2</t>
  </si>
  <si>
    <t>FORT THOMPSON #2</t>
  </si>
  <si>
    <t>FT</t>
  </si>
  <si>
    <t>FORT THOMPSON SUBSTATION</t>
  </si>
  <si>
    <t>GL</t>
  </si>
  <si>
    <t>GLENDIVE SUBSTATION</t>
  </si>
  <si>
    <t>GK</t>
  </si>
  <si>
    <t>GRAND FORKS SUBSTATION</t>
  </si>
  <si>
    <t>GI</t>
  </si>
  <si>
    <t>GRAND ISLAND SUBSTATION</t>
  </si>
  <si>
    <t>GRP</t>
  </si>
  <si>
    <t>GRAND PRAIRIE SUBSTATION</t>
  </si>
  <si>
    <t>GF</t>
  </si>
  <si>
    <t>GRANITE FALLS SUBSTATION</t>
  </si>
  <si>
    <t>GY</t>
  </si>
  <si>
    <t>GREGORY SUBSTATION</t>
  </si>
  <si>
    <t>GR</t>
  </si>
  <si>
    <t>GROTON SUBSTATION</t>
  </si>
  <si>
    <t>GSO</t>
  </si>
  <si>
    <t>GROTON SOUTH SUBSTATION</t>
  </si>
  <si>
    <t>HBN</t>
  </si>
  <si>
    <t>HEBRON SWITCHING STATION</t>
  </si>
  <si>
    <t>HET</t>
  </si>
  <si>
    <t>HETTINGER</t>
  </si>
  <si>
    <t>HLK</t>
  </si>
  <si>
    <t>HILKEN SWITCHING STATION</t>
  </si>
  <si>
    <t>HU</t>
  </si>
  <si>
    <t>HURON SUBSTATION</t>
  </si>
  <si>
    <t xml:space="preserve">JT </t>
  </si>
  <si>
    <t>JAMESTOWN SUBSTATION</t>
  </si>
  <si>
    <t>KD</t>
  </si>
  <si>
    <t>KILLDEER SUBSTATION</t>
  </si>
  <si>
    <t>LA</t>
  </si>
  <si>
    <t>LAKOTA SUBSTATION</t>
  </si>
  <si>
    <t>LE</t>
  </si>
  <si>
    <t>LEEDS SUBSTATION</t>
  </si>
  <si>
    <t>LET</t>
  </si>
  <si>
    <t>LETCHER SUBSTATION</t>
  </si>
  <si>
    <t>ML</t>
  </si>
  <si>
    <t>MALLARD</t>
  </si>
  <si>
    <t>MDN</t>
  </si>
  <si>
    <t>MANDAN SUBSTATION</t>
  </si>
  <si>
    <t>MR</t>
  </si>
  <si>
    <t>MARTIN SUBSTATION</t>
  </si>
  <si>
    <t>MA</t>
  </si>
  <si>
    <t>MAURINE SUBSTATION</t>
  </si>
  <si>
    <t>MD</t>
  </si>
  <si>
    <t>MIDLAND SUBSTATION</t>
  </si>
  <si>
    <t>MC2</t>
  </si>
  <si>
    <t>MILES CITY SUB #2</t>
  </si>
  <si>
    <t>MC</t>
  </si>
  <si>
    <t>MILES CITY SUBSTATION</t>
  </si>
  <si>
    <t>MGV</t>
  </si>
  <si>
    <t>MINGUSVILLE SUBSTATION</t>
  </si>
  <si>
    <t>MS</t>
  </si>
  <si>
    <t>MISSION SUBSTATION</t>
  </si>
  <si>
    <t>MO</t>
  </si>
  <si>
    <t>MORRIS SUBSTATION</t>
  </si>
  <si>
    <t>MV</t>
  </si>
  <si>
    <t>MT VERNON SUBSTATION</t>
  </si>
  <si>
    <t>NA</t>
  </si>
  <si>
    <t>NASHUA SUB</t>
  </si>
  <si>
    <t>NEL</t>
  </si>
  <si>
    <t>NELSON SUBSTATION</t>
  </si>
  <si>
    <t>NU</t>
  </si>
  <si>
    <t>NEW UNDERWOOD SUBSTATION</t>
  </si>
  <si>
    <t>NL</t>
  </si>
  <si>
    <t>NEWELL SUBSTATION</t>
  </si>
  <si>
    <t>OF</t>
  </si>
  <si>
    <t>O'FALLON CREEK SUBSTATION</t>
  </si>
  <si>
    <t>ON</t>
  </si>
  <si>
    <t>O'NEILL SUB (NPP)</t>
  </si>
  <si>
    <t>PET</t>
  </si>
  <si>
    <t>PENN TAP</t>
  </si>
  <si>
    <t>PL</t>
  </si>
  <si>
    <t>PHILIP SUBSTATION</t>
  </si>
  <si>
    <t>PI</t>
  </si>
  <si>
    <t>PIERRE SUBSTATION</t>
  </si>
  <si>
    <t>PLL</t>
  </si>
  <si>
    <t>PLEASANT LAKE TAP</t>
  </si>
  <si>
    <t>RC</t>
  </si>
  <si>
    <t>RAPID CITY SUBSTATION</t>
  </si>
  <si>
    <t>RH</t>
  </si>
  <si>
    <t>RICHLAND SUBSTATION</t>
  </si>
  <si>
    <t>RCO</t>
  </si>
  <si>
    <t>ROBERTS COUNTY /2</t>
  </si>
  <si>
    <t>RL</t>
  </si>
  <si>
    <t>ROLLA SUBSTATION</t>
  </si>
  <si>
    <t>RG</t>
  </si>
  <si>
    <t>RUGBY SUBSTATION</t>
  </si>
  <si>
    <t>SA</t>
  </si>
  <si>
    <t>SAVAGE SUB</t>
  </si>
  <si>
    <t>SL</t>
  </si>
  <si>
    <t>SHIRLEY TAP</t>
  </si>
  <si>
    <t>SC2</t>
  </si>
  <si>
    <t>SIOUX CITY #2</t>
  </si>
  <si>
    <t xml:space="preserve">SC </t>
  </si>
  <si>
    <t>SIOUX CITY SUBSTATION</t>
  </si>
  <si>
    <t>SF</t>
  </si>
  <si>
    <t>SIOUX FALLS SUBSTATION</t>
  </si>
  <si>
    <t>SP</t>
  </si>
  <si>
    <t>SPENCER</t>
  </si>
  <si>
    <t>SNY</t>
  </si>
  <si>
    <t>STANLEY</t>
  </si>
  <si>
    <t>SB</t>
  </si>
  <si>
    <t>SULLY BUTTES</t>
  </si>
  <si>
    <t>SUH</t>
  </si>
  <si>
    <t>SULPHUR</t>
  </si>
  <si>
    <t>SU</t>
  </si>
  <si>
    <t>SUMMIT SUBSTATION</t>
  </si>
  <si>
    <t>TR</t>
  </si>
  <si>
    <t>TERRY TAP</t>
  </si>
  <si>
    <t>TN</t>
  </si>
  <si>
    <t>TOWNER</t>
  </si>
  <si>
    <t>TY</t>
  </si>
  <si>
    <t>TYNDALL SUBSTATION</t>
  </si>
  <si>
    <t>UJ</t>
  </si>
  <si>
    <t>UTICA JCT.</t>
  </si>
  <si>
    <t>VH</t>
  </si>
  <si>
    <t>V. T. HANLON</t>
  </si>
  <si>
    <t>VC</t>
  </si>
  <si>
    <t>VALLEY CITY SUBSTATION</t>
  </si>
  <si>
    <t>VE</t>
  </si>
  <si>
    <t>VETAL TAP</t>
  </si>
  <si>
    <t>VFO</t>
  </si>
  <si>
    <t>VIRGIL FODNESS SUBSTATION</t>
  </si>
  <si>
    <t>WL</t>
  </si>
  <si>
    <t>WALL SUBSTATION</t>
  </si>
  <si>
    <t>WNB</t>
  </si>
  <si>
    <t>WANBLEE TAP</t>
  </si>
  <si>
    <t>WDD</t>
  </si>
  <si>
    <t>WARD SUBSTATION</t>
  </si>
  <si>
    <t>WB</t>
  </si>
  <si>
    <t>WASHBURN SUBSTATION</t>
  </si>
  <si>
    <t>WT2</t>
  </si>
  <si>
    <t>WATERTOWN #2</t>
  </si>
  <si>
    <t>WTS</t>
  </si>
  <si>
    <t>WATERTOWN STATIC VAR SYSTEM</t>
  </si>
  <si>
    <t>WT</t>
  </si>
  <si>
    <t>WATERTOWN SUBSTATION</t>
  </si>
  <si>
    <t>WC</t>
  </si>
  <si>
    <t>WATFORD CITY SUB</t>
  </si>
  <si>
    <t>WSG</t>
  </si>
  <si>
    <t>WESSINGTON SPRINGS SUBSTATION</t>
  </si>
  <si>
    <t>WHT</t>
  </si>
  <si>
    <t>WHITE 345/115 SUB</t>
  </si>
  <si>
    <t>WV</t>
  </si>
  <si>
    <t>WICKSVILLE SUBSTATION</t>
  </si>
  <si>
    <t>WN2</t>
  </si>
  <si>
    <t>WILLISTON 2 SUBSTATION</t>
  </si>
  <si>
    <t>WN</t>
  </si>
  <si>
    <t>WILLISTON SUBSTATION /2</t>
  </si>
  <si>
    <t>WI</t>
  </si>
  <si>
    <t>WINNER SUBSTATION</t>
  </si>
  <si>
    <t>WJ</t>
  </si>
  <si>
    <t>WM. J. NEAL</t>
  </si>
  <si>
    <t>WP</t>
  </si>
  <si>
    <t>WOLF POINT SUBSTATION</t>
  </si>
  <si>
    <t>WO</t>
  </si>
  <si>
    <t>WOONSOCKET SUBSTATION</t>
  </si>
  <si>
    <t>YJ</t>
  </si>
  <si>
    <t>YANKTON JCT.</t>
  </si>
  <si>
    <t>YA</t>
  </si>
  <si>
    <t>YANKTON SUBSTATION</t>
  </si>
  <si>
    <t>SUB Total</t>
  </si>
  <si>
    <t>SUBSTATIONS</t>
  </si>
  <si>
    <t>O&amp;M</t>
  </si>
  <si>
    <t>ARC</t>
  </si>
  <si>
    <t>ARMOUR O&amp;M SER. CEN.</t>
  </si>
  <si>
    <t>BSM</t>
  </si>
  <si>
    <t>BISMARCK O&amp;M SER. CEN.</t>
  </si>
  <si>
    <t>DCF</t>
  </si>
  <si>
    <t>DAWSON SER. CEN.</t>
  </si>
  <si>
    <t>DLM</t>
  </si>
  <si>
    <t>DEVILS LAKE O&amp;M SER. CEN.</t>
  </si>
  <si>
    <t>FAO</t>
  </si>
  <si>
    <t>FARGO LINE MAINTENANCE FACILITY</t>
  </si>
  <si>
    <t>FAM</t>
  </si>
  <si>
    <t>FARGO O&amp;M SER. CEN.</t>
  </si>
  <si>
    <t>East/West 50%</t>
  </si>
  <si>
    <t>FPM</t>
  </si>
  <si>
    <t>FORT PECK SER. CEN.</t>
  </si>
  <si>
    <t>FTM</t>
  </si>
  <si>
    <t>FORT THOMPSON O&amp;M S. C.</t>
  </si>
  <si>
    <t>HUM</t>
  </si>
  <si>
    <t>HURON O&amp;M SER. CEN.</t>
  </si>
  <si>
    <t>JTM</t>
  </si>
  <si>
    <t>JAMESTOWN O&amp;M SER. CEN.</t>
  </si>
  <si>
    <t xml:space="preserve">NUM </t>
  </si>
  <si>
    <t>NEW UNDERWOOD SER. CEN.</t>
  </si>
  <si>
    <t>PLM</t>
  </si>
  <si>
    <t>PHILIP O&amp;M SER. CENT.</t>
  </si>
  <si>
    <t>PIM</t>
  </si>
  <si>
    <t>PIERRE O&amp;M SER. CEN.</t>
  </si>
  <si>
    <t>RCM</t>
  </si>
  <si>
    <t>RAPID CITY GARAGE &amp; STOR.</t>
  </si>
  <si>
    <t>RCN</t>
  </si>
  <si>
    <t>RAPID CITY NORTH O&amp;M SER. CEN.</t>
  </si>
  <si>
    <t>SCM</t>
  </si>
  <si>
    <t>SIOUX CITY O&amp;M SER. CEN.</t>
  </si>
  <si>
    <t>SFC</t>
  </si>
  <si>
    <t>SIOUX FALLS O&amp;M SER. CEN.</t>
  </si>
  <si>
    <t>WTM</t>
  </si>
  <si>
    <t>WATERTOWN MAINT. CEN.</t>
  </si>
  <si>
    <t>O&amp;M Total</t>
  </si>
  <si>
    <t>O&amp;M SERVICE &amp; MAINT. CENTERS</t>
  </si>
  <si>
    <t>WAO</t>
  </si>
  <si>
    <t>WATERTOWN ALTERNATE OPERATIONS CENTER</t>
  </si>
  <si>
    <t>Column 4 shows percentage of the Watertown Operations Center that was prorated to generation based on FTE associated with generation.</t>
  </si>
  <si>
    <t>WTO</t>
  </si>
  <si>
    <t>WATERTOWN OPERATIONS CENT</t>
  </si>
  <si>
    <t>WTO F</t>
  </si>
  <si>
    <t xml:space="preserve">WATERTOWN OPER CTR (BFPS) </t>
  </si>
  <si>
    <t>OPS Total</t>
  </si>
  <si>
    <t>OPERATION CENTERS</t>
  </si>
  <si>
    <t>MOB</t>
  </si>
  <si>
    <t>MOBW2</t>
  </si>
  <si>
    <t>MOB 115KV SWITCH TRAILER</t>
  </si>
  <si>
    <t>MOBT2</t>
  </si>
  <si>
    <t>MOB TRANSF 115KV 10MVA</t>
  </si>
  <si>
    <t>MOBT4</t>
  </si>
  <si>
    <t>MOB TRANSF 115KV 40MVA</t>
  </si>
  <si>
    <t>MOBT6</t>
  </si>
  <si>
    <t>MOB TRANSF 230KV 1-33MVA</t>
  </si>
  <si>
    <t>MOBB2</t>
  </si>
  <si>
    <t>MOBILE BY PASS KIT (BISMARCK)</t>
  </si>
  <si>
    <t>MOBB1</t>
  </si>
  <si>
    <t>MOBILE BY PASS KIT (HURON)</t>
  </si>
  <si>
    <t>MOBC4</t>
  </si>
  <si>
    <t>MOBILE CAPACITOR BANK</t>
  </si>
  <si>
    <t>MOBS6</t>
  </si>
  <si>
    <t>MOBILE SUB 110KV</t>
  </si>
  <si>
    <t>MOBS9</t>
  </si>
  <si>
    <t>MOBILE SUB 115KV 20MVA</t>
  </si>
  <si>
    <t>MOBS10</t>
  </si>
  <si>
    <t>MOBILE SUB 115KV/41.8 KV 20MVA</t>
  </si>
  <si>
    <t>MOBS7</t>
  </si>
  <si>
    <t>MOBILE SUB 41.8 KV</t>
  </si>
  <si>
    <t>MOBS5</t>
  </si>
  <si>
    <t>MOBILE SUB 69KV</t>
  </si>
  <si>
    <t>MOBR2</t>
  </si>
  <si>
    <t>MOB SH.REACTOR</t>
  </si>
  <si>
    <t>MOB Total</t>
  </si>
  <si>
    <t>MOBILE EQUIPMENT</t>
  </si>
  <si>
    <t>GEN</t>
  </si>
  <si>
    <t>BG FT L</t>
  </si>
  <si>
    <t>BIG BEND-FORT THOMPSON (LOW VOLTAGE)</t>
  </si>
  <si>
    <t>FP</t>
  </si>
  <si>
    <t>FORT PECK POWERPLANT (COE)</t>
  </si>
  <si>
    <t>FT BG 1</t>
  </si>
  <si>
    <t>FORT THOMPSON-BIG BEND NO. 1</t>
  </si>
  <si>
    <t>FT BG 2</t>
  </si>
  <si>
    <t>FORT THOMPSON-BIG BEND NO. 2</t>
  </si>
  <si>
    <t>GEN Total</t>
  </si>
  <si>
    <t>TRANSMISSION-RELATED GEN. FACILITIES</t>
  </si>
  <si>
    <t>COM</t>
  </si>
  <si>
    <t>ATC</t>
  </si>
  <si>
    <t>ATLANTIC COMMUNICATION SITE</t>
  </si>
  <si>
    <t>Column 4 shows 31.95% of the Communication Facilities that were prorated to generation based on the number of communication channels dedicated to generation.</t>
  </si>
  <si>
    <t>BK2</t>
  </si>
  <si>
    <t>BAKER RELAY</t>
  </si>
  <si>
    <t>BTY</t>
  </si>
  <si>
    <t>BANTRY</t>
  </si>
  <si>
    <t>BAE</t>
  </si>
  <si>
    <t>BARRETT</t>
  </si>
  <si>
    <t>BMW</t>
  </si>
  <si>
    <t>BATTLE MT. MICROWAVE</t>
  </si>
  <si>
    <t>BPR</t>
  </si>
  <si>
    <t>BELLE PRAIRIE</t>
  </si>
  <si>
    <t>BET</t>
  </si>
  <si>
    <t>BENEDICT</t>
  </si>
  <si>
    <t>BU</t>
  </si>
  <si>
    <t>BEULAH</t>
  </si>
  <si>
    <t>BG</t>
  </si>
  <si>
    <t>BIG BEND</t>
  </si>
  <si>
    <t>BJR</t>
  </si>
  <si>
    <t>BIJOU REPEATER</t>
  </si>
  <si>
    <t>BDO</t>
  </si>
  <si>
    <t>BISMARCK DIS. OFFICE</t>
  </si>
  <si>
    <t>BSR</t>
  </si>
  <si>
    <t>BISMARCK REPEATER</t>
  </si>
  <si>
    <t>BIR</t>
  </si>
  <si>
    <t>BISON REPEATER</t>
  </si>
  <si>
    <t>BOW</t>
  </si>
  <si>
    <t>BOWMAN</t>
  </si>
  <si>
    <t>BRI</t>
  </si>
  <si>
    <t>BRINSMADE</t>
  </si>
  <si>
    <t>BSL</t>
  </si>
  <si>
    <t>BRISTOL</t>
  </si>
  <si>
    <t>BRV</t>
  </si>
  <si>
    <t>BRUNSVILLE REPEATER</t>
  </si>
  <si>
    <t>BFF</t>
  </si>
  <si>
    <t>BUFFALO</t>
  </si>
  <si>
    <t>CAH</t>
  </si>
  <si>
    <t>CAHOON</t>
  </si>
  <si>
    <t>CAZ</t>
  </si>
  <si>
    <t>CARRINGTON REPEATER</t>
  </si>
  <si>
    <t>CHK</t>
  </si>
  <si>
    <t>CHARTER OAK REPEATER</t>
  </si>
  <si>
    <t>CKR</t>
  </si>
  <si>
    <t>CLARK MW REPEATER</t>
  </si>
  <si>
    <t>CLV</t>
  </si>
  <si>
    <t>CLEVELAND REPEATER, N.D.</t>
  </si>
  <si>
    <t>CMR</t>
  </si>
  <si>
    <t>COLEMAN REPEATER</t>
  </si>
  <si>
    <t>CME</t>
  </si>
  <si>
    <t>COLOME REPEATER</t>
  </si>
  <si>
    <t>CSR</t>
  </si>
  <si>
    <t>CRESTON REPEATER</t>
  </si>
  <si>
    <t>CLR</t>
  </si>
  <si>
    <t>CROW LAKE REPEATER</t>
  </si>
  <si>
    <t>CBT</t>
  </si>
  <si>
    <t>CROWN BUTTE</t>
  </si>
  <si>
    <t>CRR</t>
  </si>
  <si>
    <t>CULBERTSON RADIO RELAY SITE</t>
  </si>
  <si>
    <t>CQR</t>
  </si>
  <si>
    <t>CULBERTSON REPEATER</t>
  </si>
  <si>
    <t>CUL</t>
  </si>
  <si>
    <t>CUSTER LOOKOUT</t>
  </si>
  <si>
    <t>DAL</t>
  </si>
  <si>
    <t>DALTON (WES)</t>
  </si>
  <si>
    <t>DLC</t>
  </si>
  <si>
    <t>DEVILS LAKE FIBER REGEN</t>
  </si>
  <si>
    <t>DLZ</t>
  </si>
  <si>
    <t>DEVILS LAKE REPEATER</t>
  </si>
  <si>
    <t xml:space="preserve">DO </t>
  </si>
  <si>
    <t>DOGDEN BUTTE</t>
  </si>
  <si>
    <t>DRS</t>
  </si>
  <si>
    <t>DRISCOLL</t>
  </si>
  <si>
    <t>DU</t>
  </si>
  <si>
    <t>DUPREE REPEATER</t>
  </si>
  <si>
    <t>ERB</t>
  </si>
  <si>
    <t>EAST RAINY BUTTE</t>
  </si>
  <si>
    <t>ECK</t>
  </si>
  <si>
    <t>ECKELSON</t>
  </si>
  <si>
    <t>EKR</t>
  </si>
  <si>
    <t>ELKTON</t>
  </si>
  <si>
    <t>ELZ</t>
  </si>
  <si>
    <t>ELLENDALE REPEATER</t>
  </si>
  <si>
    <t>EWA</t>
  </si>
  <si>
    <t>ELLSWORTH AIR BASE</t>
  </si>
  <si>
    <t>ERH</t>
  </si>
  <si>
    <t>ERHARD</t>
  </si>
  <si>
    <t>EX</t>
  </si>
  <si>
    <t>EXIRA REPEATER</t>
  </si>
  <si>
    <t>FB</t>
  </si>
  <si>
    <t>F. L. BLAIR</t>
  </si>
  <si>
    <t>FAP</t>
  </si>
  <si>
    <t>FAIRPOINT REPEATER</t>
  </si>
  <si>
    <t>FNR</t>
  </si>
  <si>
    <t>FALLON REPEATER</t>
  </si>
  <si>
    <t>FAC</t>
  </si>
  <si>
    <t>FARGO MICROWAVE</t>
  </si>
  <si>
    <t>FCS</t>
  </si>
  <si>
    <t>FERGUS FALLS COMMUNICATIONS SITE</t>
  </si>
  <si>
    <t>FLW</t>
  </si>
  <si>
    <t>FLOWING WELLS</t>
  </si>
  <si>
    <t>FBS</t>
  </si>
  <si>
    <t>FORBES COMMUNICATION SITE</t>
  </si>
  <si>
    <t>FP1</t>
  </si>
  <si>
    <t>FORT PECK RELAY (WES)</t>
  </si>
  <si>
    <t>FPC</t>
  </si>
  <si>
    <t>FORT PECK COMMUNICATIONS BUILDING</t>
  </si>
  <si>
    <t>FPI</t>
  </si>
  <si>
    <t>FORT PIERRE POLE YARD</t>
  </si>
  <si>
    <t>FTR</t>
  </si>
  <si>
    <t>FORT THOMPSON REPEATER</t>
  </si>
  <si>
    <t>FTP</t>
  </si>
  <si>
    <t>FORT THOMPSON REPEATER (EAST RIVER)</t>
  </si>
  <si>
    <t>FRY</t>
  </si>
  <si>
    <t>FRYBURG SUB &amp; MICROWAVE</t>
  </si>
  <si>
    <t>GA</t>
  </si>
  <si>
    <t>GARRISON</t>
  </si>
  <si>
    <t>GAD</t>
  </si>
  <si>
    <t>GARRISON DAM</t>
  </si>
  <si>
    <t>GRR</t>
  </si>
  <si>
    <t>GARY REPEATER</t>
  </si>
  <si>
    <t>GP</t>
  </si>
  <si>
    <t>GAVIN'S POINT</t>
  </si>
  <si>
    <t>GPR</t>
  </si>
  <si>
    <t>GAVINS POINT REPEATER</t>
  </si>
  <si>
    <t>GET</t>
  </si>
  <si>
    <t>GETTYSBURG REPEATER</t>
  </si>
  <si>
    <t>GH</t>
  </si>
  <si>
    <t>GLENHAM COMM SITE</t>
  </si>
  <si>
    <t>GKM</t>
  </si>
  <si>
    <t>GRAND FORKS MINNKOTA (MPC)</t>
  </si>
  <si>
    <t>GWN</t>
  </si>
  <si>
    <t>GWINNER COMMUNICATIONS SITE</t>
  </si>
  <si>
    <t>HSB</t>
  </si>
  <si>
    <t>HAILSTONE BUTTE</t>
  </si>
  <si>
    <t>HOY</t>
  </si>
  <si>
    <t>HALLOWAY REPEATER</t>
  </si>
  <si>
    <t>HMW</t>
  </si>
  <si>
    <t>HERMOSA MICROWAVE</t>
  </si>
  <si>
    <t>HMR</t>
  </si>
  <si>
    <t>HIGHMORE REPEATER</t>
  </si>
  <si>
    <t>HOE</t>
  </si>
  <si>
    <t>HOPEWELL REPEATER</t>
  </si>
  <si>
    <t>HNT</t>
  </si>
  <si>
    <t>HUNTER MICROWAVE</t>
  </si>
  <si>
    <t>HUD</t>
  </si>
  <si>
    <t>HURON DISTRICT OFFICE</t>
  </si>
  <si>
    <t>JTR</t>
  </si>
  <si>
    <t>JAMESTOWN REPEATER</t>
  </si>
  <si>
    <t>JCK</t>
  </si>
  <si>
    <t>JONES CREEK</t>
  </si>
  <si>
    <t>KCK</t>
  </si>
  <si>
    <t>KELLY CREEK</t>
  </si>
  <si>
    <t>KDZ</t>
  </si>
  <si>
    <t>KILLDEER REPEATER</t>
  </si>
  <si>
    <t>LAC</t>
  </si>
  <si>
    <t>LAC QUI PARLE</t>
  </si>
  <si>
    <t>LKR</t>
  </si>
  <si>
    <t>LAKE ANDES REPEATER</t>
  </si>
  <si>
    <t>LEF</t>
  </si>
  <si>
    <t>LEFOR</t>
  </si>
  <si>
    <t>LI</t>
  </si>
  <si>
    <t>LINDSAY RIDGE</t>
  </si>
  <si>
    <t>LCS</t>
  </si>
  <si>
    <t>LINTON COMMUNICATIONS SITE</t>
  </si>
  <si>
    <t>LMO</t>
  </si>
  <si>
    <t>LITTLE MISSOURI SUBSTATION</t>
  </si>
  <si>
    <t>MNM</t>
  </si>
  <si>
    <t>MANDAN MICROWAVE SITE</t>
  </si>
  <si>
    <t>MPR</t>
  </si>
  <si>
    <t>MAPLE RIVER</t>
  </si>
  <si>
    <t>MRR</t>
  </si>
  <si>
    <t>MARTIN REPEATER</t>
  </si>
  <si>
    <t>MAV</t>
  </si>
  <si>
    <t>MAYVILLE</t>
  </si>
  <si>
    <t>MLR</t>
  </si>
  <si>
    <t>MIDLAND REPEATER</t>
  </si>
  <si>
    <t>MOX</t>
  </si>
  <si>
    <t>MOE REPEATER</t>
  </si>
  <si>
    <t>MH</t>
  </si>
  <si>
    <t>MOORHEAD</t>
  </si>
  <si>
    <t>MSR</t>
  </si>
  <si>
    <t>MORRIS REPEATER &amp; MICROWAVE</t>
  </si>
  <si>
    <t>NWC</t>
  </si>
  <si>
    <t>NEWCASTLE REPEATER</t>
  </si>
  <si>
    <t>OA</t>
  </si>
  <si>
    <t>OAHE</t>
  </si>
  <si>
    <t>OK</t>
  </si>
  <si>
    <t>O'KREEK REPEATER</t>
  </si>
  <si>
    <t>OR</t>
  </si>
  <si>
    <t>ORCHARD REPEATER</t>
  </si>
  <si>
    <t>OTO</t>
  </si>
  <si>
    <t>OTO MICROWAVE</t>
  </si>
  <si>
    <t>OTW</t>
  </si>
  <si>
    <t>OTTUMWA ROAD REPEATER SITE</t>
  </si>
  <si>
    <t>PGE</t>
  </si>
  <si>
    <t>PAGE N.D.</t>
  </si>
  <si>
    <t>PAH</t>
  </si>
  <si>
    <t>PAHOJA SUB</t>
  </si>
  <si>
    <t>PEK</t>
  </si>
  <si>
    <t>PEAK</t>
  </si>
  <si>
    <t>PLJ</t>
  </si>
  <si>
    <t>PHILIP JCT. REPEATER</t>
  </si>
  <si>
    <t>PKT</t>
  </si>
  <si>
    <t>PICKERT MINNKOTA (MPC)</t>
  </si>
  <si>
    <t>PO</t>
  </si>
  <si>
    <t>POPLAR (MDU)</t>
  </si>
  <si>
    <t>PRR</t>
  </si>
  <si>
    <t>PRIMGHAR REPEATER</t>
  </si>
  <si>
    <t>PUR</t>
  </si>
  <si>
    <t>PUKWANNA REPEATER</t>
  </si>
  <si>
    <t>RCR</t>
  </si>
  <si>
    <t>RAPID CITY REPEATER</t>
  </si>
  <si>
    <t>RHE</t>
  </si>
  <si>
    <t>RHAME</t>
  </si>
  <si>
    <t>RRR</t>
  </si>
  <si>
    <t>ROCKY RIDGE REPEATER</t>
  </si>
  <si>
    <t>ROG</t>
  </si>
  <si>
    <t>ROLLAG</t>
  </si>
  <si>
    <t>RGZ</t>
  </si>
  <si>
    <t>RUGBY REPEATER</t>
  </si>
  <si>
    <t>RI</t>
  </si>
  <si>
    <t>RUTLAND</t>
  </si>
  <si>
    <t>RP</t>
  </si>
  <si>
    <t>ROUNDUP</t>
  </si>
  <si>
    <t>SNB</t>
  </si>
  <si>
    <t>SENTINEL BUTTE</t>
  </si>
  <si>
    <t>SCQ</t>
  </si>
  <si>
    <t>SIOUX CITY REPEATER</t>
  </si>
  <si>
    <t>SFR</t>
  </si>
  <si>
    <t>SIOUX FALLS REPEATER</t>
  </si>
  <si>
    <t>SI</t>
  </si>
  <si>
    <t>SIOUX PASS</t>
  </si>
  <si>
    <t>SNA</t>
  </si>
  <si>
    <t>SNAKE BUTTE REPEATER</t>
  </si>
  <si>
    <t>SPN</t>
  </si>
  <si>
    <t>SPALDING REPEATER</t>
  </si>
  <si>
    <t>SM</t>
  </si>
  <si>
    <t>SPIRIT MOUND</t>
  </si>
  <si>
    <t>STR</t>
  </si>
  <si>
    <t>STRASBERG</t>
  </si>
  <si>
    <t>SMR</t>
  </si>
  <si>
    <t>SUMMIT REPEATER</t>
  </si>
  <si>
    <t>TCS</t>
  </si>
  <si>
    <t>TAPPEN COMMUNICATION SITE</t>
  </si>
  <si>
    <t>TA</t>
  </si>
  <si>
    <t>TAPPEN REPEATER</t>
  </si>
  <si>
    <t>TEN</t>
  </si>
  <si>
    <t>TENNANT COMMUNICATIONS SITE</t>
  </si>
  <si>
    <t>TOR</t>
  </si>
  <si>
    <t>TORONTO REPEATER</t>
  </si>
  <si>
    <t>TFR</t>
  </si>
  <si>
    <t>TRIPP REPEATER</t>
  </si>
  <si>
    <t>TU</t>
  </si>
  <si>
    <t>TURKEY RIDGE REPEATER</t>
  </si>
  <si>
    <t>VIC</t>
  </si>
  <si>
    <t>VICTOR (EREC)</t>
  </si>
  <si>
    <t>VIA</t>
  </si>
  <si>
    <t>VIDA</t>
  </si>
  <si>
    <t>WLR</t>
  </si>
  <si>
    <t>WALL REPEATER</t>
  </si>
  <si>
    <t>WTR</t>
  </si>
  <si>
    <t>WATERTOWN REPEATER</t>
  </si>
  <si>
    <t>WS</t>
  </si>
  <si>
    <t>WAYSIDE</t>
  </si>
  <si>
    <t>WSR</t>
  </si>
  <si>
    <t>WESSINGTON SPGS. REPEATER</t>
  </si>
  <si>
    <t>WEF</t>
  </si>
  <si>
    <t>WESTFIELD</t>
  </si>
  <si>
    <t>WSW</t>
  </si>
  <si>
    <t>WHITE SWAN</t>
  </si>
  <si>
    <t xml:space="preserve">WK  </t>
  </si>
  <si>
    <t xml:space="preserve">WHITLOCK  </t>
  </si>
  <si>
    <t>WK C</t>
  </si>
  <si>
    <t>WHITLOCK (BCPS)</t>
  </si>
  <si>
    <t>WRP</t>
  </si>
  <si>
    <t>WILLISTON REPEATER</t>
  </si>
  <si>
    <t>WOB</t>
  </si>
  <si>
    <t>WOLBACH REPEATER</t>
  </si>
  <si>
    <t>COM Total</t>
  </si>
  <si>
    <t>COMMUNICATION FACILITIES</t>
  </si>
  <si>
    <t>DIST</t>
  </si>
  <si>
    <t>BFTBP</t>
  </si>
  <si>
    <t>BUFORD TRENTON TAP - BUFORD TRENTON P.P.</t>
  </si>
  <si>
    <t>BP</t>
  </si>
  <si>
    <t>BUFORD TRENTON PUMP SUB</t>
  </si>
  <si>
    <t>FN</t>
  </si>
  <si>
    <t>FALLON PUMPING PLANT SUB</t>
  </si>
  <si>
    <t>FE</t>
  </si>
  <si>
    <t>FALLON RELIFT PUMPING PLANT</t>
  </si>
  <si>
    <t>FN GG</t>
  </si>
  <si>
    <t>FALLON-GLENDIVE PUMP #4</t>
  </si>
  <si>
    <t>FP WP</t>
  </si>
  <si>
    <t>FORT PECK-WOLF POINT</t>
  </si>
  <si>
    <t>FG</t>
  </si>
  <si>
    <t>FRAZER PUMP SUB</t>
  </si>
  <si>
    <t>GA SK</t>
  </si>
  <si>
    <t>GARRISON-SNAKE CREEK</t>
  </si>
  <si>
    <t>GG</t>
  </si>
  <si>
    <t>GLENDIVE P.P. #1 SUB</t>
  </si>
  <si>
    <t>IN</t>
  </si>
  <si>
    <t>INTAKE SUBSTATION</t>
  </si>
  <si>
    <t>IN INP</t>
  </si>
  <si>
    <t>INTAKE-INTAKE PUMP</t>
  </si>
  <si>
    <t>SV</t>
  </si>
  <si>
    <t>SAVAGE PUMPING PLANT SUB</t>
  </si>
  <si>
    <t>SY</t>
  </si>
  <si>
    <t>SHIRLEY PUMP SUBSTATION</t>
  </si>
  <si>
    <t>SK</t>
  </si>
  <si>
    <t>SNAKE CREEK PUMP SUBSTATION</t>
  </si>
  <si>
    <t>TE</t>
  </si>
  <si>
    <t>TERRY PUMPING PLANT SWITCH</t>
  </si>
  <si>
    <t>VA</t>
  </si>
  <si>
    <t>WIOTA SUBSTATION</t>
  </si>
  <si>
    <t>DIST Total</t>
  </si>
  <si>
    <t>DISTRIBUTION FACILITIES</t>
  </si>
  <si>
    <t>Sub Total</t>
  </si>
  <si>
    <t>TOTAL EAST UGP FACILITIES</t>
  </si>
  <si>
    <t>CONSH2</t>
  </si>
  <si>
    <t>CONRAD-SHELBY #2</t>
  </si>
  <si>
    <t>FP HV</t>
  </si>
  <si>
    <t>FORT PECK-HAVRE</t>
  </si>
  <si>
    <t>FP WH</t>
  </si>
  <si>
    <t>FORT PECK-WHATELY</t>
  </si>
  <si>
    <t>GTFCON</t>
  </si>
  <si>
    <t>GREAT FALLS-CONRAD</t>
  </si>
  <si>
    <t>HV RB</t>
  </si>
  <si>
    <t>HAVRE-RAINBOW</t>
  </si>
  <si>
    <t>HV SH2</t>
  </si>
  <si>
    <t>HAVRE-SHELBY#2</t>
  </si>
  <si>
    <t>LAHCF</t>
  </si>
  <si>
    <t>LAKE HELENA SWITCHYARD - CANYON FERRY 100 KV</t>
  </si>
  <si>
    <t>MC CU</t>
  </si>
  <si>
    <t>MILES CITY-CUSTER</t>
  </si>
  <si>
    <t>SH SH2</t>
  </si>
  <si>
    <t>SHELBY-SHELBY #2</t>
  </si>
  <si>
    <t>TT TI</t>
  </si>
  <si>
    <t>TIBER TAP-TIBER</t>
  </si>
  <si>
    <t>VR GTF</t>
  </si>
  <si>
    <t>VERONA GREAT FALLS 161-kV LINE</t>
  </si>
  <si>
    <t>YT CU</t>
  </si>
  <si>
    <t>YELLOWTAIL-CUSTER</t>
  </si>
  <si>
    <t>AB</t>
  </si>
  <si>
    <t>ASSINNIBOINE</t>
  </si>
  <si>
    <t>BOL</t>
  </si>
  <si>
    <t>BOLE SUB</t>
  </si>
  <si>
    <t>CF</t>
  </si>
  <si>
    <t>CANYON FERRY</t>
  </si>
  <si>
    <t>CON</t>
  </si>
  <si>
    <t>CONRAD SUB</t>
  </si>
  <si>
    <t>CRO</t>
  </si>
  <si>
    <t>CROSSOVER SUB</t>
  </si>
  <si>
    <t>CU</t>
  </si>
  <si>
    <t>CUSTER SUBSTATION</t>
  </si>
  <si>
    <t>GTF</t>
  </si>
  <si>
    <t>GREAT FALLS SUBSTATION</t>
  </si>
  <si>
    <t>HA</t>
  </si>
  <si>
    <t>HARLEM</t>
  </si>
  <si>
    <t>HV</t>
  </si>
  <si>
    <t>HAVRE SUBSTATION</t>
  </si>
  <si>
    <t>MT</t>
  </si>
  <si>
    <t>MALTA</t>
  </si>
  <si>
    <t>MC3</t>
  </si>
  <si>
    <t>MILES CITY SUB #3</t>
  </si>
  <si>
    <t>RB</t>
  </si>
  <si>
    <t>RAINBOW SUBSTATION</t>
  </si>
  <si>
    <t>RY</t>
  </si>
  <si>
    <t>RUDYARD SUBSTATION</t>
  </si>
  <si>
    <t>SH</t>
  </si>
  <si>
    <t>SHELBY SUBSTATION</t>
  </si>
  <si>
    <t>SH2</t>
  </si>
  <si>
    <t>SHELBY SUBSTATION #2</t>
  </si>
  <si>
    <t>TT</t>
  </si>
  <si>
    <t>TIBER TAP</t>
  </si>
  <si>
    <t>VR</t>
  </si>
  <si>
    <t>VERONA</t>
  </si>
  <si>
    <t>WH2</t>
  </si>
  <si>
    <t>WHATELY (NORTHERN)</t>
  </si>
  <si>
    <t xml:space="preserve">WH </t>
  </si>
  <si>
    <t>WHATELY SUBSTATION</t>
  </si>
  <si>
    <t>HVM</t>
  </si>
  <si>
    <t>HAVRE SERVICE CENTER</t>
  </si>
  <si>
    <t>MCM</t>
  </si>
  <si>
    <t>MILES CITY MTCE FAC.</t>
  </si>
  <si>
    <t>MOBT12</t>
  </si>
  <si>
    <t>MOB TRANSF 115KV 25MVA</t>
  </si>
  <si>
    <t>BAO</t>
  </si>
  <si>
    <t>BILLINGS AREA OFFICE</t>
  </si>
  <si>
    <t>BON</t>
  </si>
  <si>
    <t>BOLE NORTH REPEATER</t>
  </si>
  <si>
    <t>CHI F</t>
  </si>
  <si>
    <t>CHINOOK (BEFP)</t>
  </si>
  <si>
    <t>CHR</t>
  </si>
  <si>
    <t>CHINOOK REPEATER</t>
  </si>
  <si>
    <t>CBR</t>
  </si>
  <si>
    <t>CONRAD BUTTE REPEATER</t>
  </si>
  <si>
    <t>CNN</t>
  </si>
  <si>
    <t>COTTON</t>
  </si>
  <si>
    <t>DOD</t>
  </si>
  <si>
    <t>DODSON REPEATER</t>
  </si>
  <si>
    <t>DUT</t>
  </si>
  <si>
    <t>DUTTON REPEATER (BEFP)</t>
  </si>
  <si>
    <t>FTH</t>
  </si>
  <si>
    <t>FORSYTH</t>
  </si>
  <si>
    <t>FPR</t>
  </si>
  <si>
    <t>FORT PECK REPEATER</t>
  </si>
  <si>
    <t>FCR</t>
  </si>
  <si>
    <t>FOX CREEK MICROWAVE</t>
  </si>
  <si>
    <t>HRT</t>
  </si>
  <si>
    <t>HARLEM REPEATER</t>
  </si>
  <si>
    <t>HTH</t>
  </si>
  <si>
    <t>HATHAWAY</t>
  </si>
  <si>
    <t>HIW</t>
  </si>
  <si>
    <t>HIGHWOOD</t>
  </si>
  <si>
    <t>HI</t>
  </si>
  <si>
    <t>HINSDALE</t>
  </si>
  <si>
    <t>HIR</t>
  </si>
  <si>
    <t>HINSDALE REPEATER</t>
  </si>
  <si>
    <t>HYS</t>
  </si>
  <si>
    <t>HYSHAM</t>
  </si>
  <si>
    <t>KNE</t>
  </si>
  <si>
    <t>KNEE HILL MW</t>
  </si>
  <si>
    <t>MRP</t>
  </si>
  <si>
    <t>MALTA REPEATER</t>
  </si>
  <si>
    <t>PIR</t>
  </si>
  <si>
    <t>PINE RIDGE</t>
  </si>
  <si>
    <t>RE</t>
  </si>
  <si>
    <t>RICHARDSON COULEE</t>
  </si>
  <si>
    <t>RER</t>
  </si>
  <si>
    <t>RICHARDSON COULEE REPEATER</t>
  </si>
  <si>
    <t>RHM</t>
  </si>
  <si>
    <t>RICHLAND MW REPEATER (BEPS)</t>
  </si>
  <si>
    <t>SAO</t>
  </si>
  <si>
    <t>SACO</t>
  </si>
  <si>
    <t>SRE</t>
  </si>
  <si>
    <t>SHEEP COULEE REPEATER</t>
  </si>
  <si>
    <t>TYE</t>
  </si>
  <si>
    <t>TYLER REPEATER</t>
  </si>
  <si>
    <t>YT P</t>
  </si>
  <si>
    <t>YELLOWTAIL SWITCHYARD (BEPS)</t>
  </si>
  <si>
    <t>TI</t>
  </si>
  <si>
    <t>TIBER DAM SUBSTATION</t>
  </si>
  <si>
    <t>TOTAL WEST UGP FACILITIES</t>
  </si>
  <si>
    <t>MCCS</t>
  </si>
  <si>
    <t>MC4</t>
  </si>
  <si>
    <t>MILES CITY CONVERTER STATION - BEPS</t>
  </si>
  <si>
    <t>MILES CITY CONVERTER STATION - BEFP</t>
  </si>
  <si>
    <t>MCCS Total</t>
  </si>
  <si>
    <t>MILES CITY CONVERTER STATION</t>
  </si>
  <si>
    <t>TOTAL UGP FACILITIES</t>
  </si>
  <si>
    <t>FY2023  UGP/RMR Facility Totals ($)</t>
  </si>
  <si>
    <t>RMR Adjustments ($)</t>
  </si>
  <si>
    <t>NU SG J</t>
  </si>
  <si>
    <t>NEW UNDERWOOD-STEGALL</t>
  </si>
  <si>
    <t>SG</t>
  </si>
  <si>
    <t>STEGALL SUBSTATION</t>
  </si>
  <si>
    <t>SG WS</t>
  </si>
  <si>
    <t>STEGALL-WAYSIDE</t>
  </si>
  <si>
    <t>TOTAL EAST RMR FACILITIES</t>
  </si>
  <si>
    <t xml:space="preserve">YT PY </t>
  </si>
  <si>
    <t>YELLOWTAIL SWITCHYARD-YELLOWTAIL (PPL)</t>
  </si>
  <si>
    <t xml:space="preserve">PY </t>
  </si>
  <si>
    <t>YELLOWTAIL (PPL)</t>
  </si>
  <si>
    <t>YT</t>
  </si>
  <si>
    <t>YELLOWTAIL SWITCHYARD</t>
  </si>
  <si>
    <t>RMR Sub Total</t>
  </si>
  <si>
    <t>ROCKY MOUNTAIN REGION FACILITIES</t>
  </si>
  <si>
    <t>RMR Total</t>
  </si>
  <si>
    <t>COE Adjustments ($)</t>
  </si>
  <si>
    <t>FORT PECK</t>
  </si>
  <si>
    <t>GAVINS POINT</t>
  </si>
  <si>
    <t>ECOE Sub Total</t>
  </si>
  <si>
    <t>COE EAST FACILITIES</t>
  </si>
  <si>
    <t>COE Sub Total</t>
  </si>
  <si>
    <t>COE WEST FACILITIES</t>
  </si>
  <si>
    <t>Grand Total</t>
  </si>
  <si>
    <t>TOTAL COE FACILITIES</t>
  </si>
  <si>
    <t>1/ Plant balance does not include customer liability for network upgrades.  Investment is only brought into plant balance as WAPA incurs expense (e.g. if transmission credits are provided to customer)</t>
  </si>
  <si>
    <t>2/ Plant balance does not include facilities included in Zonal and Regional Calculations, WS5-FacDetail</t>
  </si>
  <si>
    <t>Split</t>
  </si>
  <si>
    <t>PRIOR YEAR FACILITY TOTALS ($)</t>
  </si>
  <si>
    <t>LC-RH</t>
  </si>
  <si>
    <t>LEWIS-RICHLAND 115 kV Ckt 1, 72052</t>
  </si>
  <si>
    <t>ROBERTS COUNTY 115 kV SUBSTATION, 71926</t>
  </si>
  <si>
    <t>ROBERTS COUNTY 115/69 kV TRANSFORMER, 71927</t>
  </si>
  <si>
    <t>WILLISTON SUBSTATION 115 kV TERMINAL UPGRADES, 61856</t>
  </si>
  <si>
    <t>WATERTOWN OPERATIONS CENTER</t>
  </si>
  <si>
    <t xml:space="preserve">WATERTOWN OPERATIONS CENTER (BFPS) </t>
  </si>
  <si>
    <t>2023 SPP  DETAIL: 
DESCRIPTION</t>
  </si>
  <si>
    <t>FID COST DETAIL ($)</t>
  </si>
  <si>
    <t>SSCD %</t>
  </si>
  <si>
    <t>SSCD TOTAL ($)</t>
  </si>
  <si>
    <t>TRANS %</t>
  </si>
  <si>
    <t>TRANS TOTAL ($)</t>
  </si>
  <si>
    <t xml:space="preserve">WAO </t>
  </si>
  <si>
    <t>IDC</t>
  </si>
  <si>
    <t>LAND &amp; RIGHTS</t>
  </si>
  <si>
    <t>LAND AT KCR</t>
  </si>
  <si>
    <t>MICROWAVE TOWER</t>
  </si>
  <si>
    <t>INTEREST DURING CONSTRUCTION</t>
  </si>
  <si>
    <t>ANTENNA</t>
  </si>
  <si>
    <t>MICROWAVE SYSTEM</t>
  </si>
  <si>
    <t>SCADA COMMUNICATION EQUIPMENT</t>
  </si>
  <si>
    <t>PLANT COMM SYSTEM</t>
  </si>
  <si>
    <t>BUILDINGS</t>
  </si>
  <si>
    <t>OTHER STRUCTURES AND IMPROVEMENTS</t>
  </si>
  <si>
    <t>STATION EQUIPMENT</t>
  </si>
  <si>
    <t>MICROWAVE COMMUNICATION EQUIPMENT</t>
  </si>
  <si>
    <t>TELEPHONE COMMUNICATION EQUIPMENT</t>
  </si>
  <si>
    <t>FIBER OPTIC EQUIPMENT</t>
  </si>
  <si>
    <t>AIR CONDITIONER</t>
  </si>
  <si>
    <t>ROOFING</t>
  </si>
  <si>
    <t>GATE</t>
  </si>
  <si>
    <t>FENCES</t>
  </si>
  <si>
    <t>FIBER OPTICS EQUIPMENT</t>
  </si>
  <si>
    <t>REMOTE TERMINAL UNIT</t>
  </si>
  <si>
    <t>ALCATEL 5620 FIBER TERMINAL EQUIP PART 2 OF 2</t>
  </si>
  <si>
    <t>ADD DROP MULTIPLEXER (PART 2 OF 2)</t>
  </si>
  <si>
    <t>POWER SYSTEM DISPATCH CONSOLES</t>
  </si>
  <si>
    <t>MULTIPLEXER EXPANDED CAPABILITY ASSET 166934 - PROJECT WTO 0025C (PART 2)</t>
  </si>
  <si>
    <t>IDC - ASSET 166934 MULTIPLEXER EXPANSION (PART 2)</t>
  </si>
  <si>
    <t>ADD DROP MULTIPLEXER (PART 1 OF 2)</t>
  </si>
  <si>
    <t>ALCATEL 5620 FIBER TERMINAL EQUIP (PART 1 OF 2)</t>
  </si>
  <si>
    <t>TELEPHONE SYSTEM - 40 CHANNEL RECORDER &amp; CRASH KIT</t>
  </si>
  <si>
    <t>VOICE RECORDER SYSTEM</t>
  </si>
  <si>
    <t>SCADA SYSTEM HISTORIAN SOFTWARE</t>
  </si>
  <si>
    <t>SCADA</t>
  </si>
  <si>
    <t>AUX PWR SYS - BACKUP GENERATOR</t>
  </si>
  <si>
    <t>(5) DIGITAL VOICE RECORDERS - WTO F</t>
  </si>
  <si>
    <t>BATTERY BANK FOR UPS</t>
  </si>
  <si>
    <t>DIGITAL TRANS &amp; REC EQUIP</t>
  </si>
  <si>
    <t>FREQUENCY CONTROL ADDITIONS</t>
  </si>
  <si>
    <t>ADD DROP MULTIPLEXER</t>
  </si>
  <si>
    <t xml:space="preserve">TELEPHONE SYSTEM  </t>
  </si>
  <si>
    <t>WATERTOWN OPERATIONS BUILDING</t>
  </si>
  <si>
    <t>RESURFACE PARKING LOT AT WATERTOWN OPS OFFICE</t>
  </si>
  <si>
    <t>WALLS</t>
  </si>
  <si>
    <t>VEHICLE/STORAGE BUILDING</t>
  </si>
  <si>
    <t>SIDEWALKS</t>
  </si>
  <si>
    <t>IDC - REPLACEMENTS</t>
  </si>
  <si>
    <t>IDC - ADDITIONS</t>
  </si>
  <si>
    <t>PSOO-WATER SYSTEM</t>
  </si>
  <si>
    <t>PWR SYS OPERATIONS OFFICE BUILDING (Part 1 of 2)</t>
  </si>
  <si>
    <t>WATERTOWN OPS BLDG EXPANSION (PSOO)</t>
  </si>
  <si>
    <t>WATERTOWN OPS BLDG EXPANSION</t>
  </si>
  <si>
    <t>Worksheet 6 - WAPA-UGP Facilities Included per SPP Tariff Attachment AI*</t>
  </si>
  <si>
    <t>(6)</t>
  </si>
  <si>
    <t>(7)</t>
  </si>
  <si>
    <t>(8)</t>
  </si>
  <si>
    <t>Attachment AI Criteria</t>
  </si>
  <si>
    <t>Facility</t>
  </si>
  <si>
    <t>Plant Included</t>
  </si>
  <si>
    <t>Inclusion Notes</t>
  </si>
  <si>
    <t>Plant Excluded</t>
  </si>
  <si>
    <t>Exclusion Notes</t>
  </si>
  <si>
    <t>Changed Facilities</t>
  </si>
  <si>
    <t>Substations</t>
  </si>
  <si>
    <t>Appeldorn</t>
  </si>
  <si>
    <t>230-kV breakers 482, 586, 682 and assoc. switches and switch 487</t>
  </si>
  <si>
    <t>station service KW4A, KW30A and switches</t>
  </si>
  <si>
    <t>Armour</t>
  </si>
  <si>
    <t>115-kV switches 16x, 26x, 76x</t>
  </si>
  <si>
    <t>34.5-kV breaker 542 and assoc. switches</t>
  </si>
  <si>
    <t>NWPS</t>
  </si>
  <si>
    <t>12.47-kV switches 172x, KW1A</t>
  </si>
  <si>
    <t>maintenance building SS</t>
  </si>
  <si>
    <t>115/34.5-kV transformer KY2A</t>
  </si>
  <si>
    <t>station service KZ1A, KX2A and switches</t>
  </si>
  <si>
    <t>115-kV interrupter 462 and assoc. switches</t>
  </si>
  <si>
    <t>115/69 kV transformer KY1A</t>
  </si>
  <si>
    <t>1b</t>
  </si>
  <si>
    <t>Three East River members are served through KY1A (Charles Mix, Douglas and Southeastern)</t>
  </si>
  <si>
    <t>69 kV breaker 1052 and assoc switches</t>
  </si>
  <si>
    <t>Two East River members are served through 1052 (Douglas and Southeastern)</t>
  </si>
  <si>
    <t>AHT</t>
  </si>
  <si>
    <t>Ash Tap</t>
  </si>
  <si>
    <t>115-kV switches 1161, 1261, 1361</t>
  </si>
  <si>
    <t>Aurora</t>
  </si>
  <si>
    <r>
      <t xml:space="preserve">115-kV breakers 266, </t>
    </r>
    <r>
      <rPr>
        <sz val="10"/>
        <rFont val="Calibri"/>
        <family val="2"/>
        <scheme val="minor"/>
      </rPr>
      <t>464, 562, 662 and assoc. switches</t>
    </r>
  </si>
  <si>
    <t>115-kV breaker 162, 362 and assoc. switches</t>
  </si>
  <si>
    <t>capacitor PY4A</t>
  </si>
  <si>
    <t>station service KY2A and KW2A</t>
  </si>
  <si>
    <t>Belden (NPPD)</t>
  </si>
  <si>
    <t>115-kV breaker 1106 and assoc. switches</t>
  </si>
  <si>
    <t>Belfield</t>
  </si>
  <si>
    <r>
      <t xml:space="preserve">230-kV breakers 1282, 1382, </t>
    </r>
    <r>
      <rPr>
        <sz val="10"/>
        <rFont val="Calibri"/>
        <family val="2"/>
        <scheme val="minor"/>
      </rPr>
      <t>1582 and assoc. switches</t>
    </r>
  </si>
  <si>
    <t>230-kV breaker 1482 and assoc switches</t>
  </si>
  <si>
    <t>Aviat Radio,  Nokia Fiber Multiplexer, replaced PCB 492.</t>
  </si>
  <si>
    <t>345/230-kV transformer KU1A</t>
  </si>
  <si>
    <t>345-kV breakers 292, 396, 492 and assoc. switches</t>
  </si>
  <si>
    <t>station service KW1B and assoc. switches</t>
  </si>
  <si>
    <t>reactor KW2A, 13.8 breaker 3224 and assoc. switches</t>
  </si>
  <si>
    <t>Beresford</t>
  </si>
  <si>
    <t>115-kV breakers 262, 362, 462, 566, 764, 864 and assoc. switches</t>
  </si>
  <si>
    <t>69-kV breaker 1552 and assoc. switches</t>
  </si>
  <si>
    <t>East River</t>
  </si>
  <si>
    <t>capacitors PY7A, PY8A</t>
  </si>
  <si>
    <t>12.47-kV switch 821, 823, 829</t>
  </si>
  <si>
    <t>City of Beresford</t>
  </si>
  <si>
    <t>station service KZ1A and switch 1451</t>
  </si>
  <si>
    <t>115/69kV transformer KY1A</t>
  </si>
  <si>
    <t>Two East River members are served through KY1A (Clay-Union and Southeastern)</t>
  </si>
  <si>
    <t>69kV breaker 1652 and assoc. switches</t>
  </si>
  <si>
    <t>Two East River members are served through 1652 (Clay-Union and Southeastern)</t>
  </si>
  <si>
    <t>Bisbee</t>
  </si>
  <si>
    <t>69-kV switches 247, 347</t>
  </si>
  <si>
    <t>69/12.5-kV transformer KZ1A and switch 145</t>
  </si>
  <si>
    <t>12.5-kV breaker 124 and assoc. switches</t>
  </si>
  <si>
    <t>CPEC</t>
  </si>
  <si>
    <t>Bismarck</t>
  </si>
  <si>
    <t>230-kV breakers 182, 282, 382, 482, 582, 682, 782, 882, 986, 9182, 9282 and assoc. switches</t>
  </si>
  <si>
    <t>115-kV breaker 3462 and assoc. switches</t>
  </si>
  <si>
    <t>Capitol Electric</t>
  </si>
  <si>
    <t>230/115-kV transformers KV3A, KV8A</t>
  </si>
  <si>
    <t>12.5-kV switches 1527, 1529</t>
  </si>
  <si>
    <t>USBR</t>
  </si>
  <si>
    <t>115-kV breakers 3062, 3162, 3362, 3562 and assoc. switches</t>
  </si>
  <si>
    <t>station service KW4A, KW4E, KW4F and assoc. switches</t>
  </si>
  <si>
    <t>12.47-kV breaker, switches 142x, 152x, 1221, 1829</t>
  </si>
  <si>
    <t>maintenance buildings ss</t>
  </si>
  <si>
    <t>Bole</t>
  </si>
  <si>
    <t>230-kV switches 182, 282, 481, 482</t>
  </si>
  <si>
    <t>69-kV breaker 1452 and 1252 and assoc. switches</t>
  </si>
  <si>
    <t>NWMT</t>
  </si>
  <si>
    <t xml:space="preserve">station service KW21A, switch 2123 </t>
  </si>
  <si>
    <t>230/69-kV transformer KV1A</t>
  </si>
  <si>
    <t>69-kV switches 1351, 1355</t>
  </si>
  <si>
    <t>69-kV breaker 1152 and assoc. switches</t>
  </si>
  <si>
    <t>Sun River Electric Cooperative and NorthWestern MT</t>
  </si>
  <si>
    <t>Bonesteel</t>
  </si>
  <si>
    <t>115-kV breakers 664, 764 and assoc. switches</t>
  </si>
  <si>
    <t>115-kV breaker 362 and assoc. switches</t>
  </si>
  <si>
    <t>capacitors PY6A, PY7A</t>
  </si>
  <si>
    <t>115/12.47-kV transformer KY1A</t>
  </si>
  <si>
    <t>115-kV switches 46x, 26x</t>
  </si>
  <si>
    <t>12.47-kV breaker 1422 and assoc. switches</t>
  </si>
  <si>
    <t>Rosebud Electric</t>
  </si>
  <si>
    <t>station service KW1A, switch 1521</t>
  </si>
  <si>
    <t>Bowman</t>
  </si>
  <si>
    <t>RTU, Fiber, Nokia</t>
  </si>
  <si>
    <t>Fiber optics Equipment</t>
  </si>
  <si>
    <t>Brookings</t>
  </si>
  <si>
    <t>115-kV breakers 952, 1162, 1266, 1462, 1466, 1562,1662,1666, 1762, 1766 and assoc. switches</t>
  </si>
  <si>
    <t>capacitors PY21A and PY20A, breakers 2164, 2064</t>
  </si>
  <si>
    <t>station service KW1A, KW21A and assoc. switches</t>
  </si>
  <si>
    <t>One East River member and two municipal customers served through KY1A (Sioux Valley Energy, City of White, and City of Volga)</t>
  </si>
  <si>
    <t>69 kV breaker 1052 and assoc. switches</t>
  </si>
  <si>
    <t>One East River member and two municipal customers served through 1052 (Sioux Valley Energy, City of White, and City of Volga)</t>
  </si>
  <si>
    <t>BFT</t>
  </si>
  <si>
    <t>Buford Trenton Tap</t>
  </si>
  <si>
    <t>All Not Included</t>
  </si>
  <si>
    <t>Buford Trenton Pumping</t>
  </si>
  <si>
    <t>Campbell County</t>
  </si>
  <si>
    <t>230-kV breakers 182, 282, 382 and assoc. switches</t>
  </si>
  <si>
    <t>CD2</t>
  </si>
  <si>
    <t>Cando Tap 2</t>
  </si>
  <si>
    <t>69-kV switches 151,251</t>
  </si>
  <si>
    <t>69-kV switch 351</t>
  </si>
  <si>
    <t>Canyon Ferry</t>
  </si>
  <si>
    <t>100-kV breakers 162, 262, 266, 362, 366 and assoc. switches</t>
  </si>
  <si>
    <t>Carpenter</t>
  </si>
  <si>
    <t>230-kV breakers 182, 382, 486 and assoc. switches</t>
  </si>
  <si>
    <t>1, 1b</t>
  </si>
  <si>
    <t>Two East River members (Coddington Clark and Kingsbury)</t>
  </si>
  <si>
    <t>station service KW1A, KW3A and assoc. switches</t>
  </si>
  <si>
    <t>CA</t>
  </si>
  <si>
    <t>Carrington</t>
  </si>
  <si>
    <t>115-kV breakers 262, 362 and assoc. switches, switch 161</t>
  </si>
  <si>
    <t>115-kV interrupter 162</t>
  </si>
  <si>
    <t>protection for non-included transformer (transformer not owned by Western)</t>
  </si>
  <si>
    <t>capacitor PX3A</t>
  </si>
  <si>
    <t>41.8-kV breakers 142, 242, 342, 442, 542, 642, 842 and assoc. switches</t>
  </si>
  <si>
    <t>Otter Tail and CPE</t>
  </si>
  <si>
    <t>station service KW9A and assoc. switches</t>
  </si>
  <si>
    <t>Charlie Creek</t>
  </si>
  <si>
    <t>345-kV breakers 4096, 4192 and assoc switches</t>
  </si>
  <si>
    <t xml:space="preserve">CR </t>
  </si>
  <si>
    <t>Circle</t>
  </si>
  <si>
    <r>
      <t xml:space="preserve">115-kV breakers </t>
    </r>
    <r>
      <rPr>
        <sz val="10"/>
        <rFont val="Calibri"/>
        <family val="2"/>
        <scheme val="minor"/>
      </rPr>
      <t>1462, 1562, 1666, 1764, 1864 and assoc. switches</t>
    </r>
  </si>
  <si>
    <t>115-kV breaker 1162 and assoc. switches</t>
  </si>
  <si>
    <t>Keystone</t>
  </si>
  <si>
    <t>capacitors PY17A, PY18A</t>
  </si>
  <si>
    <t>115-kV breaker 1262, 1362 and assoc. switches</t>
  </si>
  <si>
    <t>McCone</t>
  </si>
  <si>
    <t>reactor KY17A</t>
  </si>
  <si>
    <t>115/34.5-kV transformer KY12A</t>
  </si>
  <si>
    <t>station service KX9A, switches 94x</t>
  </si>
  <si>
    <t>34.5-kV breaker 142 and assoc. switches</t>
  </si>
  <si>
    <t>Conrad</t>
  </si>
  <si>
    <t>230-kV breakers 182, 382, 482 and assoc. switches</t>
  </si>
  <si>
    <t>115-kV breaker 1062 and assoc. switches</t>
  </si>
  <si>
    <t>Sun River</t>
  </si>
  <si>
    <t>230/115-kV transformer KV1A</t>
  </si>
  <si>
    <t>reactor KW31A, breaker 3124, switch 3123</t>
  </si>
  <si>
    <t>115-kV breaker 1162, 1362, 1452, and assoc. switches / switches 1263, 1265</t>
  </si>
  <si>
    <t>station service KW30A, switch 3023</t>
  </si>
  <si>
    <t>Creston</t>
  </si>
  <si>
    <t>161 kV breakers 162, 262, 362, 466, 562, 662, 762, 964, 8161, 8262 and assoc. switches</t>
  </si>
  <si>
    <t>161/69-kV transformer KY3A</t>
  </si>
  <si>
    <t>capacitors PZ21A and PY9A</t>
  </si>
  <si>
    <t>69-kV breakers 2252, 2352, 2456 and assoc. switches</t>
  </si>
  <si>
    <t>station service KW3A, KW6A, Breakers 323, 623 and assoc. switches</t>
  </si>
  <si>
    <t>Crossover</t>
  </si>
  <si>
    <t>230-kV breakers 582, 586, 786, 882 and assoc. switches</t>
  </si>
  <si>
    <t>to NWMT</t>
  </si>
  <si>
    <t>230-kV switches 981, 983, 985, 987, 989, 990</t>
  </si>
  <si>
    <t>phase shifter KV8A</t>
  </si>
  <si>
    <t>Culbertson East</t>
  </si>
  <si>
    <t>115-kV switches 16x, 26x, 36x</t>
  </si>
  <si>
    <t>two customers (Oreg Generation and Basin Generation)</t>
  </si>
  <si>
    <t>Custer</t>
  </si>
  <si>
    <t>69-kV breakers 2252, 2352 and assoc. switches</t>
  </si>
  <si>
    <t>Yellowstone Valley and Mid-Yellowstone</t>
  </si>
  <si>
    <t>station service KW2A and assoc. switches</t>
  </si>
  <si>
    <t>reactor KW1B and assoc. switches</t>
  </si>
  <si>
    <t>230/69/12.47-kV transformer KV1A</t>
  </si>
  <si>
    <t>reactor KZ2A, 69-kV breaker 2152 and assoc. switches</t>
  </si>
  <si>
    <t>Custer Trail</t>
  </si>
  <si>
    <t>Dawson County</t>
  </si>
  <si>
    <t>115-kV breakers 162, 262, 362, 462, 662, 762, 862 and assoc. switches</t>
  </si>
  <si>
    <t>115-kV switch 1061</t>
  </si>
  <si>
    <t>230-kV breakers 2282, 2382, 2482, 2582, 2682 and assoc switches</t>
  </si>
  <si>
    <t>230/115-kV transformer KU5A</t>
  </si>
  <si>
    <t>reactor KY8A</t>
  </si>
  <si>
    <t>station service KZ2B, KW2B and assoc. switches</t>
  </si>
  <si>
    <t>reactors KZ1A, KZ2A, KZ3A, breakers 3122, 3222, 3322 and assoc. switches</t>
  </si>
  <si>
    <t>Denbigh Tap</t>
  </si>
  <si>
    <t>115kV breakers 1362, 1562 and assoc switches</t>
  </si>
  <si>
    <t>Switches 1460, 1461</t>
  </si>
  <si>
    <t>Denison</t>
  </si>
  <si>
    <t>161-kV breakers 1362, 1566, 1662 and assoc. switches / switches 1461, 1465</t>
  </si>
  <si>
    <t>230-kV breakers 186, 282, 382, 386 and assoc. switches</t>
  </si>
  <si>
    <t>230/161-kV transformer KV1A</t>
  </si>
  <si>
    <t>reactor KW30A and assoc. switches</t>
  </si>
  <si>
    <t>230/69-kV transformers KV2A and KV3A</t>
  </si>
  <si>
    <t>69-kV breakers 2156, 2254, 2352, 2452, 2552, 2652, 2754, 2952, 5152 and assoc. switches</t>
  </si>
  <si>
    <t xml:space="preserve">capacitors PZ27A, PZ22A </t>
  </si>
  <si>
    <t>reactors KZ27A, KZ22A</t>
  </si>
  <si>
    <t>station service KW30B, KW20C and assoc. switches</t>
  </si>
  <si>
    <t>Devaul</t>
  </si>
  <si>
    <t>Devils Lake</t>
  </si>
  <si>
    <t>115-kV breakers 1162, 1266, 1362, 1462, 1564, 1664, 1762, 1882 and assoc. switches</t>
  </si>
  <si>
    <t>41.8-kV breaker 342 and assoc. switches</t>
  </si>
  <si>
    <t>Otter Tail normally open-emergency tie</t>
  </si>
  <si>
    <t>50 percent of 115/41.8-kV transformer KY14A</t>
  </si>
  <si>
    <t>capacitors and maintenance building</t>
  </si>
  <si>
    <t>12.5-kV breaker 1122 and assoc. switches</t>
  </si>
  <si>
    <t>Minnkota</t>
  </si>
  <si>
    <t>41.8-kV breaker 244 and assoc. switches</t>
  </si>
  <si>
    <t>capacitors PY15A, PY16A, PX2A and assoc. switches</t>
  </si>
  <si>
    <t>station service KX3A and KW4A and assoc. switches</t>
  </si>
  <si>
    <t>transformers KX3B, KW4B and assoc. switches</t>
  </si>
  <si>
    <t>warehouse and maintenance buildings</t>
  </si>
  <si>
    <t>Eagle Butte</t>
  </si>
  <si>
    <t>115-kV breakers 162, 362 and assoc. switches / switch 763</t>
  </si>
  <si>
    <t>115/69-kV transformer KY1A and 115-kV interrupter 762</t>
  </si>
  <si>
    <t>Station Service KW1A</t>
  </si>
  <si>
    <t>69-kV breaker 1752 and assoc. switches</t>
  </si>
  <si>
    <t>Moreau Grand</t>
  </si>
  <si>
    <t>Edgeley</t>
  </si>
  <si>
    <t xml:space="preserve">115-kV breakers 462, 562, 662, 762 and assoc. switches </t>
  </si>
  <si>
    <t>115/41.8-kV transformer KY2A</t>
  </si>
  <si>
    <t>115/69-kV transformer KY6A</t>
  </si>
  <si>
    <t>115-kV breaker 362</t>
  </si>
  <si>
    <t>69-kV breaker 1352 and assoc. switches</t>
  </si>
  <si>
    <t>41.8-kV breaker 2342 and assoc. switches</t>
  </si>
  <si>
    <t>Otter Tail</t>
  </si>
  <si>
    <t>capacitor KW31A, breaker 3124 and assoc. switches</t>
  </si>
  <si>
    <t>69-kV breaker 1252 and assoc. switches</t>
  </si>
  <si>
    <t>Elk Creek</t>
  </si>
  <si>
    <t xml:space="preserve">115-kV breakers 1162, 1262, 1462 and assoc switches </t>
  </si>
  <si>
    <t>115-kV ground switch 1160</t>
  </si>
  <si>
    <t>station service KY22A, switches 2261, 2221</t>
  </si>
  <si>
    <t>Elliot</t>
  </si>
  <si>
    <t>115-kV breakers 262, 362, 462 and assoc switches</t>
  </si>
  <si>
    <t>115-kV interrupter 2063 and assoc. switches, 115-kV switch 369</t>
  </si>
  <si>
    <t>Enderlin Tap</t>
  </si>
  <si>
    <t>115-kV switches 176x, 196x</t>
  </si>
  <si>
    <t>Interrupter 1862 and assoc. switches</t>
  </si>
  <si>
    <t>Exira</t>
  </si>
  <si>
    <t>161-kV breakers 162, 166, 262, 362, 366, 462, 562, 662 and assoc. switches</t>
  </si>
  <si>
    <t>Switches 169, 369, 569</t>
  </si>
  <si>
    <t>Generator Lead</t>
  </si>
  <si>
    <t>station service KHA</t>
  </si>
  <si>
    <t>Fairview West</t>
  </si>
  <si>
    <t>115-kV breakers 162, 262, 362, 462 and assoc. switches</t>
  </si>
  <si>
    <t>transformer KY20A for station service, switches 2011, 2061</t>
  </si>
  <si>
    <t>Faith</t>
  </si>
  <si>
    <t>115-kV switches 16x and 26x</t>
  </si>
  <si>
    <t>115/12.47-kV tranformer KY1A and 115-kV interrupter 362</t>
  </si>
  <si>
    <t>12.47-kV breaker 1022 and assoc. switches</t>
  </si>
  <si>
    <t>City of Faith</t>
  </si>
  <si>
    <t>Fallon Pumping</t>
  </si>
  <si>
    <t>Fallon Relift</t>
  </si>
  <si>
    <t>Fargo</t>
  </si>
  <si>
    <t>230-kV breakers 182, 282, 382, 582, 682, 782, 882, 9182 and assoc. switches</t>
  </si>
  <si>
    <t>115-kV breakers 1162, 1262, 1362, 1462, 1662, 1862, 1962, 2362, 2462, 2764, 2864, 2964 and asscoc switches</t>
  </si>
  <si>
    <t>115-kV switch 5461</t>
  </si>
  <si>
    <t>capacitors PY14A, PY14B, PY14C</t>
  </si>
  <si>
    <t>230/115-kV transformers KV1A, KV2A</t>
  </si>
  <si>
    <t>115/69-kV transformers KY3A and KY3B</t>
  </si>
  <si>
    <t>to Minnkota</t>
  </si>
  <si>
    <t>69-kV breakers 3552, 3652 and assoc switches</t>
  </si>
  <si>
    <t>69-kV switches 315x, 335x, 345x</t>
  </si>
  <si>
    <t>station service KY4A, KSB, KSA, switches 5447, 552x</t>
  </si>
  <si>
    <t>13.2-kV breakers 4122, 4322, 4622, 4722, 4822 and assoc. switches</t>
  </si>
  <si>
    <t>reactors KW6A, KW7A, KW8A</t>
  </si>
  <si>
    <t>SVC and associated equipment</t>
  </si>
  <si>
    <t>Flandreau</t>
  </si>
  <si>
    <t>115-kV breakers 1162, 1262, 1362, 1662 and assoc. switches</t>
  </si>
  <si>
    <t>12.47-kV switches 3121, 3122, 3123, 3129, 3223</t>
  </si>
  <si>
    <t>City of Flandreau</t>
  </si>
  <si>
    <t>capacitor PY3A</t>
  </si>
  <si>
    <t>station service KZ1A, KW1C switches 302x, 205x, 401x</t>
  </si>
  <si>
    <t>115/69-kV transformer KY1A</t>
  </si>
  <si>
    <t>One East River member, two municipal customers and Basin generation served through KY1A  (Sioux Valley Energy, City of Colman, and City of Madison)</t>
  </si>
  <si>
    <t>69-kV breaker 2152, 2252 and assoc. switches</t>
  </si>
  <si>
    <t>One East River member, two municipal customers and Basin generation served through 2152  (Sioux Valley Energy, City of Colman, and City of Madison)</t>
  </si>
  <si>
    <t>Forman</t>
  </si>
  <si>
    <t>115-kV breakers 1162, 1362, 1462, 1562, 1764 and assoc switches</t>
  </si>
  <si>
    <t>69-kV breaker 452 and assoc. switches</t>
  </si>
  <si>
    <t>capacitor PY7A</t>
  </si>
  <si>
    <t>69/41.8-kV transformer KZ3A and 69-kV switches 353, 355</t>
  </si>
  <si>
    <t>station service KW9A, switches 92x</t>
  </si>
  <si>
    <t>115-kV breaker 1662 and assoc. switches</t>
  </si>
  <si>
    <t>115/69-kV transformer KY1A, switches 126x</t>
  </si>
  <si>
    <t>41.8-kV breaker 2142 and assoc. switches</t>
  </si>
  <si>
    <t xml:space="preserve">Otter Tail </t>
  </si>
  <si>
    <t>69-kV breakers 152, 252, 452 and assoc. switches</t>
  </si>
  <si>
    <t>41.8/12.5-kV transformer KX6A and switch 1443</t>
  </si>
  <si>
    <t>69-kV switches 353, 355</t>
  </si>
  <si>
    <t>12.5-kV breaker 2222 and assoc. switches</t>
  </si>
  <si>
    <t>Dakota Valley</t>
  </si>
  <si>
    <t>Fort Thompson</t>
  </si>
  <si>
    <t>230-kV breakers 582, 586, 682, 782, 786, 882, 1182, 1186, 1282, 1382, 1386, 1482, 1582, 1586, 1682, 1782, 1786, 1882, 2382, 2386, 2482 and assoc. switches</t>
  </si>
  <si>
    <t>69-kV breaker 4452 and assoc. switches</t>
  </si>
  <si>
    <t>West Central</t>
  </si>
  <si>
    <t>230-kV switches 181, 281, 381, 2583, 2683</t>
  </si>
  <si>
    <t>230/69-kV transformers KV1B, KV1A</t>
  </si>
  <si>
    <t>13.8-kV switches 121, 221, 253, 153, 6323, 6321, 6022, 3121, 3221</t>
  </si>
  <si>
    <t>station service KW1A, KW1B and assoc switches</t>
  </si>
  <si>
    <r>
      <t xml:space="preserve">69-kV breakers </t>
    </r>
    <r>
      <rPr>
        <sz val="10"/>
        <rFont val="Calibri"/>
        <family val="2"/>
        <scheme val="minor"/>
      </rPr>
      <t xml:space="preserve"> 4352</t>
    </r>
  </si>
  <si>
    <t>Fort Thompson 2</t>
  </si>
  <si>
    <t>345-kV breakers 3392, 3396 and assoc. switches</t>
  </si>
  <si>
    <t>reactor KU4A, switch 3991</t>
  </si>
  <si>
    <t>345/230-kV transformers KU1A, KU1B and 345-kV switches 2391, 2491</t>
  </si>
  <si>
    <t>reactors KW2A, KW2B, breakers 6422, 6822 and assoc. switches</t>
  </si>
  <si>
    <t>capacitor PW2A</t>
  </si>
  <si>
    <t>reactor KW3A, breaker 6522 and assoc. switches</t>
  </si>
  <si>
    <t>capacitor PW3A</t>
  </si>
  <si>
    <t>station service KW1D, KW1C, switches 662x, 6611, 6311, 632x</t>
  </si>
  <si>
    <t>Frazer Pumping</t>
  </si>
  <si>
    <t>Glendive</t>
  </si>
  <si>
    <t>115-kV switch 362</t>
  </si>
  <si>
    <t>2 customers - MDU and Lower Yellowstone</t>
  </si>
  <si>
    <t>GGT</t>
  </si>
  <si>
    <t>Glendive Pumping No. 1 Tap</t>
  </si>
  <si>
    <t>Glendive Pumping No. 1</t>
  </si>
  <si>
    <t>Grand Forks</t>
  </si>
  <si>
    <t>230-kV breakers 286, 382, 486 and associated switches / switches 183 and 580</t>
  </si>
  <si>
    <t>Replaced 69kV cap banks.  Replaced interrupter switch with new breaker 3452</t>
  </si>
  <si>
    <t>reactor KW43A, breaker 4324 and assoc. switches</t>
  </si>
  <si>
    <t>station service KW41A, KW42A and associated switches</t>
  </si>
  <si>
    <t>115-kV breakers 1462, 1562, 1662, 1862, 1962 and assoc. switches</t>
  </si>
  <si>
    <t>115/69-kV transformer KY2B, switch 3261 and 3259</t>
  </si>
  <si>
    <t>69-kV breakers 2252, 2352, 2452, 2552 and assoc. switches / switches 2151, 2153</t>
  </si>
  <si>
    <t>2452 to MPC, 2552 to NSP</t>
  </si>
  <si>
    <t>capacitors PZ34A, PZ33B, switches 3351, 3451, breaker 3452</t>
  </si>
  <si>
    <t>Grand Island</t>
  </si>
  <si>
    <t>345-kV breakers 1092, 1192, 1196, 1292, 1596, 1592, 1692, 1796 and assoc. switches</t>
  </si>
  <si>
    <t>reactor KU4A, switch 1098</t>
  </si>
  <si>
    <t>reactors KW1B, KW1A, breakers 5122, 5022 and assoc. switches</t>
  </si>
  <si>
    <t>345/230-kV transformers KU1A, KU1B and switch 293</t>
  </si>
  <si>
    <t>reactors KW2A, breakers 6022 and assoc. switches</t>
  </si>
  <si>
    <t>station service KHA, KHB and assoc switches</t>
  </si>
  <si>
    <t>Grande Prairie</t>
  </si>
  <si>
    <t>345-kV breakers 196, 292, 396, 298, 198 and assoc. switches</t>
  </si>
  <si>
    <t>reactors KU1A and KU2A</t>
  </si>
  <si>
    <t>Granite Falls</t>
  </si>
  <si>
    <t>230-kV breakers 184, 282, 382, 486, 582, 682, 782, 882, 1082, 1184, 9182 and assoc. switches</t>
  </si>
  <si>
    <t>69-kV breakers 4352, 4452, 4552, 4652 and assoc. switches</t>
  </si>
  <si>
    <t>GRE normally open and Minn. Valley</t>
  </si>
  <si>
    <t>capacitors PV1A, PV11A</t>
  </si>
  <si>
    <t>115/69-kV transformer KY2A</t>
  </si>
  <si>
    <t>reactors KV1A, KV11A</t>
  </si>
  <si>
    <t>115-kV breakers 2862, 3262 and assoc. switches</t>
  </si>
  <si>
    <t>reactors KW3A, KW54A, KW55A, KW56A, KW57A</t>
  </si>
  <si>
    <t>13.8-kV breakers 5424, 5524, 5624, 5724 with assoc. switches and switches 5121, 5123</t>
  </si>
  <si>
    <t>115-kV breakers 2062, 2262, 2366, 2762, 2862, 3162, 8162 and assoc. switches</t>
  </si>
  <si>
    <t>115-kV switches 246x, 296x</t>
  </si>
  <si>
    <t>capacitors PY25A, PY26A, breakers 2564, 2664 and assoc. switches</t>
  </si>
  <si>
    <t>reactors KY25A, KY26A</t>
  </si>
  <si>
    <t xml:space="preserve">station service KW50A, KW51A and assoc switches </t>
  </si>
  <si>
    <t>Great Falls</t>
  </si>
  <si>
    <t>230-kV breakers 230/99, 230/100, 230/22, 230/23 and assoc. switches</t>
  </si>
  <si>
    <t>in NWMT Great Falls Sub</t>
  </si>
  <si>
    <t>161-kV breaker 162 and assoc switchers</t>
  </si>
  <si>
    <t>station service KW1A and switch 221</t>
  </si>
  <si>
    <t>Gregory</t>
  </si>
  <si>
    <t>115-kV breakers 162, 262, 762 and assoc. switches</t>
  </si>
  <si>
    <t>115-kV Disconnect Switch 463</t>
  </si>
  <si>
    <t>protection for non-included transformer (transformer not owned by WAPA)</t>
  </si>
  <si>
    <t>12.47-kV breaker 422 and asswoc. Switches</t>
  </si>
  <si>
    <t>Groton</t>
  </si>
  <si>
    <t>station service KW1A and switch 521</t>
  </si>
  <si>
    <t>115-kV  breakers 262, 362, 462, 562, 862, 966 and assoc. switches / switches 16x</t>
  </si>
  <si>
    <t>862 due to Groton Synch Condensor</t>
  </si>
  <si>
    <t>115-kV switches 16x, 126x</t>
  </si>
  <si>
    <t xml:space="preserve">115/69-kV transformer KY1A </t>
  </si>
  <si>
    <t>Two East River members served through KY1A (Lake Region, Northern)</t>
  </si>
  <si>
    <t>station service KZ1A and KW2A</t>
  </si>
  <si>
    <t xml:space="preserve">115/69-kV transformer KY2A </t>
  </si>
  <si>
    <t>NWPS line is networked and included</t>
  </si>
  <si>
    <t>69-kV breakers 1152 and 1352 and assoc. switches</t>
  </si>
  <si>
    <t>East River 2 customers</t>
  </si>
  <si>
    <t>Groton South</t>
  </si>
  <si>
    <t>115-kV breakers 1162, 1262, 1266, 1362, 1462, 1466, 1562, 1662, 1666, 2062, 2066 and assoc. switches</t>
  </si>
  <si>
    <t>station service KW4A</t>
  </si>
  <si>
    <t>Havre</t>
  </si>
  <si>
    <t>161-kV breakers 162, 262, 362 and assoc. switches</t>
  </si>
  <si>
    <t>12.5-kV breaker 822 and assoc. switches</t>
  </si>
  <si>
    <t>Hill County</t>
  </si>
  <si>
    <t>115-kV breaker 1362, 1462, 1562, 1662 and assoc. switches</t>
  </si>
  <si>
    <t>Hill County Coop and Tiber LLC</t>
  </si>
  <si>
    <t xml:space="preserve">161/115-kV transformer KZ1A </t>
  </si>
  <si>
    <t>12.47-kv breaker 522 and assoc switches</t>
  </si>
  <si>
    <t>reactor KW1A</t>
  </si>
  <si>
    <t>station service KW1E, KW2A, switches 921, 221, 223</t>
  </si>
  <si>
    <t>Hebron</t>
  </si>
  <si>
    <t>230-kV breakers 586, 682, 882, 986 and assoc switches</t>
  </si>
  <si>
    <t>230-kV switches 989 and 589</t>
  </si>
  <si>
    <t>Hilken</t>
  </si>
  <si>
    <t>230-kV breakers 186, 386, 482 and assoc. switches</t>
  </si>
  <si>
    <t>take-off structure to Baldwin Wind</t>
  </si>
  <si>
    <t>generator lead</t>
  </si>
  <si>
    <t>Huron</t>
  </si>
  <si>
    <t>230-kV breakers 582, 586, 782, 786, 882 and assoc. switches, switches 181, 281</t>
  </si>
  <si>
    <t>115-kV switches 1261, 1265</t>
  </si>
  <si>
    <t>230/115-kV transformers KV1A, KV1B</t>
  </si>
  <si>
    <t>reactors KW1A, KW3A, breakers 132, 332 and assoc. switches</t>
  </si>
  <si>
    <t>69-kV breakers 1952, 2052 and assoc. switches</t>
  </si>
  <si>
    <t>station service KW1C, KW1D and assoc. switches</t>
  </si>
  <si>
    <t>115-kV breakers 1062, 1162, 1362, 1962 and assoc. switches, switches 126x, 1761</t>
  </si>
  <si>
    <t>Intake</t>
  </si>
  <si>
    <t>INP</t>
  </si>
  <si>
    <t>Intake Pumping</t>
  </si>
  <si>
    <t>JT</t>
  </si>
  <si>
    <t>Jamestown</t>
  </si>
  <si>
    <t>230-kV breakers 3182, 3282, 3382, 3482, 3582, 3682, 3782, 3882, 3982, 9182 and assoc switches</t>
  </si>
  <si>
    <t>115/41.8-kV transformers KY1A and KY2A</t>
  </si>
  <si>
    <t>115-kV breakers 162, 262, 362, 462, 562, 762, 1864, 1964, 2064 and assoc switches</t>
  </si>
  <si>
    <t>115-kV breaker 662 and assoc. switches</t>
  </si>
  <si>
    <t>Otter Tail, Normally Open - emergency tie</t>
  </si>
  <si>
    <t>capacitors PY20A, PY19A</t>
  </si>
  <si>
    <t>41.8-kV breaker 1142 and assoc. switches</t>
  </si>
  <si>
    <t>reactors KY20A, KY19A, KY7A</t>
  </si>
  <si>
    <t>12.47-kV breaker 1522, 1722 and assoc. switches</t>
  </si>
  <si>
    <t>230/115-kV transformers KU3A, KU6A</t>
  </si>
  <si>
    <t>reactor KW21A, breaker 2122 and assoc. switches</t>
  </si>
  <si>
    <t>station service KWA, KWB switches 222x, 232x</t>
  </si>
  <si>
    <t>station service KW4B, wiches 242x, 252x 302x</t>
  </si>
  <si>
    <t>reactor KW26A, breaker 2622 and assoc. switches</t>
  </si>
  <si>
    <t>Killdeer</t>
  </si>
  <si>
    <t>115-kV breakers 162, 166, 366, 462 and assoc. switches</t>
  </si>
  <si>
    <t>115/41.8-kV transformer KY4A and switch 469</t>
  </si>
  <si>
    <t>Capacitor PY2A, 115-kV breaker 264 and assoc. switches</t>
  </si>
  <si>
    <t>41.8-kV breaker 442, 642 and switches 343, 345</t>
  </si>
  <si>
    <t>MDU and Upper Mo.</t>
  </si>
  <si>
    <t>station service KY1A, switch 3163, KX3A and assoc. switches</t>
  </si>
  <si>
    <t>Lakota</t>
  </si>
  <si>
    <t>115-kV breaker 162 and assoc switches</t>
  </si>
  <si>
    <t>12.5-kV breaker 1022 and assoc. switches</t>
  </si>
  <si>
    <t>City of Lakota</t>
  </si>
  <si>
    <t>station service KW1A, switches 825, 921</t>
  </si>
  <si>
    <t>69-kV breaker 152 and assoc. switches</t>
  </si>
  <si>
    <t>115/69-kV transformer KY1A, switches 362, 363</t>
  </si>
  <si>
    <t>Leeds</t>
  </si>
  <si>
    <t>115-kV breakers 262, 362, 462, 562 and assoc. switches</t>
  </si>
  <si>
    <t>69/12.5-kV transformer KZ3A and switch 645</t>
  </si>
  <si>
    <t>capacitor PZ4A, breaker 744 and assoc. switches</t>
  </si>
  <si>
    <t>12.5-kV breaker 624 and assoc. switches</t>
  </si>
  <si>
    <t>115/69-kV transformer KY1A, switches 161, 162</t>
  </si>
  <si>
    <t>69-kV breakers 444, 544 and assoc switches / switch 143</t>
  </si>
  <si>
    <t>station service KW3B and switch 1021</t>
  </si>
  <si>
    <t>Letcher</t>
  </si>
  <si>
    <t>230-kV breakers 382, 582, 686 and assoc. switches</t>
  </si>
  <si>
    <t>NWPS line to Mitchell is Networked</t>
  </si>
  <si>
    <t>230/115-kV transformer KV3A</t>
  </si>
  <si>
    <t>115-kV breakers 1266, 1362, 1562 and assoc. switches</t>
  </si>
  <si>
    <t>station service KW3B and assoc switches</t>
  </si>
  <si>
    <t>Martin</t>
  </si>
  <si>
    <t>115-kV breakers 2262, 2466, 2362, 2562 and assoc. switches</t>
  </si>
  <si>
    <t>115/34.5-kV tranformer KY1A and breaker 1962 and assoc. switches</t>
  </si>
  <si>
    <t>station service KW18A and switches 1821, 1823</t>
  </si>
  <si>
    <t>34.5-kV breaker 1242 and assoc. switches</t>
  </si>
  <si>
    <t>LaCreek</t>
  </si>
  <si>
    <t>Maurine</t>
  </si>
  <si>
    <t>230-kV breakers 182, 282, 582 and assoc. switches</t>
  </si>
  <si>
    <t xml:space="preserve">115/69-kV transformer KY1A and breaker 1262 and assoc. switches </t>
  </si>
  <si>
    <t>Added dedicated 115kV tranformer breaker 1262 &amp; switch 1261</t>
  </si>
  <si>
    <t>115-kV breaker 1762</t>
  </si>
  <si>
    <t>115-kV breakers 1262, 1362, 1462, 1562, 1662, 1964, 2064 and assoc switches</t>
  </si>
  <si>
    <t>69-kV breaker 2252 and assoc. switches</t>
  </si>
  <si>
    <t>Grand Electric</t>
  </si>
  <si>
    <t>capacitors PY19A, PY20A</t>
  </si>
  <si>
    <t>reactors KY19A, KY20A</t>
  </si>
  <si>
    <t>reactor KW32A, breaker 3224 and assoc switches</t>
  </si>
  <si>
    <t>station service KW30A, KW31A and assoc switches</t>
  </si>
  <si>
    <t>Midland</t>
  </si>
  <si>
    <t>115-kV switches 16x and 26x / switch 361</t>
  </si>
  <si>
    <t>Capacity Rights in 115/69 kV Transformer KY1A</t>
  </si>
  <si>
    <t>station service KW20A, switches 2031, 2011, 3011</t>
  </si>
  <si>
    <t>Miles City</t>
  </si>
  <si>
    <t>1b, 2</t>
  </si>
  <si>
    <t>2 customers (MDU, Kinsey Irrigation)</t>
  </si>
  <si>
    <t>Miles City 2</t>
  </si>
  <si>
    <t>230-kV breakers 382, 386, 482, 582 and assoc. switches and switch 783</t>
  </si>
  <si>
    <t>115-kV breakers 1262, 1362, 1462, 1662 and assoc. switches, switches 1161 and 1165</t>
  </si>
  <si>
    <t>reactor KW7A, breaker 724 and assoc switches</t>
  </si>
  <si>
    <t>capacitor KPY5A, breaker 1562 and assoc. switches</t>
  </si>
  <si>
    <t>station service K2, K1 and assoc switches</t>
  </si>
  <si>
    <t>13.8-kV SS to Miles City DC Converter Station</t>
  </si>
  <si>
    <t>Miles City 3</t>
  </si>
  <si>
    <t>All Facilities and Equipment</t>
  </si>
  <si>
    <t>Mingusville</t>
  </si>
  <si>
    <t>230-kV breakers 182, 282, 382 and assoc. switches, and line disconnects</t>
  </si>
  <si>
    <t>station service transformer KV10A and station service equipment</t>
  </si>
  <si>
    <t>Mission</t>
  </si>
  <si>
    <t>115-kV breakers 162, 262, 462 and assoc. switches, switches 863, 865</t>
  </si>
  <si>
    <t>115/24.9-kV transformer KY1A and interrupter 362</t>
  </si>
  <si>
    <t>Cherry-Todd</t>
  </si>
  <si>
    <t>reactors KY30A, KY31A, KY7A</t>
  </si>
  <si>
    <t>capacitors PY30A, PY31A</t>
  </si>
  <si>
    <t>115-kV breakers 764, 3064, 3164 and assoc. switches</t>
  </si>
  <si>
    <t>station service KX2A, KX1A and switches 243x, 253x</t>
  </si>
  <si>
    <t>Morris</t>
  </si>
  <si>
    <t>230-kV breakers 182, 382, 482, 582 and assoc switches</t>
  </si>
  <si>
    <t>41.8-kV breakers 3132, 3232, 3332 and assoc switches</t>
  </si>
  <si>
    <t>115/41.8-kV transformer KY3A</t>
  </si>
  <si>
    <t>115-kV breakers 1162, 1462, 1562, 1762 and assoc switches</t>
  </si>
  <si>
    <t>115-kV breaker 1362 and assoc switches</t>
  </si>
  <si>
    <t>station service KW1B and switches 512x</t>
  </si>
  <si>
    <t>Mount Vernon</t>
  </si>
  <si>
    <t>115-kV breakers 162, 262, 662 and assoc switches</t>
  </si>
  <si>
    <t>69-kV breaker 1852 and assoc. switches</t>
  </si>
  <si>
    <t>station service KZ1A and assoc switches</t>
  </si>
  <si>
    <t>One East River member and one municipal customer served through KY1A and East River 1952 (Central and City of Plankinton)</t>
  </si>
  <si>
    <t>NAT</t>
  </si>
  <si>
    <t>Nashua Tap</t>
  </si>
  <si>
    <t>Nelson Tap</t>
  </si>
  <si>
    <t>Switch 1861</t>
  </si>
  <si>
    <t>New Underwood</t>
  </si>
  <si>
    <t>230-kV breakers 282, 382, 384, 484, 582, 682, 782, 882, 986, 9182, 9282 and assoc switches</t>
  </si>
  <si>
    <t>13.8 kV interrupter 4423 and assoc. switch</t>
  </si>
  <si>
    <t>Added breaker 1962 - customer funded.</t>
  </si>
  <si>
    <t>reactor KV3A, KV4A</t>
  </si>
  <si>
    <t>230/115-kV transformers KV2A, KV1A</t>
  </si>
  <si>
    <t>115-kV breakers 1262, 1362, 1462, 1562, 1662, 1866, 8162, 8262 and assoc switches</t>
  </si>
  <si>
    <t>13.8-kV breaker 4522, 4022, 4122, 4222 and assoc switches</t>
  </si>
  <si>
    <t>reactor KW45A, KW40A, KW41A, KW42A</t>
  </si>
  <si>
    <t>Newell</t>
  </si>
  <si>
    <t>115-kV breakers 1162, 1362 and assoc switches and switch 1262</t>
  </si>
  <si>
    <t>69-kV breakers 2252, 2452 and assoc. switches</t>
  </si>
  <si>
    <t>Rushmore</t>
  </si>
  <si>
    <t>2 customers: Butte Electric and West River</t>
  </si>
  <si>
    <t>Station Service KW1A and assoc equipment</t>
  </si>
  <si>
    <t>O'Fallon Creek</t>
  </si>
  <si>
    <t>115-kV breakers 162, 262, 362 and assoc switches</t>
  </si>
  <si>
    <t>12.47-kV breaker 522 and assoc. switches and equipment</t>
  </si>
  <si>
    <t>MDU</t>
  </si>
  <si>
    <t>2 customers: Buffalo Rapids Irrigation and Tongue River Electric</t>
  </si>
  <si>
    <t>69kV breaker 452 and assoc switches</t>
  </si>
  <si>
    <t>Station Service KW1B</t>
  </si>
  <si>
    <t>O'Neill</t>
  </si>
  <si>
    <t>115-kV interrupters and switches</t>
  </si>
  <si>
    <t>PY</t>
  </si>
  <si>
    <t>Pace Yellowtail</t>
  </si>
  <si>
    <t>230-kV breakers IH278, IH296 and assoc switches</t>
  </si>
  <si>
    <t>Penn Tap</t>
  </si>
  <si>
    <t>Switches 1860, 1861</t>
  </si>
  <si>
    <t>Philip</t>
  </si>
  <si>
    <t>115-kV breakers 1462, 1562, 1762, 1862 and assoc switches</t>
  </si>
  <si>
    <t>115/69-kV transformer KY1A and switches 1963</t>
  </si>
  <si>
    <t>station service KW32A, KW31A and assoc switches</t>
  </si>
  <si>
    <t>69-kV breaker 2152 and assoc. switches</t>
  </si>
  <si>
    <t>Pierre</t>
  </si>
  <si>
    <t>115-kV breakers 162, 362, 662, 862 and assoc switches</t>
  </si>
  <si>
    <t>115/12.47-kV transformer KY1A and 115-kV interrupter 762</t>
  </si>
  <si>
    <t>115-kV switches 563, 565, 761</t>
  </si>
  <si>
    <t>12.47-kV breakers 2212, 2312, 2412 and assoc. switches</t>
  </si>
  <si>
    <t>City of Pierre</t>
  </si>
  <si>
    <t>station service KW1A, KW2A, KW1B, switches 271x, 281x, 302x</t>
  </si>
  <si>
    <t>69kV breaker 1252 and assoc breakers</t>
  </si>
  <si>
    <t>One East River member and two irrigation districts served through KY2A and 1252 (Oahe, Grey Goose Irrigation and Crow Creek Irrigation)</t>
  </si>
  <si>
    <t>Station Service KW1D, KW1E, KW1F and assoc switches</t>
  </si>
  <si>
    <t>Pleasant Lake Tap</t>
  </si>
  <si>
    <t>115-kV switches 56x, 66x</t>
  </si>
  <si>
    <t>Switched 760, 761</t>
  </si>
  <si>
    <t>Rapid City</t>
  </si>
  <si>
    <t>115-kV breakers 162, 262, 362, 462, 562, 664, 766, 862, 2164 and assoc switches</t>
  </si>
  <si>
    <t xml:space="preserve">115/12.47-kV transformer KY1A </t>
  </si>
  <si>
    <t>reactors KY10A, KY21A</t>
  </si>
  <si>
    <t>capacitors PY6A, PY21A</t>
  </si>
  <si>
    <t>station service KW20A, KW43A KW42A, switches 202x, 422x, 432x, 431x</t>
  </si>
  <si>
    <t>Richland</t>
  </si>
  <si>
    <t>Roberts County</t>
  </si>
  <si>
    <t>115-kV breakers 2162, 2262, 2362 and assoc. switches</t>
  </si>
  <si>
    <t>69-kV breakers 5152, 5252, 5456, 5652 and assoc. switches</t>
  </si>
  <si>
    <t>station service KY21A</t>
  </si>
  <si>
    <t>Rhame</t>
  </si>
  <si>
    <t>fiber termination, Nokia</t>
  </si>
  <si>
    <t>Rolla</t>
  </si>
  <si>
    <t>115-kV breaker 1162 and assoc switches</t>
  </si>
  <si>
    <t>Rudyard</t>
  </si>
  <si>
    <t>115-kV switches 260, 261, 160, 161</t>
  </si>
  <si>
    <t>115/69/12.5-kV transformer KY1A and interrupter 362</t>
  </si>
  <si>
    <t>station service KW1A, switches 521, 523</t>
  </si>
  <si>
    <t>69-kV breaker 752 and assoc. switches</t>
  </si>
  <si>
    <t>12.5-kV breaker 422 and assoc. switches</t>
  </si>
  <si>
    <t>Rugby</t>
  </si>
  <si>
    <t>115-kV breakers 1262, 1362, 1462, 1566, 1662, 1762, 1864, 1966 and assoc switches</t>
  </si>
  <si>
    <t>115/41.8-kV transformer KY1A and breaker 1162 and assoc. switches</t>
  </si>
  <si>
    <t>capacitor PY8A</t>
  </si>
  <si>
    <t>reactor KY2A</t>
  </si>
  <si>
    <t>Station Service KX2A, KW1A and assoc. switches and equipment</t>
  </si>
  <si>
    <t>Savage Pumping</t>
  </si>
  <si>
    <t>Shelby</t>
  </si>
  <si>
    <t>Shelby 2</t>
  </si>
  <si>
    <r>
      <t xml:space="preserve">115-kV breakers 1062, </t>
    </r>
    <r>
      <rPr>
        <sz val="10"/>
        <rFont val="Calibri"/>
        <family val="2"/>
        <scheme val="minor"/>
      </rPr>
      <t>1362, 1462 and assoc. switches, switches 1263, 1265</t>
    </r>
  </si>
  <si>
    <t>to Shelby</t>
  </si>
  <si>
    <t>reactor KW3A, breaker 3124 and assoc switches</t>
  </si>
  <si>
    <t>230-kV breakers 482, switches 481, 383, 281, 183</t>
  </si>
  <si>
    <t>Shirley Pumping</t>
  </si>
  <si>
    <t>Shirley Tap</t>
  </si>
  <si>
    <t>115-kV switches 561,560</t>
  </si>
  <si>
    <t>SC</t>
  </si>
  <si>
    <t>Sioux City</t>
  </si>
  <si>
    <t>230-kV breakers 182, 282, 382, 482, 582, 682, 9182 and assoc switches, switch 7283</t>
  </si>
  <si>
    <t>230/161-kV transformers KV1A and KV5A</t>
  </si>
  <si>
    <t>161-kV breakers 1062, 1162, 1262, 1362, 1562, 1662, 8162</t>
  </si>
  <si>
    <t>reactors KW53A, KW54A, breakers 5324, 5424 and assoc switches</t>
  </si>
  <si>
    <t>station service KW1B, KW1C, switches 502x, 512x, 522x</t>
  </si>
  <si>
    <t>69-kV breakers 2156, 2352, 2852, 2952, 3052, 3152 and assoc switches</t>
  </si>
  <si>
    <t>to NIPCO (looped) and MEC</t>
  </si>
  <si>
    <t>Sioux City 2</t>
  </si>
  <si>
    <t>345-kV breakers 8498, 8592, 8692, 8696 and assoc switches</t>
  </si>
  <si>
    <t>reactor KU6A</t>
  </si>
  <si>
    <t>345/230-kV transformers KU1A, KU1B, switches 8091, 8081, 8291, 8281</t>
  </si>
  <si>
    <t>230-kV breakers 7382, 7482 and assoc switches</t>
  </si>
  <si>
    <t>reactors KW10A, KW10B, breakers 5522, 5622 and assoc switches</t>
  </si>
  <si>
    <t>station service K1, K2 and assoc switches</t>
  </si>
  <si>
    <t>Sioux Falls</t>
  </si>
  <si>
    <t>230-kV breakers 2182, 2282, 2382, 2482, 2582, 2682, 2782, 9182 and assoc switches</t>
  </si>
  <si>
    <t>115-kV breaker 862 and assoc. switches</t>
  </si>
  <si>
    <t>230/115-kV transformers KV3A, KV5A</t>
  </si>
  <si>
    <t>reactors KW31A, KW51A</t>
  </si>
  <si>
    <t>breakers 3124, 5124 and assoc switches</t>
  </si>
  <si>
    <t>station service KW33A, KW53A, KZ1A, switches 33xx, 53xx, 1851</t>
  </si>
  <si>
    <r>
      <t xml:space="preserve">115-kV breakers 262, 362, 462, 562, 662, 762, </t>
    </r>
    <r>
      <rPr>
        <sz val="10"/>
        <rFont val="Calibri"/>
        <family val="2"/>
        <scheme val="minor"/>
      </rPr>
      <t>966, 1162, 7162 and assoc switches</t>
    </r>
  </si>
  <si>
    <t>Spencer</t>
  </si>
  <si>
    <t>161-kV breakers 162,462,562, 662 and assoc switches</t>
  </si>
  <si>
    <t>69-kV breaker 1642 and assoc. switches</t>
  </si>
  <si>
    <t>City of Spencer</t>
  </si>
  <si>
    <t>Reactor PY6A</t>
  </si>
  <si>
    <t>161/69-kV transformer KY1A</t>
  </si>
  <si>
    <t>69-kV breakers 1142, 1242, 1342, 1442, 1542 and assoc switches</t>
  </si>
  <si>
    <t>to NIPCO and Wisdom Sub</t>
  </si>
  <si>
    <t>station service KW10A and assoc switches</t>
  </si>
  <si>
    <t>Stegall</t>
  </si>
  <si>
    <t>230 kV main and transfer bus, breaker 382 and assoc switches</t>
  </si>
  <si>
    <t>Reactor KV3A, breaker 384 and assoc. switches</t>
  </si>
  <si>
    <t>Sulpher</t>
  </si>
  <si>
    <t>115-kV breakers 162, 362, 462, and assoc switches</t>
  </si>
  <si>
    <t>station service KY31A1 and switch 3161</t>
  </si>
  <si>
    <t>Summit</t>
  </si>
  <si>
    <t xml:space="preserve">115-kV breakers 262, 362, 462, 562, 762, and assoc switches , switch 163 </t>
  </si>
  <si>
    <t>41.8-kV breakers 2142, 2242 and assoc. switches</t>
  </si>
  <si>
    <t>station service KZ1A, switch 1351</t>
  </si>
  <si>
    <t>115/41.8-kV transformer KY1B</t>
  </si>
  <si>
    <t>Four East River members served through KY1A (Whetstone, Lake Region, Traverse, and Codington-Clark)</t>
  </si>
  <si>
    <t>115-kV interupter 862 and switch 861</t>
  </si>
  <si>
    <t>69 kV breaker 1152 and assoc. switches</t>
  </si>
  <si>
    <t>Three East River members served through 1152 (Whetstone, Lake Region, and Traverse)</t>
  </si>
  <si>
    <t>Terry Pumping</t>
  </si>
  <si>
    <t>Terry Tap</t>
  </si>
  <si>
    <t>115-kV switches 160, 161, 260, 261, 361</t>
  </si>
  <si>
    <t>115/34.5-kV transformer KY1A and switch 363</t>
  </si>
  <si>
    <t>34.5-kV breaker 342 and assoc. switches</t>
  </si>
  <si>
    <t>Buffalo Rapids and MDU</t>
  </si>
  <si>
    <t>Tiber</t>
  </si>
  <si>
    <t>115-kV switches 1260, 1261</t>
  </si>
  <si>
    <t>2 customers (generator and Marias)</t>
  </si>
  <si>
    <t>115/12.5-kV transformer KY1A and breaker 1262</t>
  </si>
  <si>
    <t>12.5-kV breaker 122 and assoc. switches</t>
  </si>
  <si>
    <t>Tiber Tap</t>
  </si>
  <si>
    <t>115-kV switches 163, 260, 261, 360, 261</t>
  </si>
  <si>
    <t>2 customers from Tiber (Bureau of Reclamation and Tiber LLC)</t>
  </si>
  <si>
    <t>Towner</t>
  </si>
  <si>
    <t>115-kV breakers 2166, 2262, 2362, 2366 and assoc switches</t>
  </si>
  <si>
    <t>station service KY1A1</t>
  </si>
  <si>
    <t>Tyndall</t>
  </si>
  <si>
    <t>115-kV switches 16x, 26x, 361</t>
  </si>
  <si>
    <t>Station Service KZ1A and switches 351 and 751</t>
  </si>
  <si>
    <t>115-kV interrupter 362</t>
  </si>
  <si>
    <t>Utica Junction</t>
  </si>
  <si>
    <t>230-kV breakers 282, 286, 382, 482, 486, 582, 682, 686 and assoc switches</t>
  </si>
  <si>
    <t>115-kV breakers 1266, 1362, 1562, 1762 and assoc switches</t>
  </si>
  <si>
    <t>station service KW3A and assoc switches</t>
  </si>
  <si>
    <t>Valley City</t>
  </si>
  <si>
    <t>115-kV 162, 262, 362, 462, 562 and assoc switches</t>
  </si>
  <si>
    <t>69-kV breakers 344, 1144 and assoc. switches</t>
  </si>
  <si>
    <t>City of Valley City</t>
  </si>
  <si>
    <t>1b. 2</t>
  </si>
  <si>
    <t>2 customers (Minnkota Power and City of Valley City)</t>
  </si>
  <si>
    <t>station service KW2A and switch 321</t>
  </si>
  <si>
    <t>Virgil Fodness</t>
  </si>
  <si>
    <t>230-kV breakers 382, 386, 482, 486 and assoc switches</t>
  </si>
  <si>
    <t>230-kV switches 185 and 283</t>
  </si>
  <si>
    <t>VT Hanlon</t>
  </si>
  <si>
    <t>230-kV breakers 382, 482, 582, 682, 686 and assoc switches</t>
  </si>
  <si>
    <t>Reactor KW70A and breaker 7024</t>
  </si>
  <si>
    <t>69-kV breaker 5053 and assoc switch</t>
  </si>
  <si>
    <t>station service KW60A, KW24A, breaker 7423 and assoc switches</t>
  </si>
  <si>
    <t>Wall</t>
  </si>
  <si>
    <t>115-kV switches 16x, 26x, 36x, 461</t>
  </si>
  <si>
    <t>115/12.47-kV transformer KY1B and interrupters 461 and 562</t>
  </si>
  <si>
    <t>station service KW1B, switch 821</t>
  </si>
  <si>
    <t>12.47-kV breaker 622 and assoc. switches</t>
  </si>
  <si>
    <t>West River</t>
  </si>
  <si>
    <t>Wanblee Tap</t>
  </si>
  <si>
    <t>115-kV interrupters 162 and 262 and assoc. switches</t>
  </si>
  <si>
    <t>Zero costs, customer funded</t>
  </si>
  <si>
    <t>Ward</t>
  </si>
  <si>
    <t>230-kV breakers 182, 282, 286 and assoc switches</t>
  </si>
  <si>
    <t>230-kV Switch 889</t>
  </si>
  <si>
    <t>new 230-kV breaker in ring bus</t>
  </si>
  <si>
    <t>Washburn</t>
  </si>
  <si>
    <t>230-kV switches 18x, 28x</t>
  </si>
  <si>
    <t>230/41.8-kV transformer KU1A and breaker 282</t>
  </si>
  <si>
    <t>station service KX3A, KW9A and assoc switches</t>
  </si>
  <si>
    <t>Otter Tail - emergency tie</t>
  </si>
  <si>
    <t>Watertown</t>
  </si>
  <si>
    <t>230-kV breakers 182, 282, 382, 482, 582, 682, 882, 984, 1082, 1182, 9182 and assoc switches</t>
  </si>
  <si>
    <t>reactor KV9A</t>
  </si>
  <si>
    <t>capacitor PV9A</t>
  </si>
  <si>
    <t>230/115-kV transformers KV2A, KV8A</t>
  </si>
  <si>
    <t>115-kV breakers 862, 1162, 1262, 1362, 1562, 1762, 1862, 1962, 8162 and assoc switches</t>
  </si>
  <si>
    <t>1762 - two customers MRES and NorthWestern Energy</t>
  </si>
  <si>
    <t>station service KY3A, KHA, KHB, K1, K2 and assoc switches</t>
  </si>
  <si>
    <t>reactor KW1A, breaker 3122 and assoc switches</t>
  </si>
  <si>
    <t>13.2-kV switches 372x, 362x, 82x</t>
  </si>
  <si>
    <t>115/69 kV transformer KY3A</t>
  </si>
  <si>
    <t>Two East River members are served through KY3A (Codington-Clark and H-D)</t>
  </si>
  <si>
    <t>69 kV breaker 2752 and assoc switches</t>
  </si>
  <si>
    <t>Two East River members served through 2752 (Codington-Clark and H-D)</t>
  </si>
  <si>
    <t>Watertown 2</t>
  </si>
  <si>
    <t>345-kV breakers 7296, 7292, 7398 and assoc switches</t>
  </si>
  <si>
    <t>reactor KU3A</t>
  </si>
  <si>
    <t>Watertown Static Var</t>
  </si>
  <si>
    <t>Watford City</t>
  </si>
  <si>
    <t>230-kV breakers 682, 782, 882, 982 and assoc switches</t>
  </si>
  <si>
    <t>230-kV switches 282, 283, 182, 183</t>
  </si>
  <si>
    <t>station service KW1B, switches 121, 123</t>
  </si>
  <si>
    <t>reactor KY16A, switches 166x</t>
  </si>
  <si>
    <t>capacitor PY16A</t>
  </si>
  <si>
    <t>115-kV breakers 1262, 1362 and assoc switches</t>
  </si>
  <si>
    <t>reactor KY17A, switches 176x</t>
  </si>
  <si>
    <t>capacitor PY17A</t>
  </si>
  <si>
    <t>Wessington Springs</t>
  </si>
  <si>
    <t>230-kV breakers 586, 682, 786, 882 and assoc switches</t>
  </si>
  <si>
    <t>230-kV switch 989</t>
  </si>
  <si>
    <t>generator outlet</t>
  </si>
  <si>
    <t>Station Service</t>
  </si>
  <si>
    <t>WH</t>
  </si>
  <si>
    <t>Whately</t>
  </si>
  <si>
    <t>69 kV switches 151, 351</t>
  </si>
  <si>
    <t>69/12.5-kV transformer KYA and switches 253, 257</t>
  </si>
  <si>
    <t>12.5-kV breaker 224 and assoc. switches</t>
  </si>
  <si>
    <t>Norval</t>
  </si>
  <si>
    <t>White</t>
  </si>
  <si>
    <t>345-kV breakers 292, 296, 392, 396, 492, 496, 592, 596 and assoc switches</t>
  </si>
  <si>
    <t xml:space="preserve">Neutralizing Blocking Device to KU1A </t>
  </si>
  <si>
    <t>115-kV breakers 2262, 2362, 2469 and assoc switches</t>
  </si>
  <si>
    <t>345/115-kV transformer KU1A, switches 2163, 2165</t>
  </si>
  <si>
    <t>station service KWA, KWB switches 312x, 3311, 3511</t>
  </si>
  <si>
    <t>Neutral blocking device</t>
  </si>
  <si>
    <t>Wicksville</t>
  </si>
  <si>
    <t>115-kV breakers 162, 262, and assoc switches / switch 361</t>
  </si>
  <si>
    <t>24.9-kV breaker 1032 and assoc. switches</t>
  </si>
  <si>
    <t>Williston</t>
  </si>
  <si>
    <t>115-kV breakers 1262, 1362, 1462, 1562, 1662, 1762, 1866 and assoc switches</t>
  </si>
  <si>
    <t>60-kV breaker 3552 and assoc. switches</t>
  </si>
  <si>
    <t>MDU non-credited line</t>
  </si>
  <si>
    <t>to MDU</t>
  </si>
  <si>
    <t>Williston 2</t>
  </si>
  <si>
    <t xml:space="preserve">230-kV breakers 182, 286, 382, 482, 486, 582, 686 and assoc switches </t>
  </si>
  <si>
    <t>115-kV breaker 2562 and assoc. switches</t>
  </si>
  <si>
    <t>115-kV breakers 2162, 2266, 2362, 2466, 2562, 2662, 2666 and assoc switches</t>
  </si>
  <si>
    <t>Reactors KW1C and KW2C, breakers 1224 and 2224 and switches 1223 and 2223</t>
  </si>
  <si>
    <t>station service KW1B, KW2B and assoc switches</t>
  </si>
  <si>
    <t>Winner</t>
  </si>
  <si>
    <t>115-kV breakers 162, 362, 462, 1062 and assoc switches / switches 661, 761</t>
  </si>
  <si>
    <t>12.47-kV breakers 2222, 2422, 2523 and assoc. switches</t>
  </si>
  <si>
    <t>City of Winner and Rosebud Electric</t>
  </si>
  <si>
    <t>reactor KY10A</t>
  </si>
  <si>
    <t>capacitor PY10A, PY11A, switches 1160, 1161</t>
  </si>
  <si>
    <t>VAT</t>
  </si>
  <si>
    <t>Wiota</t>
  </si>
  <si>
    <t>Wiota Tap</t>
  </si>
  <si>
    <t>Wolf Point</t>
  </si>
  <si>
    <t>115-kV breakers 1362, 1562, 1662, 1762, 1862 and assoc switches/switches 1963, 1965</t>
  </si>
  <si>
    <t>115/34.5-kV transformer KY1A and switches 1963, 1965</t>
  </si>
  <si>
    <t>station service KW1A</t>
  </si>
  <si>
    <t>34.5-kV breakers 2142, 2242, 2342, 2442 and assoc. switches</t>
  </si>
  <si>
    <t>MDU and Norval</t>
  </si>
  <si>
    <t>12.5-kV breakers 3222, 3322, 3422 and assoc. switches</t>
  </si>
  <si>
    <t>Norval and McCone</t>
  </si>
  <si>
    <t>Woonsocket</t>
  </si>
  <si>
    <t>115-kV breakers 162, 262 and assoc switches/ switches 361 and 861</t>
  </si>
  <si>
    <t>34.5-kV breakers 442 and 542 and assoc. switches</t>
  </si>
  <si>
    <t>NWPS and City of Wessington Springs</t>
  </si>
  <si>
    <t>station service KX1A, KW1B and assoc switches</t>
  </si>
  <si>
    <t>115/69-kV transformer KY1B and 115-kV breaker 862</t>
  </si>
  <si>
    <t>Mobile Transformer 115/34.5-kV</t>
  </si>
  <si>
    <t>115-kV interupters 362 and 862 and assoc. switches, switch M263, M261</t>
  </si>
  <si>
    <t>Transmission Lines</t>
  </si>
  <si>
    <t>DAWSON-WILLISTON /2</t>
  </si>
  <si>
    <t xml:space="preserve">Phase 1  (21 miles) Rebuild.  This segment was formerly part of the Watford City - Beulah line segment. </t>
  </si>
  <si>
    <t>O&amp;M Service &amp; Maintenance Centers</t>
  </si>
  <si>
    <t>New Cold Storage Building</t>
  </si>
  <si>
    <t>New O&amp;M crew/garage maintenance building</t>
  </si>
  <si>
    <t>Operation Centers</t>
  </si>
  <si>
    <t>Mobile Equipment</t>
  </si>
  <si>
    <t>MOBS11, 115X69-12.47KV, 15MVA Mobile Substation.  Replaced MOBS5.</t>
  </si>
  <si>
    <t>Transmission-Related Generation Facilities</t>
  </si>
  <si>
    <t>Communication Facilities</t>
  </si>
  <si>
    <t>Miles City Converter Station</t>
  </si>
  <si>
    <t>Rocky Mountain Region Facilities</t>
  </si>
  <si>
    <t>YT PY</t>
  </si>
  <si>
    <t>230-kV, 110 MW Capacity Rights on RMR Line</t>
  </si>
  <si>
    <t>230-kV breakers 182, 282, 9182 and assoc switches</t>
  </si>
  <si>
    <t>Corps Switchyard Facilities</t>
  </si>
  <si>
    <t>Big Bend</t>
  </si>
  <si>
    <t>230-kV interrupters 1083, 7089, 4083 and assoc. switches</t>
  </si>
  <si>
    <t>230-kV interrupters 1081, 2081, 2081, 4081 and assoc switches</t>
  </si>
  <si>
    <t>Fort Peck</t>
  </si>
  <si>
    <t>69-kV breaker 1142 and assoc. switches</t>
  </si>
  <si>
    <t>161-kV breaker 762</t>
  </si>
  <si>
    <t>115-kV breakers 772, 776, 1572, 1576, 1672, 1676 and assoc switches</t>
  </si>
  <si>
    <t>230-kV breaker 1382 and associated switches</t>
  </si>
  <si>
    <t>230/115-kV transformer</t>
  </si>
  <si>
    <t>161/115-kV transformer KV7A</t>
  </si>
  <si>
    <t>Fort Randall</t>
  </si>
  <si>
    <t>230-kV breakers 1182, 1186, 1282, 1286, 1382, 1386, 1982, 1986, 2182, 2186, 2282, 2286, 2382, 2386, 2482, 2486, 2682, 2686 and assoc breakers</t>
  </si>
  <si>
    <t>115-kV breaker 962 and assoc. switches</t>
  </si>
  <si>
    <t>115-kV breakers 962, 966, 1562, 1556, 1662, 1666, 1762, 1766, 1862, 1866, 1962, 1966 and assoc switches</t>
  </si>
  <si>
    <t>2 - 230/115-kV transformers</t>
  </si>
  <si>
    <t>Garrison</t>
  </si>
  <si>
    <t>115-kV breakers 2062, 2066, 2162, 2166, 2262, 2266, 2362, 2366, 2462, 2466, 2562, 2566, 2662, 2666, 2769 and assoc switches</t>
  </si>
  <si>
    <t>115-kV breakers 462, 562 and assoc switches</t>
  </si>
  <si>
    <t>generator leads</t>
  </si>
  <si>
    <t>230-kV breakers 3389, 3482, 3486, 3682, 3686, 3782, 3786, 3882, 3886, 3982, 3986, 4082, 4086, 4182, 4186 and assoc switches, switches 33xx</t>
  </si>
  <si>
    <t>Gavins Point</t>
  </si>
  <si>
    <t>115-kV breakers 462, 562, 662, 762, 862 and assoc switches</t>
  </si>
  <si>
    <t>115-kV breakers 162, 262, 362 and assoc. switches</t>
  </si>
  <si>
    <t>Oahe</t>
  </si>
  <si>
    <t>230-kV breakers 2182, 2282, 2286, 2382, 2482, 2486, 2582, 2682, 2782, 2982, 3082 and assoc switches</t>
  </si>
  <si>
    <t>230-kV breakers 2882, 2482, 2486, 2082, 1162 and assoc. switches</t>
  </si>
  <si>
    <t>115-kV breakers 1062, 1262, 1362, 1386, 1462, 1562, 1566 and assoc switches</t>
  </si>
  <si>
    <t xml:space="preserve">One-Line Diagrams showing these included facilities are available upon request. </t>
  </si>
  <si>
    <t xml:space="preserve"> The diagrams include CEII material and therefore require execution of a Non-Disclosure Agreement with Western Area Power Administration - Upper Great Plains Region.</t>
  </si>
  <si>
    <t>Criteria 1:  Non-Radial above 60-kV / (b) Two or More Eligible Customers</t>
  </si>
  <si>
    <t>Criteria 2:  Interconnect Zones / Surrounding Entities</t>
  </si>
  <si>
    <t>Criteria 3:  Control and Protection</t>
  </si>
  <si>
    <t>Criteria 4:  High Side of Transformer</t>
  </si>
  <si>
    <t>Criteria 5:  DC Interconnection</t>
  </si>
  <si>
    <t>Criteria 6:  7 Factor Test</t>
  </si>
  <si>
    <r>
      <t>* Based upon Attachment AI of SPP's Tariff and consistent with criteria set forth in the "</t>
    </r>
    <r>
      <rPr>
        <i/>
        <sz val="10"/>
        <rFont val="Calibri"/>
        <family val="2"/>
      </rPr>
      <t>Zone 19 (Upper Missouri Zone) - Attachment AI Guidance Document"</t>
    </r>
    <r>
      <rPr>
        <sz val="10"/>
        <rFont val="Calibri"/>
        <family val="2"/>
        <scheme val="minor"/>
      </rPr>
      <t xml:space="preserve">, dated 06/14/2016, as prepared by the Attachment AI Working </t>
    </r>
  </si>
  <si>
    <t>Group in FERC docket ER15-1775-000.</t>
  </si>
  <si>
    <t>Worksheet 7 - Incremental Market Efficiency Use (IMEU) Share</t>
  </si>
  <si>
    <t>Miles City DC Tie Facilities</t>
  </si>
  <si>
    <t>Gross Plant in Service ($)</t>
  </si>
  <si>
    <t>Eligible IMEU Groups</t>
  </si>
  <si>
    <t>Loss of Life due to SPP Market Use (Variable)</t>
  </si>
  <si>
    <t>Gross Plant Totals: ($)</t>
  </si>
  <si>
    <t>% of Total</t>
  </si>
  <si>
    <t>Average Useful Life (Yrs)</t>
  </si>
  <si>
    <t>Pre-IMEU Depreciation Rate</t>
  </si>
  <si>
    <t>IMEU Depreciation Rate</t>
  </si>
  <si>
    <t>Group 1 - DC Valve Hall (Thyristors, etc.)</t>
  </si>
  <si>
    <t>Group 2 - Converter Transformers/LTCs</t>
  </si>
  <si>
    <r>
      <t xml:space="preserve">Group 3 - Reactive Switched </t>
    </r>
    <r>
      <rPr>
        <i/>
        <sz val="8"/>
        <rFont val="Calibri"/>
        <family val="2"/>
        <scheme val="minor"/>
      </rPr>
      <t>2/</t>
    </r>
  </si>
  <si>
    <t>Subtotal IMEU Eligible Equipment</t>
  </si>
  <si>
    <t>Non-Eligible DC Tie Equipment</t>
  </si>
  <si>
    <t>1/ From WS4-TransFac</t>
  </si>
  <si>
    <t>2/ East Reactive Switched Equipment (Use based upon dispatch) - Interruptors(Reactive Devices): 5684/5784/5884 (PV57A/KV58A), 5284/5384/5484 (KV53A/PV54A), 5184 (PV51A), 5584 (PV55A), 5984 (PV59A) -- West Reactive Switched Equipment (Use based upon dispatch) - Interruptors(Reactive Devices): 7184/7284/7384 (KV72A/PV73A), 7484/7584/7684 (PV75A/KV76A), 7784 (PV77A)</t>
  </si>
  <si>
    <t>Description:</t>
  </si>
  <si>
    <t>USEFUL LIFE (YRS):</t>
  </si>
  <si>
    <t>INTERRUPTER SWITCH</t>
  </si>
  <si>
    <t>S&amp;C MARK V CIRCUIT SWITCHERS, CENTER BREAK</t>
  </si>
  <si>
    <t>THYRISTOR VALVE</t>
  </si>
  <si>
    <t>VALUES 5,21,26,36,38,46,53,61,69,70,76,75</t>
  </si>
  <si>
    <t>EUPEC THYRISTOR VALVES-WEST HALL</t>
  </si>
  <si>
    <t>INTERRUPTER SWTCH</t>
  </si>
  <si>
    <t>REMOTE TERM UNIT</t>
  </si>
  <si>
    <t>DISCONNECT SWITCH</t>
  </si>
  <si>
    <t>CONTRIBU PART OF INTERRUPTER#5284</t>
  </si>
  <si>
    <t>CONT PART INTERRUPTER#5284</t>
  </si>
  <si>
    <t>SWITCHBOARD</t>
  </si>
  <si>
    <t>Contributed part of Control Boards</t>
  </si>
  <si>
    <t>CONTRIB PART OF CONTROL BOARDS</t>
  </si>
  <si>
    <t>CONTROL BOARDS: CHC2F/CHC3F/CHC4F/CHC8F/CHC9F</t>
  </si>
  <si>
    <t>CONTRIB PART OF CIRCUIT INTERRUPTER SWITCH 7784 &amp; 5984 PART 2 OF 2</t>
  </si>
  <si>
    <t>CONTRIB PART OF INTERRUPTER SWITCH 7784 &amp; 5984</t>
  </si>
  <si>
    <t>CIRCUIT INTERRUPTER SWITCHES 7784 &amp; 5984 (PART 1 OF 2)</t>
  </si>
  <si>
    <t>METAL ROOF COVERING</t>
  </si>
  <si>
    <t>35210.AIR CONDITIONER</t>
  </si>
  <si>
    <t>(2) AIR COND UNITS</t>
  </si>
  <si>
    <t>CONTRIB PART OF METAL ROOF COVERING</t>
  </si>
  <si>
    <t>CONTRIBUT PART OF METAL ROOF COVERING</t>
  </si>
  <si>
    <t>CONTRIB PART OF (2) AIR COND UNITS</t>
  </si>
  <si>
    <t>FAULT RECORDER</t>
  </si>
  <si>
    <t>DIGITAL FAULT RECORDER</t>
  </si>
  <si>
    <t>CA_DIGITAL FAULT RECORDER</t>
  </si>
  <si>
    <t>SWITCHBOARDS CHC5F &amp; CHC7F</t>
  </si>
  <si>
    <t>CA_SWITCHBOARDS CHC5F &amp; CHC7F</t>
  </si>
  <si>
    <t>(2) 230KV INTERRUPTER SWITCHES 5684, 5284</t>
  </si>
  <si>
    <t>CA_(2) 230KV INTERRUPTER SWITCHES 5684, 5284</t>
  </si>
  <si>
    <t>(2) 230kV INTERRUPTER SWITCHES 5684, 5284</t>
  </si>
  <si>
    <t>(2) 230kV INTERRUPTER SWITCHES 7184, 7484</t>
  </si>
  <si>
    <t>(2) 230kV INTERRUPTER SWITCHES 5784, 7584</t>
  </si>
  <si>
    <t>Contributed (2) 230kV INTERRUPTER SWITCHES 5784, 7584</t>
  </si>
  <si>
    <t>Contributed_(2) 230kV INTERRUPTER SWITCHES 5784, 7584</t>
  </si>
  <si>
    <t>Contributed (2) 230kV INTERRUPTER SWITCHES 7184, 7484</t>
  </si>
  <si>
    <t>Contributed_(2) 230kV INTERRUPTER SWITCHES 7184, 7484</t>
  </si>
  <si>
    <t>BATTERY</t>
  </si>
  <si>
    <t>STATION BATTERY BAT1 AND RACK (PART 1 OF 2)</t>
  </si>
  <si>
    <t>BATTERY CHARGER</t>
  </si>
  <si>
    <t>(2) STATION BATTERY CHARGERS BCHA, BCH2 (PART 1 OF 2)</t>
  </si>
  <si>
    <t>STATION BATTERY BAT1 AND RACK (PART 2 OF 2)</t>
  </si>
  <si>
    <t>CA_STATION BATTERY BAT1 AND RACK (PART 2 OF 2)</t>
  </si>
  <si>
    <t>(2) STATION BATTERY CHARGERS BCH1, BCH2 (PART 2 OF 2)</t>
  </si>
  <si>
    <t>CA_(2) STATION BATTERY CHARGERS BCH1, BCH2 (PART 2 OF 2)</t>
  </si>
  <si>
    <t>TELEPHONE SYS</t>
  </si>
  <si>
    <t>VOIP Telephone System (Part 1)</t>
  </si>
  <si>
    <t>VOIP Telephone System (Part 2)</t>
  </si>
  <si>
    <t>CA_VOIP Telephone System (Part 2)</t>
  </si>
  <si>
    <t>PWR TRANSFORMER</t>
  </si>
  <si>
    <t>LOAD TAP CHANGER KV64A</t>
  </si>
  <si>
    <t>CONTRIB PART OF TRANSFORMER KV64A</t>
  </si>
  <si>
    <t>CA_LOAD TAP CHANGER KV64A</t>
  </si>
  <si>
    <t>CA_LOAD TAP CHANGER KV84A</t>
  </si>
  <si>
    <t>LOAD TAP CHANGER KV84A</t>
  </si>
  <si>
    <t>CONTRIBUTED_LTC KV84A</t>
  </si>
  <si>
    <t>CA_230kV CIRCUIT SWITCHERS 5384 &amp; 7284</t>
  </si>
  <si>
    <t>230kV CIRCUIT SWITCHERS 5384 &amp; 7284</t>
  </si>
  <si>
    <t>WATER SUPPLY</t>
  </si>
  <si>
    <t>FIRE PROTECTION SYSTEM (PART 1 OF 3)</t>
  </si>
  <si>
    <t>OIL STORAGE TANK</t>
  </si>
  <si>
    <t>OIL CONTAINMENT SYSTEM (PART 1 OF 3)</t>
  </si>
  <si>
    <t>230kV CIRCUIT SWITCHER 5884 (PART 1 OF 3)</t>
  </si>
  <si>
    <t>230kV CIRCUIT SWITCHER 7684 (PART 1 OF 3)</t>
  </si>
  <si>
    <t>CONTRIBUTED PART OF FIRE PROTECTION SYSTEM (PART 2 OF 3)</t>
  </si>
  <si>
    <t>CA_CONTRIBUTED PART OF FIRE PROTECTION SYSTEM (PART 3 OF 3)</t>
  </si>
  <si>
    <t>CONTRIBUTED PART OF OIL CONTAINMENT SYSTEM (PART 2 OF 3)</t>
  </si>
  <si>
    <t>CA_CONTRIBUTED PART OF OIL CONTAINMENT SYSTEM (PART 3 OF 3)</t>
  </si>
  <si>
    <t>CONTRIBUTED PART OF 230KV CIRCUIT SWITCHER 5884 (PART 2 OF 3)</t>
  </si>
  <si>
    <t>CA_CONTRIBUTED PART OF 230kV CIRCUIT SWITCHER 5884 (PART 3 OF 3)</t>
  </si>
  <si>
    <t>CONTRIBUTED PART OF 230kV CIRCUIT SWITCHER 7684 (PART 2 OF 3)</t>
  </si>
  <si>
    <t>CA_CONTRIBUTED PART OF 230kV CIRCUIT SWITCHER 7684 (PART 3 OF 3)</t>
  </si>
  <si>
    <t>PLANT COMMUN SYS</t>
  </si>
  <si>
    <t>Security Equip Critical(card reader) - Miles City 4</t>
  </si>
  <si>
    <t>Security Equip Critical(card reader) - Miles City 4 - Contributed</t>
  </si>
  <si>
    <t>CA_Security Equip Critical(card reader) - Miles City 4 (CONTRIB)</t>
  </si>
  <si>
    <t>AUX PWR SYS</t>
  </si>
  <si>
    <t>CA_(2) 20kVA SINGLE PHASE OUTPUT PARALLEL REDUNDANT PWM UPS SYSTEM (PART 3 OF 3)</t>
  </si>
  <si>
    <t>(2) 20KVA SINGLE PHASE OUTPUT PARALLEL REDUNDANT PWM UPS SYSTEM (PART 1 OF 3)</t>
  </si>
  <si>
    <t>(2) 20kVA SINGLE PHASE OUTPUT PARALLEL REDUNDANT PWM UPS SYSTEM (PART 2 OF 3)</t>
  </si>
  <si>
    <t>COOLING FAN</t>
  </si>
  <si>
    <t>CA_CLOSED CIRCUIT COOLING TOWERS</t>
  </si>
  <si>
    <t>CLOSED CIRCUIT COOLING TOWERS</t>
  </si>
  <si>
    <t>IDC FOR COOLING FAN</t>
  </si>
  <si>
    <t>MICROWAVE SYS</t>
  </si>
  <si>
    <t>Aviat IP Microwave Radio</t>
  </si>
  <si>
    <t>(2) Nokia 7705 Multiplexers</t>
  </si>
  <si>
    <t>CONDUCTOR</t>
  </si>
  <si>
    <t>RELAY</t>
  </si>
  <si>
    <t>STORAGE BUILDING</t>
  </si>
  <si>
    <t>CARRIER CRNT COM EQ</t>
  </si>
  <si>
    <t>STEEL STRUCTURE</t>
  </si>
  <si>
    <t>ROAD</t>
  </si>
  <si>
    <t>EX GRADE CLEARING</t>
  </si>
  <si>
    <t>EX-GRADE-CLEARING</t>
  </si>
  <si>
    <t>VOLT REG TRSF</t>
  </si>
  <si>
    <t xml:space="preserve">VOLT REG TRSF </t>
  </si>
  <si>
    <t>CONDUCTOR-contrib part</t>
  </si>
  <si>
    <t>CA_CONDUCTOR-contrib part</t>
  </si>
  <si>
    <t>LAND AND RIGHTS</t>
  </si>
  <si>
    <t>CA_LAND AND RIGHTS</t>
  </si>
  <si>
    <t>CA_STORAGE BUILDING</t>
  </si>
  <si>
    <t>CA EX GRADE CLEARING</t>
  </si>
  <si>
    <t>CA_EX_GRADE_CLEARING</t>
  </si>
  <si>
    <t>CARRIER CRNT COM</t>
  </si>
  <si>
    <t>CA_CARRIER CRNT COM</t>
  </si>
  <si>
    <t>LANDSCAPE</t>
  </si>
  <si>
    <t>LANDSCAPE-MC4</t>
  </si>
  <si>
    <t>STATION EQ MC4</t>
  </si>
  <si>
    <t>IDC-MC4</t>
  </si>
  <si>
    <t>BPU-Regional WEST Sub-Total</t>
  </si>
  <si>
    <t>BPU-Regional EAST Sub-Total</t>
  </si>
  <si>
    <t>BPU-Zonal WEST Sub-Total</t>
  </si>
  <si>
    <t>BPU-Zonal Total</t>
  </si>
  <si>
    <t>East/West</t>
  </si>
  <si>
    <t>Scheduling, System Control &amp; Dispatch Service (SSCD) Total</t>
  </si>
  <si>
    <t>Inputs Below 1/</t>
  </si>
  <si>
    <t>Prior-year True-up $</t>
  </si>
  <si>
    <t>Schedule 9 EAST (AC Facilities) Sub-Total</t>
  </si>
  <si>
    <t>Schedule 9 EAST (DC Facilities) Sub-Total</t>
  </si>
  <si>
    <t>Schedule 9 EAST Total</t>
  </si>
  <si>
    <t>Schedule 9 WEST Total</t>
  </si>
  <si>
    <t>BPU-Zonal EAST Sub-Total</t>
  </si>
  <si>
    <t>BPU refers to SPP Base Plan Upgrades throughout the workbook</t>
  </si>
  <si>
    <t>Gross ATRR Actual  $
(5)+(6)+(7)+(8)</t>
  </si>
  <si>
    <t>EAST Sub-Total</t>
  </si>
  <si>
    <t>West Sub-Total</t>
  </si>
  <si>
    <t>West BPU Schedule 11 Zonal/Regional breakouts/sub-totals will be added as West projects added</t>
  </si>
  <si>
    <t>Worksheet 1 -- SPP ATRR Calculations</t>
  </si>
  <si>
    <t>Worksheet 2 -- Revenue Credit Calculation</t>
  </si>
  <si>
    <t>Worksheet 3 -- Cost Support Data</t>
  </si>
  <si>
    <t>Worksheet 4 -- Transmission Facilities</t>
  </si>
  <si>
    <t>Worksheet 5 - Other Facility Detail</t>
  </si>
  <si>
    <t>Worksheet 6 -- WAPA-UGP Facilities Included per SPP Tariff Attachment AI</t>
  </si>
  <si>
    <t>Worksheet 7 -- Incremental Market Efficiency Use (IMEU) Share</t>
  </si>
  <si>
    <t>Eligible Group 1 -- DC Valve Hall ($)</t>
  </si>
  <si>
    <t>Eligible Group 2 -- Converter Transformers ($)</t>
  </si>
  <si>
    <t>Eligible Group 3 -- Reactive Switched ($)</t>
  </si>
  <si>
    <t>CIRCUIT SWITCHERS 5484 &amp; 7383 (Part 1 of 2)</t>
  </si>
  <si>
    <t>CONTRIB_CIRCUIT SWITCHERS 5484 &amp; 7383 (Part 2 of 2)</t>
  </si>
  <si>
    <t>CA_CIRCUIT SWITCHERS 5484 &amp; 7383 (Part 2 of 2)</t>
  </si>
  <si>
    <t>CA_230 kV CIRCUT SWITCHERS 3584 &amp; 7284</t>
  </si>
  <si>
    <t>5/ Not included in WAPA-UGP IMEU Share, May be included in IMEU Share of other DC Tie Owner</t>
  </si>
  <si>
    <t>Attach AI Criteria</t>
  </si>
  <si>
    <t>IMEU Revenue received</t>
  </si>
  <si>
    <t>Actual IMEU Share ($)</t>
  </si>
  <si>
    <t>True-Up -- IMEU Share</t>
  </si>
  <si>
    <t>Non SPP Facilities SSCD Utilization Rate</t>
  </si>
  <si>
    <t>Non SPP Facilities SSCD Utilization $
(9)*(15)</t>
  </si>
  <si>
    <t>Revenue Received $</t>
  </si>
  <si>
    <t>Net Plant $
(10)-(12)</t>
  </si>
  <si>
    <t>Interest $
(13)*(14)</t>
  </si>
  <si>
    <t>CAPACITOR</t>
  </si>
  <si>
    <t>CA_CAPACITOR</t>
  </si>
  <si>
    <r>
      <t>Miles City DC Tie Equipment Gross Plant Details 4</t>
    </r>
    <r>
      <rPr>
        <b/>
        <i/>
        <sz val="8"/>
        <rFont val="Calibri"/>
        <family val="2"/>
        <scheme val="minor"/>
      </rPr>
      <t>/</t>
    </r>
  </si>
  <si>
    <r>
      <t>Non-WAPA-UGP Facility Costs ($) 5</t>
    </r>
    <r>
      <rPr>
        <b/>
        <sz val="8"/>
        <color theme="1"/>
        <rFont val="Calibri"/>
        <family val="2"/>
        <scheme val="minor"/>
      </rPr>
      <t>/</t>
    </r>
  </si>
  <si>
    <r>
      <t xml:space="preserve">CAPACITOR </t>
    </r>
    <r>
      <rPr>
        <b/>
        <sz val="10"/>
        <color theme="1"/>
        <rFont val="Calibri"/>
        <family val="2"/>
        <scheme val="minor"/>
      </rPr>
      <t>6</t>
    </r>
    <r>
      <rPr>
        <b/>
        <i/>
        <sz val="8"/>
        <color theme="1"/>
        <rFont val="Calibri"/>
        <family val="2"/>
        <scheme val="minor"/>
      </rPr>
      <t>/</t>
    </r>
  </si>
  <si>
    <t>4/ From Accumulated Depreciation report for Miles City DC Tie</t>
  </si>
  <si>
    <t>6/ Capacitors are allocated between Switchable Reactive (in IMEU) and Filters (Not in IMEU), based upon Mvar (91 Mvars Shunts, 150 Mvars Filters)</t>
  </si>
  <si>
    <t>Prior Year True-Up</t>
  </si>
  <si>
    <t>Schedule 9/14</t>
  </si>
  <si>
    <t>Net ATRR Actual $ (21)-(17)</t>
  </si>
  <si>
    <t>Revenue Credit/Revenue Allocation Rate</t>
  </si>
  <si>
    <t>Revenue Credit $</t>
  </si>
  <si>
    <t>2/ Associated template cells will be populated as projects added</t>
  </si>
  <si>
    <t>115/60-kV transformer KY1A</t>
  </si>
  <si>
    <t>60-kV breaker 342 and assoc. switches</t>
  </si>
  <si>
    <t>60-kV breaker 152 and assoc. switches</t>
  </si>
  <si>
    <t>115/60-kV transformers KY4B, switches 2465, 2469</t>
  </si>
  <si>
    <t>60-kV breakers 3152, 3252, 3352, 3452 and assoc switches</t>
  </si>
  <si>
    <t>Schedule 11 EAST Zonal True-up</t>
  </si>
  <si>
    <t>Schedule 11 EAST Regional True-up</t>
  </si>
  <si>
    <t>Incremental Market Efficiency Use (IMEU) Share True-up</t>
  </si>
  <si>
    <t>True Up $
(9)+(16)+(17)+(19)</t>
  </si>
  <si>
    <t>True Up  $
(9)+(16)+(17)+(18)+(19) /3</t>
  </si>
  <si>
    <t>3/ Column 18 in formula not applicable to BPUs</t>
  </si>
  <si>
    <t>Schedule 9 True-up Total</t>
  </si>
  <si>
    <t>SSCD True-up Total</t>
  </si>
  <si>
    <t>Schedule 11 EAST Zonal True-up Total</t>
  </si>
  <si>
    <t>Schedule 11 EAST Regional True-up Total</t>
  </si>
  <si>
    <t>SSCD Gross ATRR Credit Allocation $</t>
  </si>
  <si>
    <t xml:space="preserve">BPU Zonal Plant to Total Plant - East </t>
  </si>
  <si>
    <t>BPU Zonal Plant to Total Plant - West</t>
  </si>
  <si>
    <t>BPU Regional Plant to Total Plant - East</t>
  </si>
  <si>
    <t>BPU Regional Plant to Total Plant - West</t>
  </si>
  <si>
    <t>BPU Zonal Accumulated Depreciation - East</t>
  </si>
  <si>
    <t>BPU Zonal Accumulated Depreciation - West</t>
  </si>
  <si>
    <t>BPU Regional Accumulated Depreciation - East</t>
  </si>
  <si>
    <t>BPU Regional Accumulated Depreciation - West</t>
  </si>
  <si>
    <t>BPU Zonal Net Plant - East</t>
  </si>
  <si>
    <t>BPU Zonal Net Plant - West</t>
  </si>
  <si>
    <t>BPU Regional Net Plant - East</t>
  </si>
  <si>
    <t>BPU Regional Net Plant - West</t>
  </si>
  <si>
    <t>BPU Zonal East Annual Depreciation</t>
  </si>
  <si>
    <t>BPU Zonal West Annual Depreciation</t>
  </si>
  <si>
    <t>BPU Regional West Annual Depreciation</t>
  </si>
  <si>
    <t>BPU Regional East Annual Depreciation</t>
  </si>
  <si>
    <t>BPU Zonal East LTD</t>
  </si>
  <si>
    <t>BPU Regional West LTD</t>
  </si>
  <si>
    <t>BPU Zonal East Interest</t>
  </si>
  <si>
    <t>BPU Zonal West Interest</t>
  </si>
  <si>
    <t>BPU Regional West Interest</t>
  </si>
  <si>
    <t>BPU Regional East Interest</t>
  </si>
  <si>
    <t>BPU Zonal East A&amp;G</t>
  </si>
  <si>
    <t>BPU Zonal West A&amp;G</t>
  </si>
  <si>
    <t>BPU Regional West A&amp;G</t>
  </si>
  <si>
    <t>BPU Regional East A&amp;G</t>
  </si>
  <si>
    <t>BPU Zonal East O&amp;M</t>
  </si>
  <si>
    <t>BPU Regional  West O&amp;M</t>
  </si>
  <si>
    <t>BPU Regional  East O&amp;M</t>
  </si>
  <si>
    <t>BPU Zonal West O&amp;M</t>
  </si>
  <si>
    <t>BPU Zonal Plant to Total Plant</t>
  </si>
  <si>
    <t>BPU Regional Plant to Total Plant</t>
  </si>
  <si>
    <t>BPU Zonal West LTD</t>
  </si>
  <si>
    <t>BPU Regional East LTD</t>
  </si>
  <si>
    <t>BPU Zonal Plant-in-Service</t>
  </si>
  <si>
    <t>BPU Regional Plant-in-Service</t>
  </si>
  <si>
    <t>NO PROJECTS TO DATE</t>
  </si>
  <si>
    <t>West /2</t>
  </si>
  <si>
    <t>Inputs Below 3/</t>
  </si>
  <si>
    <t xml:space="preserve">Partial/Full Year Factor: </t>
  </si>
  <si>
    <t>3/ Manual inputs from Prior Year True-Up Workbook "WS7-IMEU" From/To Here: L13 C11/L12 C11; Partial/Full Year Factor is Ratio of Months IMEU Revenue received / 12 Months</t>
  </si>
  <si>
    <t>ADJUSTMENT TO TRANSMISSION ($)</t>
  </si>
  <si>
    <t>SPP TRUE UP SUMMARY:
DESCRIPTION</t>
  </si>
  <si>
    <t>ACTUAL SPP TOTALS ($)</t>
  </si>
  <si>
    <t>1/ Manual inputs from Prior Year True-Up Workbook "WS1-ATRR RateBase" Column 21 to Column 19 Here</t>
  </si>
  <si>
    <t>True-up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</si>
</sst>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_);[Red]\(#,##0.0000\)"/>
    <numFmt numFmtId="166" formatCode="&quot;$&quot;#,##0.00"/>
    <numFmt numFmtId="167" formatCode="_(&quot;$&quot;* #,##0_);_(&quot;$&quot;* \(#,##0\);_(&quot;$&quot;* &quot;-&quot;??_);_(@_)"/>
    <numFmt numFmtId="168" formatCode="0.00_)"/>
    <numFmt numFmtId="169" formatCode="0\ &quot;days&quot;"/>
    <numFmt numFmtId="170" formatCode="0.00000"/>
    <numFmt numFmtId="171" formatCode="0.0000"/>
    <numFmt numFmtId="172" formatCode="0.000%"/>
    <numFmt numFmtId="173" formatCode="0_);[Red]\(0\)"/>
    <numFmt numFmtId="174" formatCode="#,##0.00000_);[Red]\(#,##0.00000\)"/>
    <numFmt numFmtId="175" formatCode="#,##0.00;\&lt;#,##0.00\&gt;"/>
    <numFmt numFmtId="176" formatCode="0_);\(0\)"/>
    <numFmt numFmtId="177" formatCode="0.0%"/>
    <numFmt numFmtId="178" formatCode="_(* #,##0.000_);_(* \(#,##0.000\);_(* &quot;-&quot;??_);_(@_)"/>
    <numFmt numFmtId="179" formatCode="0.000"/>
    <numFmt numFmtId="180" formatCode="0.00_);\(0.00\)"/>
  </numFmts>
  <fonts count="76">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10"/>
      <color theme="0"/>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i/>
      <sz val="10"/>
      <name val="Arial"/>
      <family val="2"/>
    </font>
    <font>
      <sz val="10"/>
      <name val="MS Sans Serif"/>
      <family val="2"/>
    </font>
    <font>
      <sz val="9"/>
      <color theme="1"/>
      <name val="Arial"/>
      <family val="2"/>
    </font>
    <font>
      <sz val="8"/>
      <name val="MS Sans Serif"/>
      <family val="2"/>
    </font>
    <font>
      <sz val="10"/>
      <color theme="1"/>
      <name val="Arial"/>
      <family val="2"/>
    </font>
    <font>
      <b/>
      <sz val="18"/>
      <name val="Arial"/>
      <family val="2"/>
    </font>
    <font>
      <b/>
      <sz val="14"/>
      <name val="Book Antiqua"/>
      <family val="1"/>
    </font>
    <font>
      <i/>
      <sz val="10"/>
      <name val="Book Antiqua"/>
      <family val="1"/>
    </font>
    <font>
      <u/>
      <sz val="10"/>
      <color theme="10"/>
      <name val="Arial"/>
      <family val="2"/>
    </font>
    <font>
      <b/>
      <i/>
      <sz val="16"/>
      <name val="Helv"/>
    </font>
    <font>
      <sz val="11"/>
      <name val="Arial"/>
      <family val="2"/>
    </font>
    <font>
      <sz val="10"/>
      <color theme="1"/>
      <name val="Tahoma"/>
      <family val="2"/>
    </font>
    <font>
      <sz val="12"/>
      <name val="Arial MT"/>
    </font>
    <font>
      <sz val="11"/>
      <color indexed="8"/>
      <name val="Calibri"/>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b/>
      <sz val="48"/>
      <name val="Arial"/>
      <family val="2"/>
    </font>
    <font>
      <sz val="10"/>
      <color theme="1"/>
      <name val="Calibri"/>
      <family val="2"/>
      <scheme val="minor"/>
    </font>
    <font>
      <b/>
      <sz val="10"/>
      <color theme="1"/>
      <name val="Calibri"/>
      <family val="2"/>
      <scheme val="minor"/>
    </font>
    <font>
      <sz val="10"/>
      <name val="Times New Roman"/>
      <family val="1"/>
    </font>
    <font>
      <sz val="11"/>
      <color theme="1"/>
      <name val="Calibri"/>
      <family val="2"/>
    </font>
    <font>
      <sz val="10"/>
      <name val="Calibri"/>
      <family val="2"/>
    </font>
    <font>
      <b/>
      <sz val="10"/>
      <name val="Calibri"/>
      <family val="2"/>
    </font>
    <font>
      <b/>
      <i/>
      <sz val="10"/>
      <name val="Calibri"/>
      <family val="2"/>
    </font>
    <font>
      <sz val="10"/>
      <color theme="1"/>
      <name val="Calibri"/>
      <family val="2"/>
    </font>
    <font>
      <sz val="36"/>
      <color theme="1"/>
      <name val="Calibri"/>
      <family val="2"/>
      <scheme val="minor"/>
    </font>
    <font>
      <sz val="10"/>
      <color indexed="8"/>
      <name val="Calibri"/>
      <family val="2"/>
      <scheme val="minor"/>
    </font>
    <font>
      <sz val="11"/>
      <color rgb="FF000000"/>
      <name val="Calibri"/>
      <family val="2"/>
    </font>
    <font>
      <b/>
      <sz val="10"/>
      <color theme="1"/>
      <name val="Calibri"/>
      <family val="2"/>
    </font>
    <font>
      <u/>
      <sz val="11"/>
      <color theme="10"/>
      <name val="Calibri"/>
      <family val="2"/>
      <scheme val="minor"/>
    </font>
    <font>
      <sz val="28"/>
      <color theme="1"/>
      <name val="Calibri"/>
      <family val="2"/>
      <scheme val="minor"/>
    </font>
    <font>
      <b/>
      <u/>
      <sz val="11"/>
      <color theme="1"/>
      <name val="Calibri"/>
      <family val="2"/>
      <scheme val="minor"/>
    </font>
    <font>
      <sz val="36"/>
      <color rgb="FFFF0000"/>
      <name val="Calibri"/>
      <family val="2"/>
      <scheme val="minor"/>
    </font>
    <font>
      <sz val="8"/>
      <name val="Calibri"/>
      <family val="2"/>
      <scheme val="minor"/>
    </font>
    <font>
      <sz val="10"/>
      <color rgb="FF000000"/>
      <name val="Calibri"/>
      <family val="2"/>
      <scheme val="minor"/>
    </font>
    <font>
      <b/>
      <sz val="10"/>
      <color rgb="FF000000"/>
      <name val="Calibri"/>
      <family val="2"/>
      <scheme val="minor"/>
    </font>
    <font>
      <sz val="11"/>
      <color theme="1"/>
      <name val="Aptos"/>
      <family val="2"/>
    </font>
    <font>
      <sz val="11"/>
      <color theme="1"/>
      <name val="Calibri"/>
      <family val="2"/>
    </font>
    <font>
      <b/>
      <sz val="11"/>
      <color theme="1"/>
      <name val="Calibri"/>
      <family val="2"/>
    </font>
    <font>
      <u/>
      <sz val="10"/>
      <name val="Calibri"/>
      <family val="2"/>
      <scheme val="minor"/>
    </font>
    <font>
      <i/>
      <sz val="10"/>
      <name val="Calibri"/>
      <family val="2"/>
    </font>
    <font>
      <i/>
      <sz val="8"/>
      <name val="Calibri"/>
      <family val="2"/>
      <scheme val="minor"/>
    </font>
    <font>
      <i/>
      <sz val="8"/>
      <color theme="1"/>
      <name val="Calibri"/>
      <family val="2"/>
      <scheme val="minor"/>
    </font>
    <font>
      <b/>
      <i/>
      <sz val="8"/>
      <name val="Calibri"/>
      <family val="2"/>
      <scheme val="minor"/>
    </font>
    <font>
      <sz val="10"/>
      <color rgb="FFFF0000"/>
      <name val="Calibri"/>
      <family val="2"/>
    </font>
    <font>
      <b/>
      <sz val="8"/>
      <color theme="1"/>
      <name val="Calibri"/>
      <family val="2"/>
      <scheme val="minor"/>
    </font>
    <font>
      <i/>
      <sz val="8"/>
      <color rgb="FFFF0000"/>
      <name val="Calibri"/>
      <family val="2"/>
      <scheme val="minor"/>
    </font>
    <font>
      <b/>
      <i/>
      <sz val="8"/>
      <color theme="1"/>
      <name val="Calibri"/>
      <family val="2"/>
      <scheme val="minor"/>
    </font>
  </fonts>
  <fills count="3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11"/>
        <bgColor indexed="64"/>
      </patternFill>
    </fill>
    <fill>
      <patternFill patternType="solid">
        <fgColor theme="0"/>
        <bgColor indexed="64"/>
      </patternFill>
    </fill>
    <fill>
      <patternFill patternType="solid">
        <fgColor theme="0"/>
        <bgColor indexed="9"/>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D9D9D9"/>
        <bgColor rgb="FFD9D9D9"/>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9"/>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s>
  <borders count="45">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right/>
      <top style="double">
        <color indexed="64"/>
      </top>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right/>
      <top/>
      <bottom style="double">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rgb="FF000000"/>
      </top>
      <bottom style="double">
        <color rgb="FF000000"/>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thin">
        <color rgb="FF000000"/>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diagonal/>
    </border>
  </borders>
  <cellStyleXfs count="423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66" fontId="6" fillId="0" borderId="0" applyFill="0"/>
    <xf numFmtId="166" fontId="6" fillId="0" borderId="0">
      <alignment horizontal="center"/>
    </xf>
    <xf numFmtId="0" fontId="6" fillId="0" borderId="0" applyFill="0">
      <alignment horizontal="center"/>
    </xf>
    <xf numFmtId="166" fontId="7" fillId="0" borderId="3" applyFill="0"/>
    <xf numFmtId="0" fontId="8" fillId="0" borderId="0" applyFont="0" applyAlignment="0"/>
    <xf numFmtId="0" fontId="9" fillId="0" borderId="0" applyFill="0">
      <alignment vertical="top"/>
    </xf>
    <xf numFmtId="0" fontId="7" fillId="0" borderId="0" applyFill="0">
      <alignment horizontal="left" vertical="top"/>
    </xf>
    <xf numFmtId="166" fontId="10" fillId="0" borderId="4" applyFill="0"/>
    <xf numFmtId="0" fontId="8" fillId="0" borderId="0" applyNumberFormat="0" applyFont="0" applyAlignment="0"/>
    <xf numFmtId="0" fontId="9" fillId="0" borderId="0" applyFill="0">
      <alignment wrapText="1"/>
    </xf>
    <xf numFmtId="0" fontId="7" fillId="0" borderId="0" applyFill="0">
      <alignment horizontal="left" vertical="top" wrapText="1"/>
    </xf>
    <xf numFmtId="166" fontId="11" fillId="0" borderId="0" applyFill="0"/>
    <xf numFmtId="0" fontId="12" fillId="0" borderId="0" applyNumberFormat="0" applyFont="0" applyAlignment="0">
      <alignment horizontal="center"/>
    </xf>
    <xf numFmtId="0" fontId="13" fillId="0" borderId="0" applyFill="0">
      <alignment vertical="top" wrapText="1"/>
    </xf>
    <xf numFmtId="0" fontId="10" fillId="0" borderId="0" applyFill="0">
      <alignment horizontal="left" vertical="top" wrapText="1"/>
    </xf>
    <xf numFmtId="166" fontId="8" fillId="0" borderId="0" applyFill="0"/>
    <xf numFmtId="0" fontId="12" fillId="0" borderId="0" applyNumberFormat="0" applyFont="0" applyAlignment="0">
      <alignment horizontal="center"/>
    </xf>
    <xf numFmtId="0" fontId="14" fillId="0" borderId="0" applyFill="0">
      <alignment vertical="center" wrapText="1"/>
    </xf>
    <xf numFmtId="0" fontId="15" fillId="0" borderId="0">
      <alignment horizontal="left" vertical="center" wrapText="1"/>
    </xf>
    <xf numFmtId="166" fontId="16" fillId="0" borderId="0" applyFill="0"/>
    <xf numFmtId="0" fontId="12" fillId="0" borderId="0" applyNumberFormat="0" applyFont="0" applyAlignment="0">
      <alignment horizontal="center"/>
    </xf>
    <xf numFmtId="0" fontId="17" fillId="0" borderId="0" applyFill="0">
      <alignment horizontal="center" vertical="center" wrapText="1"/>
    </xf>
    <xf numFmtId="0" fontId="8" fillId="0" borderId="0" applyFill="0">
      <alignment horizontal="center" vertical="center" wrapText="1"/>
    </xf>
    <xf numFmtId="166" fontId="18" fillId="0" borderId="0" applyFill="0"/>
    <xf numFmtId="0" fontId="12" fillId="0" borderId="0" applyNumberFormat="0" applyFont="0" applyAlignment="0">
      <alignment horizontal="center"/>
    </xf>
    <xf numFmtId="0" fontId="19" fillId="0" borderId="0" applyFill="0">
      <alignment horizontal="center" vertical="center" wrapText="1"/>
    </xf>
    <xf numFmtId="0" fontId="20" fillId="0" borderId="0" applyFill="0">
      <alignment horizontal="center" vertical="center" wrapText="1"/>
    </xf>
    <xf numFmtId="166" fontId="21" fillId="0" borderId="0" applyFill="0"/>
    <xf numFmtId="0" fontId="12" fillId="0" borderId="0" applyNumberFormat="0" applyFont="0" applyAlignment="0">
      <alignment horizontal="center"/>
    </xf>
    <xf numFmtId="0" fontId="22" fillId="0" borderId="0">
      <alignment horizontal="center" wrapText="1"/>
    </xf>
    <xf numFmtId="0" fontId="18"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0"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3"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8"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8" fontId="24"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2" fontId="8" fillId="0" borderId="0" applyFont="0" applyFill="0" applyBorder="0" applyAlignment="0" applyProtection="0"/>
    <xf numFmtId="167" fontId="6" fillId="15" borderId="5" applyFill="0" applyBorder="0" applyProtection="0">
      <alignment horizontal="left"/>
    </xf>
    <xf numFmtId="38" fontId="6" fillId="16" borderId="0" applyNumberFormat="0" applyBorder="0" applyAlignment="0" applyProtection="0"/>
    <xf numFmtId="0" fontId="28" fillId="0" borderId="0" applyFont="0" applyFill="0" applyBorder="0" applyAlignment="0" applyProtection="0"/>
    <xf numFmtId="0" fontId="10" fillId="0" borderId="0" applyFont="0" applyFill="0" applyBorder="0" applyAlignment="0" applyProtection="0"/>
    <xf numFmtId="0" fontId="29" fillId="0" borderId="6"/>
    <xf numFmtId="0" fontId="30" fillId="0" borderId="0"/>
    <xf numFmtId="0" fontId="31" fillId="0" borderId="0" applyNumberFormat="0" applyFill="0" applyBorder="0" applyAlignment="0" applyProtection="0"/>
    <xf numFmtId="10" fontId="6" fillId="17" borderId="7" applyNumberFormat="0" applyBorder="0" applyAlignment="0" applyProtection="0"/>
    <xf numFmtId="168" fontId="32"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27" fillId="0" borderId="0"/>
    <xf numFmtId="5" fontId="33"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5"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24"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8" fillId="0" borderId="0"/>
    <xf numFmtId="0" fontId="8"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1" fillId="0" borderId="0"/>
    <xf numFmtId="0" fontId="8" fillId="0" borderId="0"/>
    <xf numFmtId="0" fontId="1"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1" fillId="0" borderId="0"/>
    <xf numFmtId="0" fontId="1"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8" fillId="0" borderId="0"/>
    <xf numFmtId="0" fontId="1" fillId="0" borderId="0"/>
    <xf numFmtId="0" fontId="1" fillId="0" borderId="0"/>
    <xf numFmtId="0" fontId="1" fillId="0" borderId="0"/>
    <xf numFmtId="0" fontId="1" fillId="0" borderId="0"/>
    <xf numFmtId="0" fontId="27"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8" fillId="0" borderId="0"/>
    <xf numFmtId="5"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8" fillId="0" borderId="0"/>
    <xf numFmtId="5" fontId="33"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5" fontId="33" fillId="0" borderId="0"/>
    <xf numFmtId="0" fontId="1" fillId="0" borderId="0"/>
    <xf numFmtId="0" fontId="1" fillId="0" borderId="0"/>
    <xf numFmtId="0" fontId="8" fillId="0" borderId="0"/>
    <xf numFmtId="5" fontId="33"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5" fontId="33" fillId="0" borderId="0"/>
    <xf numFmtId="0" fontId="8" fillId="0" borderId="0"/>
    <xf numFmtId="0" fontId="8" fillId="0" borderId="0"/>
    <xf numFmtId="0" fontId="8" fillId="0" borderId="0"/>
    <xf numFmtId="0" fontId="8" fillId="0" borderId="0"/>
    <xf numFmtId="0" fontId="8" fillId="0" borderId="0"/>
    <xf numFmtId="5" fontId="33" fillId="0" borderId="0"/>
    <xf numFmtId="0" fontId="1" fillId="0" borderId="0"/>
    <xf numFmtId="0" fontId="1" fillId="0" borderId="0"/>
    <xf numFmtId="5" fontId="33" fillId="0" borderId="0"/>
    <xf numFmtId="0" fontId="8" fillId="0" borderId="0"/>
    <xf numFmtId="5" fontId="33" fillId="0" borderId="0"/>
    <xf numFmtId="5" fontId="33" fillId="0" borderId="0"/>
    <xf numFmtId="0" fontId="8" fillId="0" borderId="0"/>
    <xf numFmtId="5" fontId="33" fillId="0" borderId="0"/>
    <xf numFmtId="5" fontId="33" fillId="0" borderId="0"/>
    <xf numFmtId="0" fontId="1" fillId="0" borderId="0"/>
    <xf numFmtId="5" fontId="33" fillId="0" borderId="0"/>
    <xf numFmtId="0" fontId="1" fillId="0" borderId="0"/>
    <xf numFmtId="5" fontId="33"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1" fillId="0" borderId="0"/>
    <xf numFmtId="0" fontId="1" fillId="0" borderId="0"/>
    <xf numFmtId="0" fontId="1" fillId="0" borderId="0"/>
    <xf numFmtId="0" fontId="8" fillId="0" borderId="0"/>
    <xf numFmtId="0" fontId="1"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1" fillId="0" borderId="0"/>
    <xf numFmtId="0" fontId="1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7"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 fillId="0" borderId="0"/>
    <xf numFmtId="0" fontId="24" fillId="0" borderId="0"/>
    <xf numFmtId="0" fontId="1" fillId="0" borderId="0"/>
    <xf numFmtId="0" fontId="8" fillId="0" borderId="0"/>
    <xf numFmtId="0" fontId="24" fillId="0" borderId="0"/>
    <xf numFmtId="0" fontId="1" fillId="0" borderId="0"/>
    <xf numFmtId="0" fontId="24" fillId="0" borderId="0"/>
    <xf numFmtId="0" fontId="24" fillId="0" borderId="0"/>
    <xf numFmtId="0" fontId="24" fillId="0" borderId="0"/>
    <xf numFmtId="0" fontId="15" fillId="0" borderId="0"/>
    <xf numFmtId="0" fontId="1"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8" fillId="0" borderId="0"/>
    <xf numFmtId="0" fontId="15" fillId="0" borderId="0"/>
    <xf numFmtId="0" fontId="24" fillId="0" borderId="0"/>
    <xf numFmtId="0" fontId="1" fillId="0" borderId="0"/>
    <xf numFmtId="0" fontId="26" fillId="0" borderId="0"/>
    <xf numFmtId="0" fontId="15"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8" fillId="0" borderId="0"/>
    <xf numFmtId="0" fontId="8" fillId="0" borderId="0"/>
    <xf numFmtId="0" fontId="8" fillId="0" borderId="0"/>
    <xf numFmtId="0" fontId="15" fillId="0" borderId="0"/>
    <xf numFmtId="0" fontId="1" fillId="0" borderId="0"/>
    <xf numFmtId="0" fontId="1" fillId="0" borderId="0"/>
    <xf numFmtId="0" fontId="8" fillId="0" borderId="0"/>
    <xf numFmtId="0" fontId="1" fillId="0" borderId="0"/>
    <xf numFmtId="0" fontId="15" fillId="0" borderId="0"/>
    <xf numFmtId="0" fontId="1" fillId="0" borderId="0"/>
    <xf numFmtId="0" fontId="15"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6" fontId="35" fillId="0" borderId="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36" fillId="2" borderId="1" applyNumberFormat="0" applyFont="0" applyAlignment="0" applyProtection="0"/>
    <xf numFmtId="0" fontId="36" fillId="2" borderId="1" applyNumberFormat="0" applyFont="0" applyAlignment="0" applyProtection="0"/>
    <xf numFmtId="10" fontId="8"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3" fontId="8" fillId="0" borderId="0">
      <alignment horizontal="left" vertical="top"/>
    </xf>
    <xf numFmtId="0" fontId="37" fillId="0" borderId="6">
      <alignment horizontal="center"/>
    </xf>
    <xf numFmtId="3" fontId="24" fillId="0" borderId="0" applyFont="0" applyFill="0" applyBorder="0" applyAlignment="0" applyProtection="0"/>
    <xf numFmtId="0" fontId="24" fillId="18" borderId="0" applyNumberFormat="0" applyFont="0" applyBorder="0" applyAlignment="0" applyProtection="0"/>
    <xf numFmtId="3" fontId="8" fillId="0" borderId="0">
      <alignment horizontal="right" vertical="top"/>
    </xf>
    <xf numFmtId="41" fontId="15" fillId="16" borderId="8" applyFill="0"/>
    <xf numFmtId="0" fontId="38" fillId="0" borderId="0">
      <alignment horizontal="left" indent="7"/>
    </xf>
    <xf numFmtId="41" fontId="15" fillId="0" borderId="8" applyFill="0">
      <alignment horizontal="left" indent="2"/>
    </xf>
    <xf numFmtId="166" fontId="39" fillId="0" borderId="9" applyFill="0">
      <alignment horizontal="right"/>
    </xf>
    <xf numFmtId="0" fontId="40" fillId="0" borderId="7" applyNumberFormat="0" applyFont="0" applyBorder="0">
      <alignment horizontal="right"/>
    </xf>
    <xf numFmtId="0" fontId="41" fillId="0" borderId="0" applyFill="0"/>
    <xf numFmtId="0" fontId="10" fillId="0" borderId="0" applyFill="0"/>
    <xf numFmtId="4" fontId="39" fillId="0" borderId="9" applyFill="0"/>
    <xf numFmtId="0" fontId="8" fillId="0" borderId="0" applyNumberFormat="0" applyFont="0" applyBorder="0" applyAlignment="0"/>
    <xf numFmtId="0" fontId="13" fillId="0" borderId="0" applyFill="0">
      <alignment horizontal="left" indent="1"/>
    </xf>
    <xf numFmtId="0" fontId="42" fillId="0" borderId="0" applyFill="0">
      <alignment horizontal="left" indent="1"/>
    </xf>
    <xf numFmtId="4" fontId="16" fillId="0" borderId="0" applyFill="0"/>
    <xf numFmtId="0" fontId="8" fillId="0" borderId="0" applyNumberFormat="0" applyFont="0" applyFill="0" applyBorder="0" applyAlignment="0"/>
    <xf numFmtId="0" fontId="13" fillId="0" borderId="0" applyFill="0">
      <alignment horizontal="left" indent="2"/>
    </xf>
    <xf numFmtId="0" fontId="10" fillId="0" borderId="0" applyFill="0">
      <alignment horizontal="left" indent="2"/>
    </xf>
    <xf numFmtId="4" fontId="16" fillId="0" borderId="0" applyFill="0"/>
    <xf numFmtId="0" fontId="8" fillId="0" borderId="0" applyNumberFormat="0" applyFont="0" applyBorder="0" applyAlignment="0"/>
    <xf numFmtId="0" fontId="43" fillId="0" borderId="0">
      <alignment horizontal="left" indent="3"/>
    </xf>
    <xf numFmtId="0" fontId="33" fillId="0" borderId="0" applyFill="0">
      <alignment horizontal="left" indent="3"/>
    </xf>
    <xf numFmtId="4" fontId="16" fillId="0" borderId="0" applyFill="0"/>
    <xf numFmtId="0" fontId="8" fillId="0" borderId="0" applyNumberFormat="0" applyFont="0" applyBorder="0" applyAlignment="0"/>
    <xf numFmtId="0" fontId="17" fillId="0" borderId="0">
      <alignment horizontal="left" indent="4"/>
    </xf>
    <xf numFmtId="0" fontId="8" fillId="0" borderId="0" applyFill="0">
      <alignment horizontal="left" indent="4"/>
    </xf>
    <xf numFmtId="4" fontId="18" fillId="0" borderId="0" applyFill="0"/>
    <xf numFmtId="0" fontId="8" fillId="0" borderId="0" applyNumberFormat="0" applyFont="0" applyBorder="0" applyAlignment="0"/>
    <xf numFmtId="0" fontId="19" fillId="0" borderId="0">
      <alignment horizontal="left" indent="5"/>
    </xf>
    <xf numFmtId="0" fontId="20" fillId="0" borderId="0" applyFill="0">
      <alignment horizontal="left" indent="5"/>
    </xf>
    <xf numFmtId="4" fontId="21" fillId="0" borderId="0" applyFill="0"/>
    <xf numFmtId="0" fontId="8" fillId="0" borderId="0" applyNumberFormat="0" applyFont="0" applyFill="0" applyBorder="0" applyAlignment="0"/>
    <xf numFmtId="0" fontId="22" fillId="0" borderId="0" applyFill="0">
      <alignment horizontal="left" indent="6"/>
    </xf>
    <xf numFmtId="0" fontId="18" fillId="0" borderId="0" applyFill="0">
      <alignment horizontal="left" indent="6"/>
    </xf>
    <xf numFmtId="169" fontId="6" fillId="19" borderId="10" applyBorder="0" applyProtection="0">
      <alignment horizontal="center"/>
    </xf>
    <xf numFmtId="0" fontId="44" fillId="0" borderId="0"/>
    <xf numFmtId="0" fontId="8" fillId="0" borderId="0" applyFont="0" applyFill="0" applyBorder="0" applyAlignment="0" applyProtection="0"/>
    <xf numFmtId="38" fontId="47"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57" fillId="0" borderId="0" applyNumberFormat="0" applyFill="0" applyBorder="0" applyAlignment="0" applyProtection="0"/>
  </cellStyleXfs>
  <cellXfs count="665">
    <xf numFmtId="0" fontId="0" fillId="0" borderId="0" xfId="0"/>
    <xf numFmtId="0" fontId="3" fillId="0" borderId="0" xfId="0" applyFont="1" applyFill="1" applyBorder="1" applyAlignment="1">
      <alignment horizontal="left"/>
    </xf>
    <xf numFmtId="37" fontId="4" fillId="0" borderId="0" xfId="0" applyNumberFormat="1" applyFont="1" applyFill="1" applyBorder="1" applyAlignment="1">
      <alignment horizontal="center"/>
    </xf>
    <xf numFmtId="0" fontId="4" fillId="0" borderId="0" xfId="0" applyFont="1" applyFill="1" applyBorder="1" applyAlignment="1">
      <alignment horizontal="center"/>
    </xf>
    <xf numFmtId="0" fontId="4" fillId="0" borderId="0" xfId="0" applyFont="1" applyFill="1" applyBorder="1"/>
    <xf numFmtId="38" fontId="4" fillId="0" borderId="0" xfId="0" applyNumberFormat="1" applyFont="1" applyFill="1" applyBorder="1" applyAlignment="1">
      <alignment horizontal="center"/>
    </xf>
    <xf numFmtId="0" fontId="4" fillId="0" borderId="0" xfId="0" applyFont="1" applyFill="1" applyBorder="1" applyAlignment="1">
      <alignment horizontal="left"/>
    </xf>
    <xf numFmtId="0" fontId="3" fillId="0" borderId="0" xfId="0" applyFont="1" applyFill="1" applyBorder="1" applyAlignment="1">
      <alignment horizontal="center"/>
    </xf>
    <xf numFmtId="0" fontId="3" fillId="0" borderId="0" xfId="0" applyFont="1" applyFill="1" applyBorder="1"/>
    <xf numFmtId="164" fontId="3" fillId="0" borderId="0" xfId="0" applyNumberFormat="1" applyFont="1" applyFill="1" applyBorder="1"/>
    <xf numFmtId="164" fontId="3" fillId="0" borderId="0" xfId="1" applyNumberFormat="1" applyFont="1" applyFill="1" applyBorder="1"/>
    <xf numFmtId="38" fontId="3" fillId="0" borderId="0" xfId="0" applyNumberFormat="1" applyFont="1" applyFill="1" applyBorder="1" applyAlignment="1">
      <alignment horizontal="center"/>
    </xf>
    <xf numFmtId="0" fontId="3" fillId="0" borderId="0" xfId="0" applyFont="1" applyFill="1" applyBorder="1" applyAlignment="1">
      <alignment wrapText="1"/>
    </xf>
    <xf numFmtId="38" fontId="3" fillId="0" borderId="0" xfId="0" applyNumberFormat="1" applyFont="1" applyFill="1" applyBorder="1"/>
    <xf numFmtId="0" fontId="4" fillId="0" borderId="2" xfId="0" applyFont="1" applyFill="1" applyBorder="1" applyAlignment="1">
      <alignment horizontal="center"/>
    </xf>
    <xf numFmtId="38" fontId="4" fillId="0" borderId="2" xfId="0" applyNumberFormat="1" applyFont="1" applyFill="1" applyBorder="1"/>
    <xf numFmtId="0" fontId="4" fillId="0" borderId="2" xfId="0" applyFont="1" applyFill="1" applyBorder="1"/>
    <xf numFmtId="38" fontId="4" fillId="0" borderId="0" xfId="0" applyNumberFormat="1" applyFont="1" applyFill="1" applyBorder="1"/>
    <xf numFmtId="43" fontId="3" fillId="0" borderId="0" xfId="1" applyFont="1" applyFill="1" applyBorder="1" applyAlignment="1">
      <alignment horizontal="center"/>
    </xf>
    <xf numFmtId="43" fontId="3" fillId="0" borderId="0" xfId="1" applyFont="1" applyFill="1" applyBorder="1"/>
    <xf numFmtId="0" fontId="4" fillId="0" borderId="0" xfId="0" applyFont="1" applyFill="1" applyBorder="1" applyAlignment="1"/>
    <xf numFmtId="165" fontId="5" fillId="0" borderId="0" xfId="0" applyNumberFormat="1" applyFont="1" applyFill="1" applyBorder="1"/>
    <xf numFmtId="165" fontId="3" fillId="0" borderId="0" xfId="0" applyNumberFormat="1" applyFont="1" applyFill="1" applyBorder="1"/>
    <xf numFmtId="38" fontId="4" fillId="0" borderId="2" xfId="0" applyNumberFormat="1" applyFont="1" applyFill="1" applyBorder="1" applyAlignment="1">
      <alignment wrapText="1"/>
    </xf>
    <xf numFmtId="38" fontId="4" fillId="0" borderId="2" xfId="0" applyNumberFormat="1" applyFont="1" applyFill="1" applyBorder="1" applyAlignment="1">
      <alignment horizontal="center"/>
    </xf>
    <xf numFmtId="0" fontId="4" fillId="0" borderId="0" xfId="0" applyFont="1" applyFill="1" applyBorder="1" applyAlignment="1">
      <alignment vertical="top"/>
    </xf>
    <xf numFmtId="164" fontId="4" fillId="0" borderId="2" xfId="0" applyNumberFormat="1" applyFont="1" applyFill="1" applyBorder="1" applyAlignment="1">
      <alignment horizontal="right"/>
    </xf>
    <xf numFmtId="164" fontId="3" fillId="0" borderId="0" xfId="0" applyNumberFormat="1" applyFont="1" applyFill="1" applyBorder="1" applyAlignment="1">
      <alignment horizontal="center"/>
    </xf>
    <xf numFmtId="164" fontId="3" fillId="0" borderId="0" xfId="0" applyNumberFormat="1" applyFont="1" applyFill="1" applyBorder="1" applyAlignment="1">
      <alignment horizontal="right"/>
    </xf>
    <xf numFmtId="0" fontId="3" fillId="20" borderId="0" xfId="38578" applyNumberFormat="1" applyFont="1" applyFill="1" applyBorder="1" applyAlignment="1">
      <alignment horizontal="center"/>
    </xf>
    <xf numFmtId="0" fontId="45" fillId="0" borderId="0" xfId="0" applyFont="1" applyBorder="1"/>
    <xf numFmtId="0" fontId="45" fillId="0" borderId="0" xfId="0" applyFont="1" applyBorder="1" applyAlignment="1">
      <alignment horizontal="center"/>
    </xf>
    <xf numFmtId="3" fontId="3" fillId="0" borderId="0" xfId="0" applyNumberFormat="1" applyFont="1" applyFill="1" applyBorder="1"/>
    <xf numFmtId="164" fontId="0" fillId="0" borderId="0" xfId="1" applyNumberFormat="1" applyFont="1"/>
    <xf numFmtId="0" fontId="45" fillId="0" borderId="0" xfId="0" applyFont="1"/>
    <xf numFmtId="0" fontId="45" fillId="20" borderId="0" xfId="0" applyFont="1" applyFill="1" applyBorder="1"/>
    <xf numFmtId="37" fontId="3" fillId="20" borderId="6" xfId="42319" applyNumberFormat="1" applyFont="1" applyFill="1" applyBorder="1" applyAlignment="1">
      <alignment horizontal="center"/>
    </xf>
    <xf numFmtId="0" fontId="3" fillId="20" borderId="0" xfId="0" applyFont="1" applyFill="1" applyBorder="1"/>
    <xf numFmtId="164" fontId="3" fillId="20" borderId="0" xfId="1" applyNumberFormat="1" applyFont="1" applyFill="1" applyBorder="1" applyAlignment="1">
      <alignment horizontal="left"/>
    </xf>
    <xf numFmtId="38" fontId="3" fillId="20" borderId="0" xfId="0" applyNumberFormat="1" applyFont="1" applyFill="1" applyBorder="1"/>
    <xf numFmtId="164" fontId="3" fillId="20" borderId="0" xfId="1" applyNumberFormat="1" applyFont="1" applyFill="1" applyBorder="1"/>
    <xf numFmtId="0" fontId="46" fillId="20" borderId="0" xfId="0" applyFont="1" applyFill="1" applyBorder="1" applyAlignment="1">
      <alignment horizontal="center"/>
    </xf>
    <xf numFmtId="37" fontId="4" fillId="20" borderId="0" xfId="19386" applyNumberFormat="1" applyFont="1" applyFill="1" applyBorder="1" applyAlignment="1">
      <alignment horizontal="center"/>
    </xf>
    <xf numFmtId="37" fontId="4" fillId="20" borderId="0" xfId="42319" applyNumberFormat="1" applyFont="1" applyFill="1" applyBorder="1" applyAlignment="1">
      <alignment horizontal="center"/>
    </xf>
    <xf numFmtId="37" fontId="3" fillId="20" borderId="6" xfId="19386" applyNumberFormat="1" applyFont="1" applyFill="1" applyBorder="1" applyAlignment="1">
      <alignment horizontal="center"/>
    </xf>
    <xf numFmtId="0" fontId="3" fillId="20" borderId="6" xfId="19386" applyFont="1" applyFill="1" applyBorder="1" applyAlignment="1">
      <alignment horizontal="center"/>
    </xf>
    <xf numFmtId="38" fontId="3" fillId="20" borderId="6" xfId="42319" applyFont="1" applyFill="1" applyBorder="1" applyAlignment="1">
      <alignment horizontal="center"/>
    </xf>
    <xf numFmtId="3" fontId="4" fillId="20" borderId="0" xfId="42319" applyNumberFormat="1" applyFont="1" applyFill="1" applyBorder="1" applyAlignment="1">
      <alignment horizontal="left"/>
    </xf>
    <xf numFmtId="38" fontId="3" fillId="20" borderId="0" xfId="42319" applyFont="1" applyFill="1" applyBorder="1" applyAlignment="1">
      <alignment horizontal="centerContinuous"/>
    </xf>
    <xf numFmtId="38" fontId="3" fillId="20" borderId="0" xfId="42319" applyFont="1" applyFill="1" applyBorder="1"/>
    <xf numFmtId="38" fontId="3" fillId="20" borderId="0" xfId="42319" applyFont="1" applyFill="1" applyBorder="1" applyAlignment="1">
      <alignment horizontal="center"/>
    </xf>
    <xf numFmtId="170" fontId="3" fillId="20" borderId="0" xfId="42319" applyNumberFormat="1" applyFont="1" applyFill="1" applyBorder="1"/>
    <xf numFmtId="171" fontId="3" fillId="20" borderId="0" xfId="42319" applyNumberFormat="1" applyFont="1" applyFill="1" applyBorder="1" applyAlignment="1">
      <alignment horizontal="center"/>
    </xf>
    <xf numFmtId="38" fontId="3" fillId="20" borderId="9" xfId="42319" applyFont="1" applyFill="1" applyBorder="1"/>
    <xf numFmtId="38" fontId="3" fillId="20" borderId="9" xfId="42319" applyFont="1" applyFill="1" applyBorder="1" applyAlignment="1">
      <alignment horizontal="center"/>
    </xf>
    <xf numFmtId="38" fontId="3" fillId="20" borderId="9" xfId="42319" applyFont="1" applyFill="1" applyBorder="1" applyAlignment="1">
      <alignment horizontal="right"/>
    </xf>
    <xf numFmtId="174" fontId="3" fillId="20" borderId="0" xfId="42319" applyNumberFormat="1" applyFont="1" applyFill="1" applyBorder="1"/>
    <xf numFmtId="38" fontId="3" fillId="20" borderId="9" xfId="0" applyNumberFormat="1" applyFont="1" applyFill="1" applyBorder="1"/>
    <xf numFmtId="38" fontId="3" fillId="20" borderId="9" xfId="0" applyNumberFormat="1" applyFont="1" applyFill="1" applyBorder="1" applyAlignment="1">
      <alignment horizontal="center"/>
    </xf>
    <xf numFmtId="3" fontId="3" fillId="20" borderId="0" xfId="0" applyNumberFormat="1" applyFont="1" applyFill="1" applyBorder="1"/>
    <xf numFmtId="38" fontId="4" fillId="20" borderId="0" xfId="42319" applyFont="1" applyFill="1" applyBorder="1"/>
    <xf numFmtId="172" fontId="3" fillId="20" borderId="0" xfId="42319" applyNumberFormat="1" applyFont="1" applyFill="1" applyBorder="1"/>
    <xf numFmtId="10" fontId="3" fillId="20" borderId="0" xfId="42319" applyNumberFormat="1" applyFont="1" applyFill="1" applyBorder="1" applyAlignment="1">
      <alignment horizontal="center"/>
    </xf>
    <xf numFmtId="10" fontId="3" fillId="20" borderId="0" xfId="42319" applyNumberFormat="1" applyFont="1" applyFill="1" applyBorder="1"/>
    <xf numFmtId="10" fontId="3" fillId="20" borderId="0" xfId="42319" applyNumberFormat="1" applyFont="1" applyFill="1" applyBorder="1" applyAlignment="1">
      <alignment horizontal="centerContinuous"/>
    </xf>
    <xf numFmtId="3" fontId="4" fillId="20" borderId="0" xfId="0" applyNumberFormat="1" applyFont="1" applyFill="1" applyBorder="1" applyAlignment="1">
      <alignment horizontal="center"/>
    </xf>
    <xf numFmtId="0" fontId="45" fillId="20" borderId="9" xfId="0" applyFont="1" applyFill="1" applyBorder="1"/>
    <xf numFmtId="38" fontId="4" fillId="20" borderId="0" xfId="0" applyNumberFormat="1" applyFont="1" applyFill="1" applyBorder="1" applyAlignment="1">
      <alignment horizontal="left" vertical="center"/>
    </xf>
    <xf numFmtId="38" fontId="3" fillId="20" borderId="0" xfId="0" applyNumberFormat="1" applyFont="1" applyFill="1" applyBorder="1" applyAlignment="1">
      <alignment vertical="center"/>
    </xf>
    <xf numFmtId="3" fontId="4" fillId="20" borderId="0" xfId="0" applyNumberFormat="1" applyFont="1" applyFill="1" applyBorder="1" applyAlignment="1">
      <alignment horizontal="left"/>
    </xf>
    <xf numFmtId="3" fontId="4" fillId="20" borderId="0" xfId="0" applyNumberFormat="1" applyFont="1" applyFill="1" applyBorder="1" applyAlignment="1">
      <alignment vertical="center"/>
    </xf>
    <xf numFmtId="3" fontId="3" fillId="20" borderId="0" xfId="0" applyNumberFormat="1" applyFont="1" applyFill="1" applyBorder="1" applyAlignment="1">
      <alignment vertical="center"/>
    </xf>
    <xf numFmtId="0" fontId="0" fillId="0" borderId="0" xfId="0" applyBorder="1"/>
    <xf numFmtId="164" fontId="0" fillId="0" borderId="0" xfId="1" applyNumberFormat="1" applyFont="1" applyBorder="1"/>
    <xf numFmtId="0" fontId="3" fillId="0" borderId="0" xfId="0" applyFont="1" applyFill="1" applyBorder="1" applyAlignment="1">
      <alignment horizontal="right"/>
    </xf>
    <xf numFmtId="38" fontId="3" fillId="0" borderId="0" xfId="0" applyNumberFormat="1" applyFont="1" applyFill="1" applyBorder="1" applyAlignment="1">
      <alignment horizontal="left"/>
    </xf>
    <xf numFmtId="38" fontId="45" fillId="20" borderId="0" xfId="0" applyNumberFormat="1" applyFont="1" applyFill="1" applyBorder="1"/>
    <xf numFmtId="0" fontId="45" fillId="20" borderId="2" xfId="0" applyFont="1" applyFill="1" applyBorder="1"/>
    <xf numFmtId="164" fontId="45" fillId="20" borderId="0" xfId="1" applyNumberFormat="1" applyFont="1" applyFill="1" applyBorder="1"/>
    <xf numFmtId="0" fontId="3" fillId="20" borderId="0" xfId="0" applyFont="1" applyFill="1" applyBorder="1" applyAlignment="1">
      <alignment horizontal="left"/>
    </xf>
    <xf numFmtId="0" fontId="4" fillId="0" borderId="17" xfId="0" applyFont="1" applyFill="1" applyBorder="1" applyAlignment="1">
      <alignment horizontal="center"/>
    </xf>
    <xf numFmtId="0" fontId="4" fillId="0" borderId="17" xfId="0" applyFont="1" applyFill="1" applyBorder="1"/>
    <xf numFmtId="164" fontId="3" fillId="0" borderId="0" xfId="1" applyNumberFormat="1" applyFont="1" applyFill="1" applyBorder="1" applyAlignment="1">
      <alignment horizontal="left"/>
    </xf>
    <xf numFmtId="49" fontId="54" fillId="21" borderId="0" xfId="19632" applyNumberFormat="1" applyFont="1" applyFill="1" applyBorder="1" applyAlignment="1">
      <alignment horizontal="left"/>
    </xf>
    <xf numFmtId="0" fontId="4" fillId="20" borderId="0" xfId="38578" applyFont="1" applyFill="1" applyBorder="1" applyAlignment="1">
      <alignment horizontal="center"/>
    </xf>
    <xf numFmtId="0" fontId="0" fillId="20" borderId="0" xfId="0" applyFill="1" applyBorder="1"/>
    <xf numFmtId="0" fontId="59" fillId="20" borderId="0" xfId="0" applyFont="1" applyFill="1" applyBorder="1" applyAlignment="1">
      <alignment horizontal="left"/>
    </xf>
    <xf numFmtId="0" fontId="45" fillId="0" borderId="0" xfId="0" applyFont="1" applyAlignment="1">
      <alignment horizontal="center"/>
    </xf>
    <xf numFmtId="176" fontId="3" fillId="0" borderId="0" xfId="0" applyNumberFormat="1" applyFont="1" applyFill="1" applyBorder="1" applyAlignment="1">
      <alignment horizontal="center"/>
    </xf>
    <xf numFmtId="0" fontId="49" fillId="20" borderId="13" xfId="0" applyFont="1" applyFill="1" applyBorder="1" applyAlignment="1">
      <alignment horizontal="left" vertical="top"/>
    </xf>
    <xf numFmtId="0" fontId="49" fillId="20" borderId="6" xfId="0" applyFont="1" applyFill="1" applyBorder="1" applyAlignment="1">
      <alignment horizontal="left" vertical="top"/>
    </xf>
    <xf numFmtId="0" fontId="3" fillId="20" borderId="0" xfId="38578" applyFont="1" applyFill="1" applyBorder="1"/>
    <xf numFmtId="0" fontId="53" fillId="20" borderId="0" xfId="0" applyFont="1" applyFill="1" applyBorder="1"/>
    <xf numFmtId="0" fontId="57" fillId="20" borderId="0" xfId="42327" applyFill="1" applyBorder="1"/>
    <xf numFmtId="9" fontId="45" fillId="20" borderId="0" xfId="3" applyNumberFormat="1" applyFont="1" applyFill="1" applyBorder="1"/>
    <xf numFmtId="177" fontId="45" fillId="20" borderId="0" xfId="3" applyNumberFormat="1" applyFont="1" applyFill="1" applyBorder="1"/>
    <xf numFmtId="0" fontId="0" fillId="0" borderId="0" xfId="0" applyAlignment="1">
      <alignment horizontal="center"/>
    </xf>
    <xf numFmtId="164" fontId="3" fillId="20" borderId="0" xfId="1" applyNumberFormat="1" applyFont="1" applyFill="1" applyBorder="1" applyAlignment="1">
      <alignment horizontal="center" wrapText="1"/>
    </xf>
    <xf numFmtId="0" fontId="45" fillId="0" borderId="0" xfId="0" applyFont="1" applyFill="1" applyBorder="1"/>
    <xf numFmtId="14" fontId="0" fillId="0" borderId="0" xfId="0" applyNumberFormat="1"/>
    <xf numFmtId="167" fontId="1" fillId="0" borderId="0" xfId="2" applyNumberFormat="1" applyFont="1" applyBorder="1"/>
    <xf numFmtId="167" fontId="0" fillId="0" borderId="0" xfId="2" applyNumberFormat="1" applyFont="1"/>
    <xf numFmtId="14" fontId="0" fillId="0" borderId="0" xfId="0" applyNumberFormat="1" applyFill="1"/>
    <xf numFmtId="0" fontId="0" fillId="0" borderId="0" xfId="0" applyFill="1"/>
    <xf numFmtId="0" fontId="0" fillId="0" borderId="0" xfId="0" applyFill="1" applyAlignment="1">
      <alignment horizontal="center"/>
    </xf>
    <xf numFmtId="167" fontId="1" fillId="0" borderId="0" xfId="2" applyNumberFormat="1" applyFont="1" applyFill="1" applyBorder="1"/>
    <xf numFmtId="171" fontId="1" fillId="0" borderId="0" xfId="2" applyNumberFormat="1" applyFont="1" applyFill="1" applyBorder="1"/>
    <xf numFmtId="0" fontId="0" fillId="0" borderId="0" xfId="0" applyFill="1" applyBorder="1"/>
    <xf numFmtId="0" fontId="0" fillId="23" borderId="0" xfId="0" applyFill="1" applyBorder="1"/>
    <xf numFmtId="164" fontId="3" fillId="23" borderId="0" xfId="1" applyNumberFormat="1" applyFont="1" applyFill="1" applyBorder="1" applyAlignment="1">
      <alignment horizontal="right"/>
    </xf>
    <xf numFmtId="0" fontId="45" fillId="23" borderId="0" xfId="0" applyFont="1" applyFill="1" applyBorder="1"/>
    <xf numFmtId="0" fontId="3" fillId="23" borderId="0" xfId="0" applyFont="1" applyFill="1" applyBorder="1"/>
    <xf numFmtId="176" fontId="45" fillId="20" borderId="0" xfId="0" applyNumberFormat="1" applyFont="1" applyFill="1" applyBorder="1" applyAlignment="1">
      <alignment horizontal="center"/>
    </xf>
    <xf numFmtId="164" fontId="0" fillId="0" borderId="0" xfId="1" applyNumberFormat="1" applyFont="1" applyFill="1" applyBorder="1"/>
    <xf numFmtId="0" fontId="3" fillId="23" borderId="0" xfId="38578" applyFont="1" applyFill="1" applyBorder="1" applyAlignment="1">
      <alignment horizontal="left"/>
    </xf>
    <xf numFmtId="0" fontId="3" fillId="20" borderId="0" xfId="38578" applyFont="1" applyFill="1" applyBorder="1" applyAlignment="1">
      <alignment horizontal="left"/>
    </xf>
    <xf numFmtId="4" fontId="55" fillId="0" borderId="0" xfId="0" applyNumberFormat="1" applyFont="1" applyAlignment="1">
      <alignment wrapText="1"/>
    </xf>
    <xf numFmtId="0" fontId="55" fillId="0" borderId="0" xfId="0" applyFont="1" applyAlignment="1">
      <alignment wrapText="1"/>
    </xf>
    <xf numFmtId="0" fontId="8" fillId="0" borderId="0" xfId="38447"/>
    <xf numFmtId="164" fontId="4" fillId="0" borderId="0" xfId="0" applyNumberFormat="1" applyFont="1" applyFill="1" applyBorder="1"/>
    <xf numFmtId="164" fontId="4" fillId="0" borderId="0" xfId="0" applyNumberFormat="1" applyFont="1" applyFill="1" applyBorder="1" applyAlignment="1">
      <alignment horizontal="center"/>
    </xf>
    <xf numFmtId="164" fontId="4" fillId="0" borderId="0" xfId="0" applyNumberFormat="1" applyFont="1" applyFill="1" applyBorder="1" applyAlignment="1">
      <alignment horizontal="center" wrapText="1"/>
    </xf>
    <xf numFmtId="3" fontId="3" fillId="20" borderId="0" xfId="42319" applyNumberFormat="1" applyFont="1" applyFill="1" applyBorder="1" applyAlignment="1">
      <alignment horizontal="right"/>
    </xf>
    <xf numFmtId="164" fontId="3" fillId="20" borderId="0" xfId="1" applyNumberFormat="1" applyFont="1" applyFill="1" applyBorder="1" applyAlignment="1">
      <alignment horizontal="right"/>
    </xf>
    <xf numFmtId="0" fontId="49" fillId="0" borderId="0" xfId="0" applyFont="1"/>
    <xf numFmtId="0" fontId="50" fillId="0" borderId="0" xfId="0" applyFont="1"/>
    <xf numFmtId="0" fontId="49" fillId="0" borderId="13" xfId="0" applyFont="1" applyBorder="1" applyAlignment="1">
      <alignment horizontal="left" vertical="top"/>
    </xf>
    <xf numFmtId="0" fontId="49" fillId="0" borderId="0" xfId="0" applyFont="1" applyAlignment="1">
      <alignment horizontal="left" vertical="top"/>
    </xf>
    <xf numFmtId="0" fontId="49" fillId="0" borderId="0" xfId="0" applyFont="1" applyAlignment="1">
      <alignment vertical="top"/>
    </xf>
    <xf numFmtId="0" fontId="49" fillId="20" borderId="0" xfId="0" applyFont="1" applyFill="1" applyAlignment="1">
      <alignment horizontal="left" vertical="top"/>
    </xf>
    <xf numFmtId="167" fontId="0" fillId="0" borderId="0" xfId="0" applyNumberFormat="1"/>
    <xf numFmtId="0" fontId="46" fillId="0" borderId="0" xfId="0" applyFont="1" applyAlignment="1">
      <alignment horizontal="center" vertical="center" wrapText="1"/>
    </xf>
    <xf numFmtId="0" fontId="46" fillId="0" borderId="0" xfId="0" applyFont="1" applyAlignment="1">
      <alignment horizontal="center" vertical="center"/>
    </xf>
    <xf numFmtId="0" fontId="46" fillId="20" borderId="0" xfId="0" applyFont="1" applyFill="1" applyBorder="1"/>
    <xf numFmtId="167" fontId="0" fillId="0" borderId="0" xfId="2" applyNumberFormat="1" applyFont="1" applyBorder="1"/>
    <xf numFmtId="37" fontId="45" fillId="20" borderId="0" xfId="0" applyNumberFormat="1" applyFont="1" applyFill="1" applyBorder="1"/>
    <xf numFmtId="37" fontId="3" fillId="20" borderId="0" xfId="0" applyNumberFormat="1" applyFont="1" applyFill="1" applyBorder="1"/>
    <xf numFmtId="43" fontId="3" fillId="0" borderId="0" xfId="0" applyNumberFormat="1" applyFont="1" applyFill="1" applyBorder="1" applyAlignment="1">
      <alignment horizontal="center"/>
    </xf>
    <xf numFmtId="43" fontId="3" fillId="0" borderId="0" xfId="0" applyNumberFormat="1" applyFont="1" applyFill="1" applyBorder="1" applyAlignment="1">
      <alignment horizontal="right"/>
    </xf>
    <xf numFmtId="43" fontId="4" fillId="0" borderId="2" xfId="0" applyNumberFormat="1" applyFont="1" applyFill="1" applyBorder="1" applyAlignment="1">
      <alignment horizontal="right"/>
    </xf>
    <xf numFmtId="43" fontId="63" fillId="0" borderId="2" xfId="0" applyNumberFormat="1" applyFont="1" applyFill="1" applyBorder="1" applyAlignment="1">
      <alignment horizontal="right"/>
    </xf>
    <xf numFmtId="43" fontId="4" fillId="0" borderId="17" xfId="0" applyNumberFormat="1" applyFont="1" applyFill="1" applyBorder="1" applyAlignment="1">
      <alignment horizontal="right"/>
    </xf>
    <xf numFmtId="164" fontId="45" fillId="20" borderId="0" xfId="1" applyNumberFormat="1" applyFont="1" applyFill="1" applyBorder="1" applyAlignment="1">
      <alignment horizontal="right"/>
    </xf>
    <xf numFmtId="164" fontId="3" fillId="20" borderId="2" xfId="1" applyNumberFormat="1" applyFont="1" applyFill="1" applyBorder="1" applyAlignment="1">
      <alignment horizontal="right"/>
    </xf>
    <xf numFmtId="0" fontId="49" fillId="20" borderId="0" xfId="0" applyFont="1" applyFill="1" applyBorder="1" applyAlignment="1">
      <alignment horizontal="center"/>
    </xf>
    <xf numFmtId="38" fontId="3" fillId="20" borderId="2" xfId="42319" applyFont="1" applyFill="1" applyBorder="1"/>
    <xf numFmtId="38" fontId="3" fillId="20" borderId="2" xfId="42319" applyFont="1" applyFill="1" applyBorder="1" applyAlignment="1">
      <alignment horizontal="center"/>
    </xf>
    <xf numFmtId="38" fontId="3" fillId="20" borderId="0" xfId="42319" applyFont="1" applyFill="1"/>
    <xf numFmtId="38" fontId="3" fillId="20" borderId="0" xfId="42319" applyFont="1" applyFill="1" applyAlignment="1">
      <alignment horizontal="center"/>
    </xf>
    <xf numFmtId="38" fontId="3" fillId="20" borderId="0" xfId="42319" applyFont="1" applyFill="1" applyAlignment="1">
      <alignment horizontal="right"/>
    </xf>
    <xf numFmtId="38" fontId="4" fillId="20" borderId="9" xfId="42319" applyFont="1" applyFill="1" applyBorder="1"/>
    <xf numFmtId="38" fontId="4" fillId="20" borderId="2" xfId="42319" applyFont="1" applyFill="1" applyBorder="1"/>
    <xf numFmtId="10" fontId="3" fillId="20" borderId="0" xfId="3" applyNumberFormat="1" applyFont="1" applyFill="1" applyBorder="1"/>
    <xf numFmtId="3" fontId="3" fillId="20" borderId="0" xfId="0" applyNumberFormat="1" applyFont="1" applyFill="1" applyBorder="1" applyAlignment="1">
      <alignment horizontal="left"/>
    </xf>
    <xf numFmtId="3" fontId="4" fillId="20" borderId="2" xfId="0" applyNumberFormat="1" applyFont="1" applyFill="1" applyBorder="1" applyAlignment="1">
      <alignment vertical="center"/>
    </xf>
    <xf numFmtId="3" fontId="3" fillId="20" borderId="2" xfId="0" applyNumberFormat="1" applyFont="1" applyFill="1" applyBorder="1" applyAlignment="1">
      <alignment vertical="center"/>
    </xf>
    <xf numFmtId="0" fontId="45" fillId="20" borderId="0" xfId="0" applyFont="1" applyFill="1" applyBorder="1" applyAlignment="1">
      <alignment horizontal="left"/>
    </xf>
    <xf numFmtId="10" fontId="0" fillId="0" borderId="0" xfId="3" applyNumberFormat="1" applyFont="1" applyBorder="1"/>
    <xf numFmtId="0" fontId="3" fillId="20" borderId="0" xfId="38578" applyFont="1" applyFill="1" applyBorder="1" applyAlignment="1">
      <alignment horizontal="center"/>
    </xf>
    <xf numFmtId="0" fontId="45" fillId="20" borderId="0" xfId="0" applyFont="1" applyFill="1" applyBorder="1" applyAlignment="1">
      <alignment horizontal="center"/>
    </xf>
    <xf numFmtId="0" fontId="3" fillId="20" borderId="2" xfId="38578" applyNumberFormat="1" applyFont="1" applyFill="1" applyBorder="1" applyAlignment="1">
      <alignment horizontal="center"/>
    </xf>
    <xf numFmtId="17" fontId="3" fillId="20" borderId="0" xfId="38578" applyNumberFormat="1" applyFont="1" applyFill="1" applyBorder="1" applyAlignment="1">
      <alignment horizontal="center"/>
    </xf>
    <xf numFmtId="17" fontId="3" fillId="23" borderId="0" xfId="38578" applyNumberFormat="1" applyFont="1" applyFill="1" applyBorder="1" applyAlignment="1">
      <alignment horizontal="center"/>
    </xf>
    <xf numFmtId="37" fontId="3" fillId="23" borderId="0" xfId="38578" applyNumberFormat="1" applyFont="1" applyFill="1" applyBorder="1"/>
    <xf numFmtId="164" fontId="3" fillId="23" borderId="2" xfId="1" applyNumberFormat="1" applyFont="1" applyFill="1" applyBorder="1" applyAlignment="1">
      <alignment horizontal="right"/>
    </xf>
    <xf numFmtId="3" fontId="4" fillId="20" borderId="9" xfId="42319" applyNumberFormat="1" applyFont="1" applyFill="1" applyBorder="1" applyAlignment="1">
      <alignment horizontal="left"/>
    </xf>
    <xf numFmtId="3" fontId="3" fillId="20" borderId="9" xfId="0" applyNumberFormat="1" applyFont="1" applyFill="1" applyBorder="1" applyAlignment="1">
      <alignment horizontal="centerContinuous"/>
    </xf>
    <xf numFmtId="164" fontId="4" fillId="0" borderId="0" xfId="1" applyNumberFormat="1" applyFont="1" applyFill="1" applyBorder="1" applyAlignment="1">
      <alignment horizontal="center"/>
    </xf>
    <xf numFmtId="176" fontId="3" fillId="0" borderId="0" xfId="0" applyNumberFormat="1" applyFont="1" applyBorder="1" applyAlignment="1">
      <alignment horizontal="center"/>
    </xf>
    <xf numFmtId="164" fontId="4" fillId="0" borderId="0" xfId="1" applyNumberFormat="1" applyFont="1" applyFill="1" applyBorder="1" applyAlignment="1">
      <alignment horizontal="center" wrapText="1"/>
    </xf>
    <xf numFmtId="37" fontId="3" fillId="0" borderId="0" xfId="1" applyNumberFormat="1" applyFont="1" applyFill="1" applyBorder="1"/>
    <xf numFmtId="37" fontId="4" fillId="0" borderId="0" xfId="1" applyNumberFormat="1" applyFont="1" applyFill="1" applyBorder="1"/>
    <xf numFmtId="37" fontId="3" fillId="24" borderId="0" xfId="1" applyNumberFormat="1" applyFont="1" applyFill="1" applyBorder="1"/>
    <xf numFmtId="43" fontId="4" fillId="24" borderId="0" xfId="0" applyNumberFormat="1" applyFont="1" applyFill="1" applyBorder="1" applyAlignment="1">
      <alignment horizontal="right"/>
    </xf>
    <xf numFmtId="37" fontId="4" fillId="0" borderId="0" xfId="1" applyNumberFormat="1" applyFont="1" applyFill="1" applyBorder="1" applyAlignment="1">
      <alignment horizontal="right"/>
    </xf>
    <xf numFmtId="167" fontId="0" fillId="0" borderId="0" xfId="0" applyNumberFormat="1" applyFill="1" applyBorder="1"/>
    <xf numFmtId="0" fontId="4" fillId="0" borderId="0" xfId="38578" applyFont="1" applyFill="1" applyBorder="1" applyAlignment="1">
      <alignment horizontal="center"/>
    </xf>
    <xf numFmtId="0" fontId="45" fillId="25" borderId="0" xfId="0" applyFont="1" applyFill="1" applyBorder="1"/>
    <xf numFmtId="0" fontId="45" fillId="25" borderId="0" xfId="0" applyFont="1" applyFill="1"/>
    <xf numFmtId="3" fontId="4" fillId="20" borderId="20" xfId="0" applyNumberFormat="1" applyFont="1" applyFill="1" applyBorder="1" applyAlignment="1">
      <alignment horizontal="left"/>
    </xf>
    <xf numFmtId="3" fontId="3" fillId="20" borderId="20" xfId="0" applyNumberFormat="1" applyFont="1" applyFill="1" applyBorder="1"/>
    <xf numFmtId="0" fontId="45" fillId="20" borderId="20" xfId="0" applyFont="1" applyFill="1" applyBorder="1"/>
    <xf numFmtId="0" fontId="48" fillId="0" borderId="0" xfId="0" applyFont="1"/>
    <xf numFmtId="0" fontId="56" fillId="20" borderId="0" xfId="0" applyFont="1" applyFill="1" applyBorder="1" applyAlignment="1">
      <alignment horizontal="left"/>
    </xf>
    <xf numFmtId="5" fontId="52" fillId="20" borderId="0" xfId="0" applyNumberFormat="1" applyFont="1" applyFill="1" applyBorder="1"/>
    <xf numFmtId="164" fontId="56" fillId="20" borderId="0" xfId="1" applyNumberFormat="1" applyFont="1" applyFill="1" applyBorder="1"/>
    <xf numFmtId="9" fontId="56" fillId="20" borderId="0" xfId="3" applyFont="1" applyFill="1" applyBorder="1"/>
    <xf numFmtId="38" fontId="56" fillId="20" borderId="0" xfId="0" applyNumberFormat="1" applyFont="1" applyFill="1" applyBorder="1"/>
    <xf numFmtId="38" fontId="3" fillId="20" borderId="0" xfId="0" applyNumberFormat="1" applyFont="1" applyFill="1"/>
    <xf numFmtId="0" fontId="45" fillId="20" borderId="0" xfId="0" applyFont="1" applyFill="1"/>
    <xf numFmtId="0" fontId="2" fillId="0" borderId="0" xfId="0" applyFont="1" applyBorder="1"/>
    <xf numFmtId="4" fontId="55" fillId="0" borderId="0" xfId="0" applyNumberFormat="1" applyFont="1" applyBorder="1" applyAlignment="1">
      <alignment wrapText="1"/>
    </xf>
    <xf numFmtId="167" fontId="0" fillId="0" borderId="0" xfId="0" applyNumberFormat="1" applyBorder="1"/>
    <xf numFmtId="0" fontId="3" fillId="20" borderId="0" xfId="38578" applyNumberFormat="1" applyFont="1" applyFill="1" applyBorder="1" applyAlignment="1">
      <alignment horizontal="left"/>
    </xf>
    <xf numFmtId="0" fontId="3" fillId="20" borderId="2" xfId="38578" applyNumberFormat="1" applyFont="1" applyFill="1" applyBorder="1" applyAlignment="1">
      <alignment horizontal="left"/>
    </xf>
    <xf numFmtId="0" fontId="45" fillId="0" borderId="2" xfId="0" applyFont="1" applyBorder="1"/>
    <xf numFmtId="0" fontId="46" fillId="20" borderId="2" xfId="0" applyFont="1" applyFill="1" applyBorder="1"/>
    <xf numFmtId="10" fontId="56" fillId="20" borderId="0" xfId="3" applyNumberFormat="1" applyFont="1" applyFill="1" applyBorder="1"/>
    <xf numFmtId="10" fontId="48" fillId="0" borderId="0" xfId="3" applyNumberFormat="1" applyFont="1"/>
    <xf numFmtId="0" fontId="65" fillId="20" borderId="0" xfId="0" applyFont="1" applyFill="1"/>
    <xf numFmtId="9" fontId="45" fillId="0" borderId="0" xfId="3" applyFont="1"/>
    <xf numFmtId="0" fontId="66" fillId="0" borderId="0" xfId="0" applyFont="1"/>
    <xf numFmtId="164" fontId="4" fillId="0" borderId="0" xfId="0" applyNumberFormat="1" applyFont="1" applyFill="1" applyBorder="1" applyAlignment="1">
      <alignment horizontal="right"/>
    </xf>
    <xf numFmtId="164" fontId="62" fillId="0" borderId="0" xfId="0" applyNumberFormat="1" applyFont="1" applyFill="1" applyBorder="1" applyAlignment="1">
      <alignment horizontal="right"/>
    </xf>
    <xf numFmtId="164" fontId="3" fillId="0" borderId="0" xfId="0" applyNumberFormat="1" applyFont="1" applyFill="1" applyAlignment="1">
      <alignment horizontal="right"/>
    </xf>
    <xf numFmtId="164" fontId="3" fillId="0" borderId="0" xfId="0" applyNumberFormat="1" applyFont="1" applyFill="1"/>
    <xf numFmtId="164" fontId="63" fillId="0" borderId="2" xfId="0" applyNumberFormat="1" applyFont="1" applyFill="1" applyBorder="1" applyAlignment="1">
      <alignment horizontal="right"/>
    </xf>
    <xf numFmtId="164" fontId="4" fillId="0" borderId="17" xfId="0" applyNumberFormat="1" applyFont="1" applyFill="1" applyBorder="1" applyAlignment="1">
      <alignment horizontal="right"/>
    </xf>
    <xf numFmtId="164" fontId="4" fillId="0" borderId="17" xfId="0" applyNumberFormat="1" applyFont="1" applyBorder="1" applyAlignment="1">
      <alignment horizontal="right"/>
    </xf>
    <xf numFmtId="164" fontId="3" fillId="0" borderId="0" xfId="1" applyNumberFormat="1" applyFont="1" applyFill="1" applyBorder="1" applyAlignment="1">
      <alignment horizontal="right"/>
    </xf>
    <xf numFmtId="38" fontId="3" fillId="20" borderId="0" xfId="42319" applyFont="1" applyFill="1" applyBorder="1" applyAlignment="1">
      <alignment horizontal="right"/>
    </xf>
    <xf numFmtId="38" fontId="3" fillId="20" borderId="2" xfId="42319" applyFont="1" applyFill="1" applyBorder="1" applyAlignment="1">
      <alignment horizontal="right"/>
    </xf>
    <xf numFmtId="171" fontId="3" fillId="20" borderId="0" xfId="42319" applyNumberFormat="1" applyFont="1" applyFill="1" applyBorder="1"/>
    <xf numFmtId="40" fontId="3" fillId="20" borderId="0" xfId="42319" applyNumberFormat="1" applyFont="1" applyFill="1" applyBorder="1"/>
    <xf numFmtId="171" fontId="3" fillId="20" borderId="2" xfId="42319" applyNumberFormat="1" applyFont="1" applyFill="1" applyBorder="1"/>
    <xf numFmtId="171" fontId="3" fillId="20" borderId="2" xfId="42319" applyNumberFormat="1" applyFont="1" applyFill="1" applyBorder="1" applyAlignment="1">
      <alignment horizontal="center"/>
    </xf>
    <xf numFmtId="43" fontId="45" fillId="20" borderId="0" xfId="0" applyNumberFormat="1" applyFont="1" applyFill="1" applyBorder="1" applyAlignment="1">
      <alignment horizontal="center"/>
    </xf>
    <xf numFmtId="178" fontId="45" fillId="20" borderId="0" xfId="0" applyNumberFormat="1" applyFont="1" applyFill="1" applyBorder="1" applyAlignment="1">
      <alignment horizontal="center"/>
    </xf>
    <xf numFmtId="179" fontId="45" fillId="20" borderId="0" xfId="0" applyNumberFormat="1" applyFont="1" applyFill="1" applyBorder="1" applyAlignment="1">
      <alignment horizontal="right"/>
    </xf>
    <xf numFmtId="38" fontId="3" fillId="20" borderId="9" xfId="19386" applyNumberFormat="1" applyFont="1" applyFill="1" applyBorder="1"/>
    <xf numFmtId="38" fontId="3" fillId="20" borderId="9" xfId="19386" applyNumberFormat="1" applyFont="1" applyFill="1" applyBorder="1" applyAlignment="1">
      <alignment horizontal="center"/>
    </xf>
    <xf numFmtId="173" fontId="3" fillId="20" borderId="0" xfId="0" applyNumberFormat="1" applyFont="1" applyFill="1" applyBorder="1" applyAlignment="1">
      <alignment horizontal="center"/>
    </xf>
    <xf numFmtId="38" fontId="4" fillId="20" borderId="2" xfId="0" applyNumberFormat="1" applyFont="1" applyFill="1" applyBorder="1" applyAlignment="1">
      <alignment horizontal="left" vertical="center"/>
    </xf>
    <xf numFmtId="38" fontId="3" fillId="20" borderId="2" xfId="0" applyNumberFormat="1" applyFont="1" applyFill="1" applyBorder="1" applyAlignment="1">
      <alignment vertical="center"/>
    </xf>
    <xf numFmtId="38" fontId="4" fillId="20" borderId="9" xfId="0" applyNumberFormat="1" applyFont="1" applyFill="1" applyBorder="1" applyAlignment="1">
      <alignment horizontal="left" vertical="center"/>
    </xf>
    <xf numFmtId="38" fontId="3" fillId="20" borderId="9" xfId="0" applyNumberFormat="1" applyFont="1" applyFill="1" applyBorder="1" applyAlignment="1">
      <alignment vertical="center"/>
    </xf>
    <xf numFmtId="0" fontId="3" fillId="23" borderId="0" xfId="0" applyFont="1" applyFill="1" applyBorder="1" applyAlignment="1">
      <alignment horizontal="center"/>
    </xf>
    <xf numFmtId="0" fontId="45" fillId="23" borderId="0" xfId="0" applyFont="1" applyFill="1" applyBorder="1" applyAlignment="1">
      <alignment horizontal="center"/>
    </xf>
    <xf numFmtId="0" fontId="51" fillId="20" borderId="0" xfId="0" applyFont="1" applyFill="1" applyBorder="1" applyAlignment="1">
      <alignment horizontal="centerContinuous" wrapText="1"/>
    </xf>
    <xf numFmtId="176" fontId="46" fillId="20" borderId="0" xfId="0" applyNumberFormat="1" applyFont="1" applyFill="1" applyBorder="1" applyAlignment="1">
      <alignment horizontal="center"/>
    </xf>
    <xf numFmtId="164" fontId="45" fillId="20" borderId="0" xfId="0" applyNumberFormat="1" applyFont="1" applyFill="1" applyBorder="1"/>
    <xf numFmtId="176" fontId="45" fillId="20" borderId="0" xfId="0" applyNumberFormat="1" applyFont="1" applyFill="1" applyBorder="1" applyAlignment="1">
      <alignment horizontal="center" vertical="center"/>
    </xf>
    <xf numFmtId="38" fontId="3" fillId="23" borderId="0" xfId="0" applyNumberFormat="1" applyFont="1" applyFill="1" applyBorder="1" applyAlignment="1">
      <alignment horizontal="center"/>
    </xf>
    <xf numFmtId="0" fontId="3" fillId="23" borderId="0" xfId="0" applyFont="1" applyFill="1" applyBorder="1" applyAlignment="1">
      <alignment horizontal="left"/>
    </xf>
    <xf numFmtId="164" fontId="45" fillId="20" borderId="0" xfId="1" applyNumberFormat="1" applyFont="1" applyFill="1" applyBorder="1" applyAlignment="1">
      <alignment horizontal="right" vertical="center"/>
    </xf>
    <xf numFmtId="164" fontId="45" fillId="20" borderId="0" xfId="0" applyNumberFormat="1" applyFont="1" applyFill="1" applyBorder="1" applyAlignment="1">
      <alignment horizontal="right"/>
    </xf>
    <xf numFmtId="164" fontId="45" fillId="0" borderId="0" xfId="1" applyNumberFormat="1" applyFont="1" applyBorder="1" applyAlignment="1">
      <alignment horizontal="right"/>
    </xf>
    <xf numFmtId="38" fontId="45" fillId="0" borderId="0" xfId="0" applyNumberFormat="1" applyFont="1" applyBorder="1"/>
    <xf numFmtId="164" fontId="45" fillId="0" borderId="0" xfId="0" applyNumberFormat="1" applyFont="1" applyBorder="1"/>
    <xf numFmtId="0" fontId="3" fillId="20" borderId="2" xfId="0" applyFont="1" applyFill="1" applyBorder="1"/>
    <xf numFmtId="43" fontId="3" fillId="20" borderId="2" xfId="0" applyNumberFormat="1" applyFont="1" applyFill="1" applyBorder="1"/>
    <xf numFmtId="38" fontId="3" fillId="20" borderId="2" xfId="0" applyNumberFormat="1" applyFont="1" applyFill="1" applyBorder="1"/>
    <xf numFmtId="164" fontId="3" fillId="20" borderId="2" xfId="0" applyNumberFormat="1" applyFont="1" applyFill="1" applyBorder="1"/>
    <xf numFmtId="164" fontId="3" fillId="20" borderId="2" xfId="0" applyNumberFormat="1" applyFont="1" applyFill="1" applyBorder="1" applyAlignment="1">
      <alignment horizontal="right"/>
    </xf>
    <xf numFmtId="164" fontId="45" fillId="20" borderId="0" xfId="1" applyNumberFormat="1" applyFont="1" applyFill="1" applyBorder="1" applyAlignment="1">
      <alignment horizontal="center"/>
    </xf>
    <xf numFmtId="0" fontId="4" fillId="20" borderId="9" xfId="0" applyFont="1" applyFill="1" applyBorder="1" applyAlignment="1">
      <alignment horizontal="center"/>
    </xf>
    <xf numFmtId="0" fontId="4" fillId="20" borderId="9" xfId="0" applyFont="1" applyFill="1" applyBorder="1" applyAlignment="1">
      <alignment horizontal="left" wrapText="1"/>
    </xf>
    <xf numFmtId="176" fontId="45" fillId="20" borderId="9" xfId="0" applyNumberFormat="1" applyFont="1" applyFill="1" applyBorder="1" applyAlignment="1">
      <alignment horizontal="center"/>
    </xf>
    <xf numFmtId="164" fontId="4" fillId="20" borderId="9" xfId="1" applyNumberFormat="1" applyFont="1" applyFill="1" applyBorder="1" applyAlignment="1">
      <alignment horizontal="center" wrapText="1"/>
    </xf>
    <xf numFmtId="38" fontId="4" fillId="20" borderId="9" xfId="0" applyNumberFormat="1" applyFont="1" applyFill="1" applyBorder="1" applyAlignment="1">
      <alignment horizontal="center" wrapText="1"/>
    </xf>
    <xf numFmtId="38" fontId="4" fillId="20" borderId="9" xfId="0" applyNumberFormat="1" applyFont="1" applyFill="1" applyBorder="1" applyAlignment="1">
      <alignment horizontal="center"/>
    </xf>
    <xf numFmtId="0" fontId="4" fillId="20" borderId="9" xfId="0" applyFont="1" applyFill="1" applyBorder="1" applyAlignment="1">
      <alignment horizontal="left"/>
    </xf>
    <xf numFmtId="164" fontId="46" fillId="20" borderId="9" xfId="1" applyNumberFormat="1" applyFont="1" applyFill="1" applyBorder="1" applyAlignment="1">
      <alignment horizontal="right"/>
    </xf>
    <xf numFmtId="164" fontId="46" fillId="20" borderId="9" xfId="1" applyNumberFormat="1" applyFont="1" applyFill="1" applyBorder="1" applyAlignment="1">
      <alignment horizontal="center"/>
    </xf>
    <xf numFmtId="38" fontId="46" fillId="20" borderId="9" xfId="0" applyNumberFormat="1" applyFont="1" applyFill="1" applyBorder="1" applyAlignment="1">
      <alignment horizontal="center"/>
    </xf>
    <xf numFmtId="164" fontId="46" fillId="20" borderId="2" xfId="1" applyNumberFormat="1" applyFont="1" applyFill="1" applyBorder="1" applyAlignment="1">
      <alignment horizontal="left" wrapText="1"/>
    </xf>
    <xf numFmtId="38" fontId="3" fillId="20" borderId="0" xfId="0" applyNumberFormat="1" applyFont="1" applyFill="1" applyBorder="1" applyAlignment="1">
      <alignment horizontal="center"/>
    </xf>
    <xf numFmtId="10" fontId="45" fillId="20" borderId="2" xfId="3" applyNumberFormat="1" applyFont="1" applyFill="1" applyBorder="1"/>
    <xf numFmtId="164" fontId="45" fillId="20" borderId="2" xfId="1" applyNumberFormat="1" applyFont="1" applyFill="1" applyBorder="1" applyAlignment="1">
      <alignment horizontal="right"/>
    </xf>
    <xf numFmtId="38" fontId="45" fillId="20" borderId="2" xfId="0" applyNumberFormat="1" applyFont="1" applyFill="1" applyBorder="1"/>
    <xf numFmtId="164" fontId="45" fillId="20" borderId="2" xfId="0" applyNumberFormat="1" applyFont="1" applyFill="1" applyBorder="1" applyAlignment="1">
      <alignment horizontal="right"/>
    </xf>
    <xf numFmtId="0" fontId="64" fillId="0" borderId="0" xfId="0" applyFont="1" applyBorder="1" applyAlignment="1">
      <alignment vertical="center" wrapText="1"/>
    </xf>
    <xf numFmtId="0" fontId="0" fillId="0" borderId="0" xfId="0" applyBorder="1" applyAlignment="1">
      <alignment wrapText="1"/>
    </xf>
    <xf numFmtId="0" fontId="3" fillId="20" borderId="0" xfId="38578" applyNumberFormat="1" applyFont="1" applyFill="1" applyBorder="1" applyAlignment="1">
      <alignment horizontal="center" vertical="top"/>
    </xf>
    <xf numFmtId="0" fontId="49" fillId="20" borderId="14" xfId="0" applyFont="1" applyFill="1" applyBorder="1" applyAlignment="1">
      <alignment horizontal="left" vertical="top" wrapText="1"/>
    </xf>
    <xf numFmtId="0" fontId="49" fillId="20" borderId="14" xfId="0" applyFont="1" applyFill="1" applyBorder="1" applyAlignment="1">
      <alignment horizontal="center" vertical="top"/>
    </xf>
    <xf numFmtId="0" fontId="49" fillId="20" borderId="14" xfId="0" applyFont="1" applyFill="1" applyBorder="1" applyAlignment="1">
      <alignment horizontal="left" vertical="top"/>
    </xf>
    <xf numFmtId="0" fontId="49" fillId="20" borderId="0" xfId="0" applyFont="1" applyFill="1" applyAlignment="1">
      <alignment horizontal="left" vertical="top" wrapText="1"/>
    </xf>
    <xf numFmtId="0" fontId="49" fillId="20" borderId="0" xfId="0" applyFont="1" applyFill="1" applyAlignment="1">
      <alignment vertical="top"/>
    </xf>
    <xf numFmtId="0" fontId="49" fillId="20" borderId="0" xfId="0" applyFont="1" applyFill="1" applyAlignment="1">
      <alignment horizontal="center" vertical="top"/>
    </xf>
    <xf numFmtId="49" fontId="49" fillId="20" borderId="0" xfId="0" applyNumberFormat="1" applyFont="1" applyFill="1" applyAlignment="1">
      <alignment horizontal="center" vertical="top" wrapText="1"/>
    </xf>
    <xf numFmtId="49" fontId="49" fillId="20" borderId="0" xfId="0" applyNumberFormat="1" applyFont="1" applyFill="1" applyAlignment="1">
      <alignment horizontal="center" vertical="top"/>
    </xf>
    <xf numFmtId="0" fontId="49" fillId="20" borderId="19" xfId="0" applyFont="1" applyFill="1" applyBorder="1" applyAlignment="1">
      <alignment horizontal="left" vertical="top"/>
    </xf>
    <xf numFmtId="0" fontId="49" fillId="20" borderId="20" xfId="0" applyFont="1" applyFill="1" applyBorder="1" applyAlignment="1">
      <alignment horizontal="left" vertical="top"/>
    </xf>
    <xf numFmtId="0" fontId="49" fillId="20" borderId="20" xfId="0" applyFont="1" applyFill="1" applyBorder="1" applyAlignment="1">
      <alignment horizontal="left" vertical="top" wrapText="1"/>
    </xf>
    <xf numFmtId="0" fontId="49" fillId="20" borderId="20" xfId="0" applyFont="1" applyFill="1" applyBorder="1" applyAlignment="1">
      <alignment vertical="top"/>
    </xf>
    <xf numFmtId="0" fontId="50" fillId="20" borderId="13" xfId="0" applyFont="1" applyFill="1" applyBorder="1" applyAlignment="1">
      <alignment horizontal="center" vertical="center" wrapText="1" readingOrder="1"/>
    </xf>
    <xf numFmtId="0" fontId="50" fillId="20" borderId="0" xfId="0" applyFont="1" applyFill="1" applyAlignment="1">
      <alignment horizontal="center" vertical="center" wrapText="1" readingOrder="1"/>
    </xf>
    <xf numFmtId="0" fontId="50" fillId="20" borderId="5" xfId="0" applyFont="1" applyFill="1" applyBorder="1" applyAlignment="1">
      <alignment horizontal="center" vertical="center" wrapText="1"/>
    </xf>
    <xf numFmtId="0" fontId="50" fillId="20" borderId="0" xfId="0" applyFont="1" applyFill="1" applyAlignment="1">
      <alignment horizontal="center" vertical="top" wrapText="1" readingOrder="1"/>
    </xf>
    <xf numFmtId="0" fontId="50" fillId="20" borderId="8" xfId="0" applyFont="1" applyFill="1" applyBorder="1" applyAlignment="1">
      <alignment horizontal="center" vertical="top" wrapText="1" readingOrder="1"/>
    </xf>
    <xf numFmtId="0" fontId="50" fillId="20" borderId="12" xfId="0" applyFont="1" applyFill="1" applyBorder="1" applyAlignment="1">
      <alignment horizontal="center" vertical="top" wrapText="1" readingOrder="1"/>
    </xf>
    <xf numFmtId="0" fontId="50" fillId="0" borderId="0" xfId="0" applyFont="1" applyAlignment="1">
      <alignment horizontal="center" vertical="center" wrapText="1" readingOrder="1"/>
    </xf>
    <xf numFmtId="0" fontId="49" fillId="0" borderId="0" xfId="0" applyFont="1" applyAlignment="1">
      <alignment horizontal="center" vertical="top" readingOrder="1"/>
    </xf>
    <xf numFmtId="0" fontId="50" fillId="0" borderId="0" xfId="0" applyFont="1" applyAlignment="1">
      <alignment horizontal="left" vertical="top" wrapText="1"/>
    </xf>
    <xf numFmtId="0" fontId="50" fillId="0" borderId="0" xfId="0" applyFont="1" applyAlignment="1">
      <alignment vertical="top" wrapText="1"/>
    </xf>
    <xf numFmtId="0" fontId="50" fillId="0" borderId="8" xfId="0" applyFont="1" applyBorder="1" applyAlignment="1">
      <alignment horizontal="center" vertical="top" wrapText="1"/>
    </xf>
    <xf numFmtId="0" fontId="50" fillId="0" borderId="12" xfId="0" applyFont="1" applyBorder="1" applyAlignment="1">
      <alignment vertical="top" wrapText="1"/>
    </xf>
    <xf numFmtId="0" fontId="49" fillId="0" borderId="8" xfId="0" applyFont="1" applyBorder="1" applyAlignment="1">
      <alignment horizontal="left" vertical="top"/>
    </xf>
    <xf numFmtId="167" fontId="49" fillId="0" borderId="8" xfId="2" applyNumberFormat="1" applyFont="1" applyFill="1" applyBorder="1" applyAlignment="1">
      <alignment horizontal="left" vertical="top"/>
    </xf>
    <xf numFmtId="0" fontId="49" fillId="0" borderId="0" xfId="0" applyFont="1" applyAlignment="1">
      <alignment horizontal="left" vertical="top" wrapText="1"/>
    </xf>
    <xf numFmtId="0" fontId="49" fillId="0" borderId="0" xfId="0" applyFont="1" applyAlignment="1">
      <alignment vertical="top" wrapText="1"/>
    </xf>
    <xf numFmtId="0" fontId="49" fillId="0" borderId="8" xfId="0" applyFont="1" applyBorder="1" applyAlignment="1">
      <alignment horizontal="center" vertical="top" wrapText="1"/>
    </xf>
    <xf numFmtId="0" fontId="49" fillId="0" borderId="12" xfId="0" applyFont="1" applyBorder="1" applyAlignment="1">
      <alignment vertical="top" wrapText="1"/>
    </xf>
    <xf numFmtId="0" fontId="49" fillId="0" borderId="8" xfId="0" applyFont="1" applyBorder="1" applyAlignment="1">
      <alignment horizontal="center" vertical="top"/>
    </xf>
    <xf numFmtId="0" fontId="49" fillId="0" borderId="0" xfId="0" applyFont="1" applyAlignment="1">
      <alignment horizontal="center" vertical="top"/>
    </xf>
    <xf numFmtId="0" fontId="49" fillId="0" borderId="8" xfId="0" applyFont="1" applyBorder="1" applyAlignment="1">
      <alignment horizontal="left" vertical="top" wrapText="1"/>
    </xf>
    <xf numFmtId="167" fontId="49" fillId="0" borderId="8" xfId="2" applyNumberFormat="1" applyFont="1" applyFill="1" applyBorder="1" applyAlignment="1">
      <alignment horizontal="left" vertical="top" wrapText="1"/>
    </xf>
    <xf numFmtId="175" fontId="49" fillId="0" borderId="12" xfId="0" applyNumberFormat="1" applyFont="1" applyBorder="1" applyAlignment="1">
      <alignment vertical="top" wrapText="1"/>
    </xf>
    <xf numFmtId="0" fontId="49" fillId="0" borderId="16" xfId="0" applyFont="1" applyBorder="1" applyAlignment="1">
      <alignment horizontal="center" vertical="top"/>
    </xf>
    <xf numFmtId="0" fontId="49" fillId="28" borderId="0" xfId="0" applyFont="1" applyFill="1" applyAlignment="1">
      <alignment vertical="top" wrapText="1"/>
    </xf>
    <xf numFmtId="0" fontId="49" fillId="28" borderId="12" xfId="0" applyFont="1" applyFill="1" applyBorder="1" applyAlignment="1">
      <alignment vertical="top" wrapText="1"/>
    </xf>
    <xf numFmtId="0" fontId="49" fillId="0" borderId="18" xfId="0" applyFont="1" applyBorder="1" applyAlignment="1">
      <alignment vertical="top" wrapText="1"/>
    </xf>
    <xf numFmtId="175" fontId="49" fillId="0" borderId="18" xfId="0" applyNumberFormat="1" applyFont="1" applyBorder="1" applyAlignment="1">
      <alignment vertical="top" wrapText="1"/>
    </xf>
    <xf numFmtId="0" fontId="50" fillId="0" borderId="0" xfId="0" applyFont="1" applyAlignment="1">
      <alignment wrapText="1"/>
    </xf>
    <xf numFmtId="0" fontId="49" fillId="0" borderId="0" xfId="0" applyFont="1" applyAlignment="1">
      <alignment wrapText="1"/>
    </xf>
    <xf numFmtId="38" fontId="49" fillId="0" borderId="0" xfId="0" applyNumberFormat="1" applyFont="1"/>
    <xf numFmtId="38" fontId="49" fillId="0" borderId="0" xfId="0" applyNumberFormat="1" applyFont="1" applyAlignment="1">
      <alignment vertical="top"/>
    </xf>
    <xf numFmtId="38" fontId="49" fillId="0" borderId="0" xfId="0" applyNumberFormat="1" applyFont="1" applyAlignment="1">
      <alignment wrapText="1"/>
    </xf>
    <xf numFmtId="167" fontId="49" fillId="0" borderId="12" xfId="2" applyNumberFormat="1" applyFont="1" applyFill="1" applyBorder="1" applyAlignment="1">
      <alignment vertical="top" wrapText="1"/>
    </xf>
    <xf numFmtId="167" fontId="49" fillId="0" borderId="8" xfId="0" applyNumberFormat="1" applyFont="1" applyBorder="1" applyAlignment="1">
      <alignment horizontal="left" vertical="top"/>
    </xf>
    <xf numFmtId="0" fontId="50" fillId="20" borderId="0" xfId="0" applyFont="1" applyFill="1" applyAlignment="1">
      <alignment horizontal="left" vertical="top"/>
    </xf>
    <xf numFmtId="0" fontId="49" fillId="20" borderId="0" xfId="0" applyFont="1" applyFill="1" applyAlignment="1">
      <alignment vertical="top" wrapText="1"/>
    </xf>
    <xf numFmtId="0" fontId="49" fillId="20" borderId="13" xfId="0" applyFont="1" applyFill="1" applyBorder="1"/>
    <xf numFmtId="0" fontId="49" fillId="20" borderId="11" xfId="0" applyFont="1" applyFill="1" applyBorder="1" applyAlignment="1">
      <alignment horizontal="left" vertical="top"/>
    </xf>
    <xf numFmtId="38" fontId="3" fillId="20" borderId="17" xfId="42319" applyFont="1" applyFill="1" applyBorder="1"/>
    <xf numFmtId="0" fontId="45" fillId="20" borderId="17" xfId="0" applyFont="1" applyFill="1" applyBorder="1"/>
    <xf numFmtId="0" fontId="0" fillId="20" borderId="0" xfId="0" applyFill="1" applyBorder="1" applyAlignment="1">
      <alignment horizontal="left"/>
    </xf>
    <xf numFmtId="0" fontId="0" fillId="20" borderId="0" xfId="0" applyFill="1" applyBorder="1" applyAlignment="1">
      <alignment horizontal="center"/>
    </xf>
    <xf numFmtId="0" fontId="2" fillId="20" borderId="9" xfId="0" applyFont="1" applyFill="1" applyBorder="1" applyAlignment="1">
      <alignment horizontal="center"/>
    </xf>
    <xf numFmtId="14" fontId="0" fillId="20" borderId="0" xfId="0" applyNumberFormat="1" applyFill="1" applyBorder="1"/>
    <xf numFmtId="167" fontId="1" fillId="20" borderId="0" xfId="2" applyNumberFormat="1" applyFont="1" applyFill="1" applyBorder="1"/>
    <xf numFmtId="167" fontId="0" fillId="20" borderId="0" xfId="2" applyNumberFormat="1" applyFont="1" applyFill="1" applyBorder="1"/>
    <xf numFmtId="44" fontId="1" fillId="20" borderId="0" xfId="2" applyFont="1" applyFill="1" applyBorder="1"/>
    <xf numFmtId="167" fontId="2" fillId="20" borderId="9" xfId="2" applyNumberFormat="1" applyFont="1" applyFill="1" applyBorder="1" applyAlignment="1">
      <alignment horizontal="center"/>
    </xf>
    <xf numFmtId="0" fontId="2" fillId="20" borderId="0" xfId="0" applyFont="1" applyFill="1" applyBorder="1" applyAlignment="1">
      <alignment vertical="top" wrapText="1"/>
    </xf>
    <xf numFmtId="0" fontId="49" fillId="20" borderId="0" xfId="0" applyFont="1" applyFill="1" applyBorder="1" applyAlignment="1">
      <alignment horizontal="centerContinuous" wrapText="1"/>
    </xf>
    <xf numFmtId="10" fontId="49" fillId="20" borderId="0" xfId="3" applyNumberFormat="1" applyFont="1" applyFill="1" applyBorder="1" applyAlignment="1">
      <alignment horizontal="centerContinuous" wrapText="1"/>
    </xf>
    <xf numFmtId="0" fontId="49" fillId="20" borderId="0" xfId="0" applyFont="1" applyFill="1" applyBorder="1" applyAlignment="1">
      <alignment horizontal="center" wrapText="1"/>
    </xf>
    <xf numFmtId="0" fontId="52" fillId="20" borderId="0" xfId="0" applyFont="1" applyFill="1" applyBorder="1"/>
    <xf numFmtId="38" fontId="52" fillId="20" borderId="0" xfId="0" applyNumberFormat="1" applyFont="1" applyFill="1" applyBorder="1"/>
    <xf numFmtId="3" fontId="52" fillId="20" borderId="0" xfId="0" applyNumberFormat="1" applyFont="1" applyFill="1" applyBorder="1"/>
    <xf numFmtId="10" fontId="49" fillId="20" borderId="0" xfId="3" applyNumberFormat="1" applyFont="1" applyFill="1" applyBorder="1" applyAlignment="1">
      <alignment horizontal="right"/>
    </xf>
    <xf numFmtId="164" fontId="49" fillId="20" borderId="0" xfId="1" applyNumberFormat="1" applyFont="1" applyFill="1" applyBorder="1"/>
    <xf numFmtId="164" fontId="49" fillId="20" borderId="0" xfId="1" applyNumberFormat="1" applyFont="1" applyFill="1" applyBorder="1" applyAlignment="1">
      <alignment horizontal="right"/>
    </xf>
    <xf numFmtId="10" fontId="49" fillId="20" borderId="0" xfId="3" applyNumberFormat="1" applyFont="1" applyFill="1" applyBorder="1"/>
    <xf numFmtId="164" fontId="52" fillId="20" borderId="0" xfId="0" applyNumberFormat="1" applyFont="1" applyFill="1" applyBorder="1"/>
    <xf numFmtId="0" fontId="50" fillId="20" borderId="0" xfId="0" applyFont="1" applyFill="1" applyBorder="1" applyAlignment="1">
      <alignment horizontal="center"/>
    </xf>
    <xf numFmtId="0" fontId="49" fillId="20" borderId="0" xfId="0" applyFont="1" applyFill="1" applyBorder="1" applyAlignment="1">
      <alignment horizontal="left"/>
    </xf>
    <xf numFmtId="5" fontId="49" fillId="20" borderId="0" xfId="0" applyNumberFormat="1" applyFont="1" applyFill="1" applyBorder="1" applyAlignment="1">
      <alignment horizontal="center"/>
    </xf>
    <xf numFmtId="164" fontId="49" fillId="20" borderId="0" xfId="2" applyNumberFormat="1" applyFont="1" applyFill="1" applyBorder="1" applyAlignment="1">
      <alignment horizontal="right"/>
    </xf>
    <xf numFmtId="176" fontId="0" fillId="20" borderId="0" xfId="0" applyNumberFormat="1" applyFill="1" applyBorder="1" applyAlignment="1">
      <alignment horizontal="center"/>
    </xf>
    <xf numFmtId="0" fontId="46" fillId="20" borderId="0" xfId="0" applyFont="1" applyFill="1" applyBorder="1" applyAlignment="1">
      <alignment horizontal="center" vertical="center" wrapText="1"/>
    </xf>
    <xf numFmtId="167" fontId="45" fillId="20" borderId="0" xfId="2" applyNumberFormat="1" applyFont="1" applyFill="1" applyBorder="1"/>
    <xf numFmtId="42" fontId="45" fillId="20" borderId="0" xfId="0" applyNumberFormat="1" applyFont="1" applyFill="1" applyBorder="1"/>
    <xf numFmtId="42" fontId="46" fillId="20" borderId="0" xfId="0" applyNumberFormat="1" applyFont="1" applyFill="1" applyBorder="1"/>
    <xf numFmtId="42" fontId="45" fillId="22" borderId="0" xfId="0" applyNumberFormat="1" applyFont="1" applyFill="1" applyBorder="1"/>
    <xf numFmtId="0" fontId="45" fillId="20" borderId="6" xfId="0" applyFont="1" applyFill="1" applyBorder="1" applyAlignment="1">
      <alignment horizontal="center"/>
    </xf>
    <xf numFmtId="0" fontId="46" fillId="20" borderId="6" xfId="0" applyFont="1" applyFill="1" applyBorder="1" applyAlignment="1">
      <alignment horizontal="center"/>
    </xf>
    <xf numFmtId="0" fontId="46" fillId="23" borderId="6" xfId="0" applyFont="1" applyFill="1" applyBorder="1" applyAlignment="1">
      <alignment wrapText="1"/>
    </xf>
    <xf numFmtId="0" fontId="46" fillId="20" borderId="6" xfId="0" applyFont="1" applyFill="1" applyBorder="1" applyAlignment="1">
      <alignment horizontal="center" vertical="center"/>
    </xf>
    <xf numFmtId="42" fontId="46" fillId="26" borderId="2" xfId="0" applyNumberFormat="1" applyFont="1" applyFill="1" applyBorder="1"/>
    <xf numFmtId="42" fontId="46" fillId="27" borderId="2" xfId="0" applyNumberFormat="1" applyFont="1" applyFill="1" applyBorder="1"/>
    <xf numFmtId="0" fontId="4" fillId="20" borderId="6" xfId="38578" applyFont="1" applyFill="1" applyBorder="1"/>
    <xf numFmtId="42" fontId="45" fillId="20" borderId="6" xfId="0" applyNumberFormat="1" applyFont="1" applyFill="1" applyBorder="1" applyAlignment="1">
      <alignment horizontal="center" wrapText="1"/>
    </xf>
    <xf numFmtId="0" fontId="0" fillId="20" borderId="0" xfId="0" applyFill="1" applyBorder="1" applyAlignment="1">
      <alignment wrapText="1"/>
    </xf>
    <xf numFmtId="171" fontId="1" fillId="20" borderId="0" xfId="2" applyNumberFormat="1" applyFont="1" applyFill="1" applyBorder="1"/>
    <xf numFmtId="0" fontId="0" fillId="20" borderId="9" xfId="0" applyFill="1" applyBorder="1"/>
    <xf numFmtId="0" fontId="48" fillId="0" borderId="0" xfId="0" applyFont="1" applyBorder="1"/>
    <xf numFmtId="0" fontId="52" fillId="20" borderId="0" xfId="0" applyFont="1" applyFill="1" applyBorder="1" applyAlignment="1">
      <alignment horizontal="center"/>
    </xf>
    <xf numFmtId="10" fontId="48" fillId="0" borderId="0" xfId="3" applyNumberFormat="1" applyFont="1" applyBorder="1"/>
    <xf numFmtId="37" fontId="0" fillId="0" borderId="0" xfId="0" applyNumberFormat="1" applyFill="1" applyBorder="1"/>
    <xf numFmtId="164" fontId="0" fillId="0" borderId="0" xfId="0" applyNumberFormat="1" applyFill="1" applyBorder="1"/>
    <xf numFmtId="164" fontId="0" fillId="0" borderId="0" xfId="0" applyNumberFormat="1" applyBorder="1"/>
    <xf numFmtId="37" fontId="0" fillId="0" borderId="0" xfId="0" applyNumberFormat="1" applyBorder="1"/>
    <xf numFmtId="0" fontId="3" fillId="20" borderId="9" xfId="38578" applyFont="1" applyFill="1" applyBorder="1" applyAlignment="1">
      <alignment horizontal="center"/>
    </xf>
    <xf numFmtId="176" fontId="3" fillId="20" borderId="9" xfId="38578" applyNumberFormat="1" applyFont="1" applyFill="1" applyBorder="1" applyAlignment="1">
      <alignment horizontal="center"/>
    </xf>
    <xf numFmtId="164" fontId="46" fillId="20" borderId="21" xfId="0" applyNumberFormat="1" applyFont="1" applyFill="1" applyBorder="1" applyAlignment="1">
      <alignment horizontal="center" wrapText="1"/>
    </xf>
    <xf numFmtId="14" fontId="45" fillId="0" borderId="0" xfId="1" applyNumberFormat="1" applyFont="1" applyBorder="1" applyAlignment="1">
      <alignment horizontal="right"/>
    </xf>
    <xf numFmtId="38" fontId="69" fillId="20" borderId="9" xfId="42319" applyFont="1" applyFill="1" applyBorder="1" applyAlignment="1">
      <alignment horizontal="center"/>
    </xf>
    <xf numFmtId="38" fontId="69" fillId="20" borderId="0" xfId="42319" applyFont="1" applyFill="1" applyBorder="1" applyAlignment="1">
      <alignment horizontal="center"/>
    </xf>
    <xf numFmtId="171" fontId="69" fillId="20" borderId="0" xfId="42319" applyNumberFormat="1" applyFont="1" applyFill="1" applyBorder="1" applyAlignment="1">
      <alignment horizontal="center"/>
    </xf>
    <xf numFmtId="38" fontId="69" fillId="20" borderId="9" xfId="19386" applyNumberFormat="1" applyFont="1" applyFill="1" applyBorder="1" applyAlignment="1">
      <alignment horizontal="center"/>
    </xf>
    <xf numFmtId="171" fontId="69" fillId="20" borderId="4" xfId="42319" applyNumberFormat="1" applyFont="1" applyFill="1" applyBorder="1" applyAlignment="1">
      <alignment horizontal="center"/>
    </xf>
    <xf numFmtId="171" fontId="69" fillId="20" borderId="9" xfId="42319" applyNumberFormat="1" applyFont="1" applyFill="1" applyBorder="1" applyAlignment="1">
      <alignment horizontal="center"/>
    </xf>
    <xf numFmtId="38" fontId="69" fillId="20" borderId="0" xfId="42319" applyFont="1" applyFill="1" applyAlignment="1">
      <alignment horizontal="center"/>
    </xf>
    <xf numFmtId="38" fontId="69" fillId="20" borderId="9" xfId="0" applyNumberFormat="1" applyFont="1" applyFill="1" applyBorder="1" applyAlignment="1">
      <alignment horizontal="center"/>
    </xf>
    <xf numFmtId="3" fontId="69" fillId="20" borderId="9" xfId="0" applyNumberFormat="1" applyFont="1" applyFill="1" applyBorder="1" applyAlignment="1">
      <alignment horizontal="center"/>
    </xf>
    <xf numFmtId="3" fontId="69" fillId="20" borderId="9" xfId="0" applyNumberFormat="1" applyFont="1" applyFill="1" applyBorder="1" applyAlignment="1">
      <alignment horizontal="centerContinuous"/>
    </xf>
    <xf numFmtId="38" fontId="69" fillId="20" borderId="9" xfId="42319" applyFont="1" applyFill="1" applyBorder="1"/>
    <xf numFmtId="0" fontId="70" fillId="20" borderId="9" xfId="0" applyFont="1" applyFill="1" applyBorder="1" applyAlignment="1">
      <alignment horizontal="center"/>
    </xf>
    <xf numFmtId="0" fontId="70" fillId="20" borderId="20" xfId="0" applyFont="1" applyFill="1" applyBorder="1" applyAlignment="1">
      <alignment horizontal="center"/>
    </xf>
    <xf numFmtId="38" fontId="69" fillId="20" borderId="0" xfId="42319" applyFont="1" applyFill="1" applyBorder="1"/>
    <xf numFmtId="3" fontId="69" fillId="20" borderId="0" xfId="19386" applyNumberFormat="1" applyFont="1" applyFill="1" applyBorder="1"/>
    <xf numFmtId="0" fontId="70" fillId="20" borderId="0" xfId="0" applyFont="1" applyFill="1" applyBorder="1"/>
    <xf numFmtId="38" fontId="69" fillId="20" borderId="0" xfId="0" applyNumberFormat="1" applyFont="1" applyFill="1" applyBorder="1" applyAlignment="1">
      <alignment horizontal="left" vertical="center"/>
    </xf>
    <xf numFmtId="3" fontId="69" fillId="20" borderId="0" xfId="0" applyNumberFormat="1" applyFont="1" applyFill="1" applyBorder="1"/>
    <xf numFmtId="0" fontId="70" fillId="20" borderId="0" xfId="0" applyFont="1" applyFill="1" applyBorder="1" applyAlignment="1">
      <alignment vertical="top"/>
    </xf>
    <xf numFmtId="0" fontId="69" fillId="0" borderId="0" xfId="0" applyFont="1" applyFill="1" applyBorder="1" applyAlignment="1">
      <alignment horizontal="left"/>
    </xf>
    <xf numFmtId="0" fontId="3" fillId="20" borderId="0" xfId="38578" applyFont="1" applyFill="1" applyAlignment="1">
      <alignment horizontal="left"/>
    </xf>
    <xf numFmtId="38" fontId="45" fillId="20" borderId="0" xfId="0" applyNumberFormat="1" applyFont="1" applyFill="1"/>
    <xf numFmtId="164" fontId="45" fillId="20" borderId="0" xfId="0" applyNumberFormat="1" applyFont="1" applyFill="1"/>
    <xf numFmtId="176" fontId="45" fillId="20" borderId="0" xfId="0" applyNumberFormat="1" applyFont="1" applyFill="1" applyAlignment="1">
      <alignment horizontal="center"/>
    </xf>
    <xf numFmtId="176" fontId="45" fillId="20" borderId="0" xfId="0" applyNumberFormat="1" applyFont="1" applyFill="1" applyAlignment="1">
      <alignment horizontal="center" vertical="center"/>
    </xf>
    <xf numFmtId="0" fontId="45" fillId="23" borderId="0" xfId="0" applyFont="1" applyFill="1" applyAlignment="1">
      <alignment horizontal="center"/>
    </xf>
    <xf numFmtId="38" fontId="3" fillId="23" borderId="0" xfId="0" applyNumberFormat="1" applyFont="1" applyFill="1" applyAlignment="1">
      <alignment horizontal="center"/>
    </xf>
    <xf numFmtId="0" fontId="3" fillId="23" borderId="0" xfId="0" applyFont="1" applyFill="1" applyAlignment="1">
      <alignment horizontal="left"/>
    </xf>
    <xf numFmtId="10" fontId="45" fillId="20" borderId="0" xfId="3" applyNumberFormat="1" applyFont="1" applyFill="1" applyBorder="1" applyAlignment="1">
      <alignment horizontal="center"/>
    </xf>
    <xf numFmtId="0" fontId="3" fillId="23" borderId="9" xfId="0" applyFont="1" applyFill="1" applyBorder="1" applyAlignment="1">
      <alignment horizontal="left"/>
    </xf>
    <xf numFmtId="10" fontId="45" fillId="20" borderId="9" xfId="3" applyNumberFormat="1" applyFont="1" applyFill="1" applyBorder="1" applyAlignment="1">
      <alignment horizontal="center"/>
    </xf>
    <xf numFmtId="0" fontId="3" fillId="23" borderId="2" xfId="0" applyFont="1" applyFill="1" applyBorder="1" applyAlignment="1">
      <alignment horizontal="left"/>
    </xf>
    <xf numFmtId="176" fontId="45" fillId="20" borderId="2" xfId="0" applyNumberFormat="1" applyFont="1" applyFill="1" applyBorder="1" applyAlignment="1">
      <alignment horizontal="center"/>
    </xf>
    <xf numFmtId="164" fontId="3" fillId="20" borderId="2" xfId="1" applyNumberFormat="1" applyFont="1" applyFill="1" applyBorder="1" applyAlignment="1">
      <alignment horizontal="center" wrapText="1"/>
    </xf>
    <xf numFmtId="10" fontId="45" fillId="20" borderId="2" xfId="3" applyNumberFormat="1" applyFont="1" applyFill="1" applyBorder="1" applyAlignment="1">
      <alignment horizontal="center"/>
    </xf>
    <xf numFmtId="0" fontId="3" fillId="0" borderId="0" xfId="0" applyFont="1"/>
    <xf numFmtId="0" fontId="3" fillId="0" borderId="0" xfId="0" applyFont="1" applyAlignment="1">
      <alignment horizontal="center"/>
    </xf>
    <xf numFmtId="38" fontId="3" fillId="0" borderId="0" xfId="0" applyNumberFormat="1" applyFont="1" applyAlignment="1">
      <alignment horizontal="center"/>
    </xf>
    <xf numFmtId="38" fontId="45" fillId="0" borderId="0" xfId="0" applyNumberFormat="1" applyFont="1"/>
    <xf numFmtId="164" fontId="45" fillId="0" borderId="0" xfId="0" applyNumberFormat="1" applyFont="1"/>
    <xf numFmtId="49" fontId="54" fillId="21" borderId="0" xfId="19632" applyNumberFormat="1" applyFont="1" applyFill="1" applyAlignment="1">
      <alignment horizontal="left"/>
    </xf>
    <xf numFmtId="0" fontId="45" fillId="20" borderId="0" xfId="0" applyFont="1" applyFill="1" applyAlignment="1">
      <alignment horizontal="center"/>
    </xf>
    <xf numFmtId="49" fontId="54" fillId="32" borderId="0" xfId="19632" applyNumberFormat="1" applyFont="1" applyFill="1" applyAlignment="1">
      <alignment horizontal="left"/>
    </xf>
    <xf numFmtId="37" fontId="45" fillId="20" borderId="0" xfId="0" applyNumberFormat="1" applyFont="1" applyFill="1"/>
    <xf numFmtId="0" fontId="45" fillId="29" borderId="0" xfId="0" applyFont="1" applyFill="1"/>
    <xf numFmtId="0" fontId="45" fillId="31" borderId="0" xfId="0" applyFont="1" applyFill="1"/>
    <xf numFmtId="0" fontId="45" fillId="30" borderId="0" xfId="0" applyFont="1" applyFill="1"/>
    <xf numFmtId="0" fontId="45" fillId="0" borderId="9" xfId="0" applyFont="1" applyBorder="1"/>
    <xf numFmtId="10" fontId="45" fillId="20" borderId="0" xfId="3" applyNumberFormat="1" applyFont="1" applyFill="1" applyAlignment="1">
      <alignment horizontal="center"/>
    </xf>
    <xf numFmtId="38" fontId="3" fillId="20" borderId="0" xfId="0" applyNumberFormat="1" applyFont="1" applyFill="1" applyAlignment="1">
      <alignment horizontal="center"/>
    </xf>
    <xf numFmtId="176" fontId="46" fillId="20" borderId="9" xfId="0" applyNumberFormat="1" applyFont="1" applyFill="1" applyBorder="1" applyAlignment="1">
      <alignment horizontal="center"/>
    </xf>
    <xf numFmtId="164" fontId="3" fillId="0" borderId="0" xfId="1" applyNumberFormat="1" applyFont="1" applyFill="1" applyBorder="1" applyAlignment="1">
      <alignment horizontal="center" wrapText="1"/>
    </xf>
    <xf numFmtId="171" fontId="45" fillId="20" borderId="0" xfId="0" applyNumberFormat="1" applyFont="1" applyFill="1"/>
    <xf numFmtId="171" fontId="45" fillId="20" borderId="2" xfId="0" applyNumberFormat="1" applyFont="1" applyFill="1" applyBorder="1"/>
    <xf numFmtId="164" fontId="3" fillId="20" borderId="0" xfId="1" applyNumberFormat="1" applyFont="1" applyFill="1" applyAlignment="1">
      <alignment horizontal="center" wrapText="1"/>
    </xf>
    <xf numFmtId="0" fontId="46" fillId="20" borderId="0" xfId="0" applyFont="1" applyFill="1" applyAlignment="1">
      <alignment horizontal="center" wrapText="1"/>
    </xf>
    <xf numFmtId="0" fontId="4" fillId="20" borderId="0" xfId="0" applyFont="1" applyFill="1" applyBorder="1" applyAlignment="1">
      <alignment horizontal="center"/>
    </xf>
    <xf numFmtId="0" fontId="45" fillId="20" borderId="0" xfId="0" quotePrefix="1" applyFont="1" applyFill="1"/>
    <xf numFmtId="0" fontId="46" fillId="29" borderId="9" xfId="0" applyFont="1" applyFill="1" applyBorder="1" applyAlignment="1">
      <alignment wrapText="1"/>
    </xf>
    <xf numFmtId="0" fontId="46" fillId="30" borderId="9" xfId="0" applyFont="1" applyFill="1" applyBorder="1" applyAlignment="1">
      <alignment wrapText="1"/>
    </xf>
    <xf numFmtId="0" fontId="46" fillId="31" borderId="9" xfId="0" applyFont="1" applyFill="1" applyBorder="1" applyAlignment="1">
      <alignment wrapText="1"/>
    </xf>
    <xf numFmtId="164" fontId="3" fillId="23" borderId="0" xfId="1" applyNumberFormat="1" applyFont="1" applyFill="1" applyAlignment="1">
      <alignment horizontal="right"/>
    </xf>
    <xf numFmtId="0" fontId="0" fillId="20" borderId="0" xfId="0" applyFill="1"/>
    <xf numFmtId="164" fontId="45" fillId="20" borderId="4" xfId="0" applyNumberFormat="1" applyFont="1" applyFill="1" applyBorder="1"/>
    <xf numFmtId="10" fontId="45" fillId="20" borderId="0" xfId="3" applyNumberFormat="1" applyFont="1" applyFill="1"/>
    <xf numFmtId="10" fontId="45" fillId="20" borderId="0" xfId="3" applyNumberFormat="1" applyFont="1" applyFill="1" applyBorder="1"/>
    <xf numFmtId="180" fontId="45" fillId="20" borderId="0" xfId="0" applyNumberFormat="1" applyFont="1" applyFill="1" applyAlignment="1">
      <alignment horizontal="center"/>
    </xf>
    <xf numFmtId="180" fontId="45" fillId="20" borderId="9" xfId="0" applyNumberFormat="1" applyFont="1" applyFill="1" applyBorder="1" applyAlignment="1">
      <alignment horizontal="center"/>
    </xf>
    <xf numFmtId="180" fontId="45" fillId="20" borderId="2" xfId="0" applyNumberFormat="1" applyFont="1" applyFill="1" applyBorder="1" applyAlignment="1">
      <alignment horizontal="center"/>
    </xf>
    <xf numFmtId="164" fontId="46" fillId="20" borderId="0" xfId="1" applyNumberFormat="1" applyFont="1" applyFill="1" applyBorder="1" applyAlignment="1">
      <alignment horizontal="left" wrapText="1"/>
    </xf>
    <xf numFmtId="164" fontId="4" fillId="20" borderId="0" xfId="1" applyNumberFormat="1" applyFont="1" applyFill="1" applyBorder="1" applyAlignment="1">
      <alignment horizontal="center" wrapText="1"/>
    </xf>
    <xf numFmtId="164" fontId="3" fillId="20" borderId="9" xfId="1" applyNumberFormat="1" applyFont="1" applyFill="1" applyBorder="1" applyAlignment="1">
      <alignment horizontal="center" wrapText="1"/>
    </xf>
    <xf numFmtId="164" fontId="45" fillId="29" borderId="2" xfId="1" applyNumberFormat="1" applyFont="1" applyFill="1" applyBorder="1"/>
    <xf numFmtId="164" fontId="45" fillId="30" borderId="2" xfId="1" applyNumberFormat="1" applyFont="1" applyFill="1" applyBorder="1"/>
    <xf numFmtId="164" fontId="45" fillId="31" borderId="2" xfId="1" applyNumberFormat="1" applyFont="1" applyFill="1" applyBorder="1"/>
    <xf numFmtId="164" fontId="3" fillId="20" borderId="0" xfId="0" applyNumberFormat="1" applyFont="1" applyFill="1" applyBorder="1"/>
    <xf numFmtId="164" fontId="3" fillId="20" borderId="0" xfId="0" applyNumberFormat="1" applyFont="1" applyFill="1" applyBorder="1" applyAlignment="1">
      <alignment horizontal="right"/>
    </xf>
    <xf numFmtId="164" fontId="3" fillId="0" borderId="9" xfId="1" applyNumberFormat="1" applyFont="1" applyFill="1" applyBorder="1" applyAlignment="1">
      <alignment horizontal="center" wrapText="1"/>
    </xf>
    <xf numFmtId="164" fontId="3" fillId="0" borderId="2" xfId="1" applyNumberFormat="1" applyFont="1" applyFill="1" applyBorder="1" applyAlignment="1">
      <alignment horizontal="right"/>
    </xf>
    <xf numFmtId="164" fontId="57" fillId="0" borderId="0" xfId="42327" applyNumberFormat="1" applyFill="1" applyBorder="1" applyAlignment="1">
      <alignment horizontal="right"/>
    </xf>
    <xf numFmtId="37" fontId="4" fillId="0" borderId="2" xfId="1" applyNumberFormat="1" applyFont="1" applyFill="1" applyBorder="1" applyAlignment="1">
      <alignment horizontal="right"/>
    </xf>
    <xf numFmtId="164" fontId="69" fillId="20" borderId="0" xfId="1" applyNumberFormat="1" applyFont="1" applyFill="1" applyAlignment="1">
      <alignment horizontal="center" wrapText="1"/>
    </xf>
    <xf numFmtId="0" fontId="70" fillId="23" borderId="0" xfId="0" quotePrefix="1" applyFont="1" applyFill="1" applyAlignment="1">
      <alignment horizontal="left"/>
    </xf>
    <xf numFmtId="49" fontId="45" fillId="23" borderId="0" xfId="0" applyNumberFormat="1" applyFont="1" applyFill="1" applyBorder="1" applyAlignment="1">
      <alignment wrapText="1"/>
    </xf>
    <xf numFmtId="49" fontId="45" fillId="23" borderId="0" xfId="1" applyNumberFormat="1" applyFont="1" applyFill="1" applyBorder="1" applyAlignment="1"/>
    <xf numFmtId="0" fontId="57" fillId="20" borderId="0" xfId="42327" applyFill="1" applyBorder="1" applyAlignment="1">
      <alignment horizontal="left"/>
    </xf>
    <xf numFmtId="0" fontId="2" fillId="20" borderId="0" xfId="0" applyFont="1" applyFill="1" applyBorder="1" applyAlignment="1">
      <alignment horizontal="center"/>
    </xf>
    <xf numFmtId="0" fontId="46" fillId="20" borderId="9" xfId="0" applyFont="1" applyFill="1" applyBorder="1" applyAlignment="1">
      <alignment horizontal="center"/>
    </xf>
    <xf numFmtId="38" fontId="3" fillId="0" borderId="0" xfId="0" applyNumberFormat="1" applyFont="1" applyFill="1" applyBorder="1" applyAlignment="1">
      <alignment wrapText="1"/>
    </xf>
    <xf numFmtId="0" fontId="3" fillId="0" borderId="0" xfId="0" applyFont="1" applyFill="1" applyBorder="1" applyAlignment="1"/>
    <xf numFmtId="42" fontId="45" fillId="22" borderId="20" xfId="0" applyNumberFormat="1" applyFont="1" applyFill="1" applyBorder="1"/>
    <xf numFmtId="49" fontId="45" fillId="20" borderId="20" xfId="1" applyNumberFormat="1" applyFont="1" applyFill="1" applyBorder="1" applyAlignment="1"/>
    <xf numFmtId="49" fontId="45" fillId="20" borderId="0" xfId="1" applyNumberFormat="1" applyFont="1" applyFill="1" applyBorder="1" applyAlignment="1"/>
    <xf numFmtId="0" fontId="45" fillId="20" borderId="0" xfId="0" applyFont="1" applyFill="1" applyAlignment="1">
      <alignment horizontal="left"/>
    </xf>
    <xf numFmtId="0" fontId="3" fillId="20" borderId="0" xfId="38578" applyFont="1" applyFill="1"/>
    <xf numFmtId="0" fontId="4" fillId="20" borderId="0" xfId="38578" applyFont="1" applyFill="1" applyAlignment="1">
      <alignment horizontal="center"/>
    </xf>
    <xf numFmtId="0" fontId="50" fillId="20" borderId="0" xfId="0" applyFont="1" applyFill="1" applyAlignment="1">
      <alignment horizontal="centerContinuous" wrapText="1"/>
    </xf>
    <xf numFmtId="0" fontId="50" fillId="20" borderId="0" xfId="0" applyFont="1" applyFill="1" applyAlignment="1">
      <alignment horizontal="center" wrapText="1"/>
    </xf>
    <xf numFmtId="0" fontId="50" fillId="30" borderId="0" xfId="0" applyFont="1" applyFill="1" applyAlignment="1">
      <alignment horizontal="centerContinuous" wrapText="1"/>
    </xf>
    <xf numFmtId="0" fontId="50" fillId="30" borderId="8" xfId="0" applyFont="1" applyFill="1" applyBorder="1" applyAlignment="1">
      <alignment horizontal="centerContinuous" wrapText="1"/>
    </xf>
    <xf numFmtId="0" fontId="50" fillId="31" borderId="16" xfId="0" applyFont="1" applyFill="1" applyBorder="1" applyAlignment="1">
      <alignment horizontal="centerContinuous" wrapText="1"/>
    </xf>
    <xf numFmtId="0" fontId="50" fillId="31" borderId="0" xfId="0" applyFont="1" applyFill="1" applyAlignment="1">
      <alignment horizontal="centerContinuous" wrapText="1"/>
    </xf>
    <xf numFmtId="10" fontId="50" fillId="33" borderId="16" xfId="3" applyNumberFormat="1" applyFont="1" applyFill="1" applyBorder="1" applyAlignment="1">
      <alignment horizontal="centerContinuous" wrapText="1"/>
    </xf>
    <xf numFmtId="0" fontId="50" fillId="33" borderId="0" xfId="0" applyFont="1" applyFill="1" applyAlignment="1">
      <alignment horizontal="center" wrapText="1"/>
    </xf>
    <xf numFmtId="0" fontId="50" fillId="33" borderId="16" xfId="0" applyFont="1" applyFill="1" applyBorder="1" applyAlignment="1">
      <alignment horizontal="center" wrapText="1"/>
    </xf>
    <xf numFmtId="0" fontId="50" fillId="20" borderId="6" xfId="0" applyFont="1" applyFill="1" applyBorder="1" applyAlignment="1">
      <alignment horizontal="center"/>
    </xf>
    <xf numFmtId="37" fontId="3" fillId="30" borderId="6" xfId="42319" applyNumberFormat="1" applyFont="1" applyFill="1" applyBorder="1" applyAlignment="1">
      <alignment horizontal="center"/>
    </xf>
    <xf numFmtId="37" fontId="3" fillId="30" borderId="22" xfId="42319" applyNumberFormat="1" applyFont="1" applyFill="1" applyBorder="1" applyAlignment="1">
      <alignment horizontal="center"/>
    </xf>
    <xf numFmtId="37" fontId="3" fillId="31" borderId="23" xfId="42319" applyNumberFormat="1" applyFont="1" applyFill="1" applyBorder="1" applyAlignment="1">
      <alignment horizontal="center"/>
    </xf>
    <xf numFmtId="37" fontId="3" fillId="31" borderId="6" xfId="42319" applyNumberFormat="1" applyFont="1" applyFill="1" applyBorder="1" applyAlignment="1">
      <alignment horizontal="center"/>
    </xf>
    <xf numFmtId="37" fontId="3" fillId="33" borderId="23" xfId="42319" applyNumberFormat="1" applyFont="1" applyFill="1" applyBorder="1" applyAlignment="1">
      <alignment horizontal="center"/>
    </xf>
    <xf numFmtId="37" fontId="3" fillId="33" borderId="6" xfId="42319" applyNumberFormat="1" applyFont="1" applyFill="1" applyBorder="1" applyAlignment="1">
      <alignment horizontal="center"/>
    </xf>
    <xf numFmtId="0" fontId="52" fillId="20" borderId="0" xfId="0" applyFont="1" applyFill="1"/>
    <xf numFmtId="0" fontId="56" fillId="22" borderId="24" xfId="0" applyFont="1" applyFill="1" applyBorder="1" applyAlignment="1">
      <alignment horizontal="left"/>
    </xf>
    <xf numFmtId="0" fontId="56" fillId="22" borderId="25" xfId="0" applyFont="1" applyFill="1" applyBorder="1" applyAlignment="1">
      <alignment horizontal="left"/>
    </xf>
    <xf numFmtId="0" fontId="56" fillId="34" borderId="17" xfId="0" applyFont="1" applyFill="1" applyBorder="1" applyAlignment="1">
      <alignment horizontal="left"/>
    </xf>
    <xf numFmtId="5" fontId="56" fillId="22" borderId="20" xfId="0" applyNumberFormat="1" applyFont="1" applyFill="1" applyBorder="1"/>
    <xf numFmtId="164" fontId="56" fillId="22" borderId="20" xfId="1" applyNumberFormat="1" applyFont="1" applyFill="1" applyBorder="1"/>
    <xf numFmtId="9" fontId="56" fillId="22" borderId="20" xfId="3" applyFont="1" applyFill="1" applyBorder="1"/>
    <xf numFmtId="38" fontId="56" fillId="22" borderId="20" xfId="0" applyNumberFormat="1" applyFont="1" applyFill="1" applyBorder="1"/>
    <xf numFmtId="5" fontId="52" fillId="22" borderId="20" xfId="0" applyNumberFormat="1" applyFont="1" applyFill="1" applyBorder="1"/>
    <xf numFmtId="0" fontId="56" fillId="22" borderId="26" xfId="0" applyFont="1" applyFill="1" applyBorder="1" applyAlignment="1">
      <alignment horizontal="left"/>
    </xf>
    <xf numFmtId="5" fontId="52" fillId="22" borderId="9" xfId="0" applyNumberFormat="1" applyFont="1" applyFill="1" applyBorder="1"/>
    <xf numFmtId="164" fontId="56" fillId="22" borderId="9" xfId="1" applyNumberFormat="1" applyFont="1" applyFill="1" applyBorder="1"/>
    <xf numFmtId="9" fontId="56" fillId="22" borderId="9" xfId="3" applyFont="1" applyFill="1" applyBorder="1"/>
    <xf numFmtId="38" fontId="56" fillId="22" borderId="9" xfId="0" applyNumberFormat="1" applyFont="1" applyFill="1" applyBorder="1"/>
    <xf numFmtId="0" fontId="56" fillId="22" borderId="20" xfId="0" applyFont="1" applyFill="1" applyBorder="1" applyAlignment="1">
      <alignment horizontal="left"/>
    </xf>
    <xf numFmtId="5" fontId="52" fillId="34" borderId="17" xfId="0" applyNumberFormat="1" applyFont="1" applyFill="1" applyBorder="1"/>
    <xf numFmtId="164" fontId="56" fillId="34" borderId="17" xfId="1" applyNumberFormat="1" applyFont="1" applyFill="1" applyBorder="1"/>
    <xf numFmtId="9" fontId="56" fillId="34" borderId="17" xfId="3" applyFont="1" applyFill="1" applyBorder="1"/>
    <xf numFmtId="38" fontId="56" fillId="34" borderId="17" xfId="0" applyNumberFormat="1" applyFont="1" applyFill="1" applyBorder="1"/>
    <xf numFmtId="0" fontId="52" fillId="20" borderId="0" xfId="0" applyFont="1" applyFill="1" applyAlignment="1">
      <alignment horizontal="center"/>
    </xf>
    <xf numFmtId="0" fontId="49" fillId="20" borderId="0" xfId="0" applyFont="1" applyFill="1" applyAlignment="1">
      <alignment horizontal="left"/>
    </xf>
    <xf numFmtId="0" fontId="49" fillId="20" borderId="0" xfId="0" applyFont="1" applyFill="1" applyAlignment="1">
      <alignment horizontal="center"/>
    </xf>
    <xf numFmtId="10" fontId="49" fillId="35" borderId="16" xfId="3" applyNumberFormat="1" applyFont="1" applyFill="1" applyBorder="1" applyAlignment="1">
      <alignment horizontal="center"/>
    </xf>
    <xf numFmtId="5" fontId="52" fillId="22" borderId="25" xfId="0" applyNumberFormat="1" applyFont="1" applyFill="1" applyBorder="1"/>
    <xf numFmtId="164" fontId="56" fillId="22" borderId="25" xfId="1" applyNumberFormat="1" applyFont="1" applyFill="1" applyBorder="1"/>
    <xf numFmtId="164" fontId="56" fillId="22" borderId="27" xfId="1" applyNumberFormat="1" applyFont="1" applyFill="1" applyBorder="1"/>
    <xf numFmtId="9" fontId="56" fillId="22" borderId="25" xfId="3" applyFont="1" applyFill="1" applyBorder="1"/>
    <xf numFmtId="38" fontId="56" fillId="22" borderId="25" xfId="0" applyNumberFormat="1" applyFont="1" applyFill="1" applyBorder="1"/>
    <xf numFmtId="164" fontId="66" fillId="0" borderId="0" xfId="0" applyNumberFormat="1" applyFont="1"/>
    <xf numFmtId="0" fontId="56" fillId="34" borderId="2" xfId="0" applyFont="1" applyFill="1" applyBorder="1" applyAlignment="1">
      <alignment horizontal="left"/>
    </xf>
    <xf numFmtId="5" fontId="52" fillId="34" borderId="2" xfId="0" applyNumberFormat="1" applyFont="1" applyFill="1" applyBorder="1"/>
    <xf numFmtId="164" fontId="56" fillId="34" borderId="2" xfId="1" applyNumberFormat="1" applyFont="1" applyFill="1" applyBorder="1"/>
    <xf numFmtId="164" fontId="56" fillId="34" borderId="29" xfId="1" applyNumberFormat="1" applyFont="1" applyFill="1" applyBorder="1"/>
    <xf numFmtId="164" fontId="56" fillId="34" borderId="30" xfId="1" applyNumberFormat="1" applyFont="1" applyFill="1" applyBorder="1"/>
    <xf numFmtId="9" fontId="56" fillId="34" borderId="2" xfId="3" applyFont="1" applyFill="1" applyBorder="1"/>
    <xf numFmtId="38" fontId="56" fillId="34" borderId="2" xfId="0" applyNumberFormat="1" applyFont="1" applyFill="1" applyBorder="1"/>
    <xf numFmtId="10" fontId="56" fillId="34" borderId="30" xfId="3" applyNumberFormat="1" applyFont="1" applyFill="1" applyBorder="1"/>
    <xf numFmtId="164" fontId="56" fillId="34" borderId="31" xfId="1" applyNumberFormat="1" applyFont="1" applyFill="1" applyBorder="1"/>
    <xf numFmtId="164" fontId="48" fillId="0" borderId="0" xfId="0" applyNumberFormat="1" applyFont="1"/>
    <xf numFmtId="164" fontId="49" fillId="20" borderId="32" xfId="1" applyNumberFormat="1" applyFont="1" applyFill="1" applyBorder="1"/>
    <xf numFmtId="164" fontId="49" fillId="20" borderId="16" xfId="1" applyNumberFormat="1" applyFont="1" applyFill="1" applyBorder="1"/>
    <xf numFmtId="164" fontId="56" fillId="22" borderId="33" xfId="1" applyNumberFormat="1" applyFont="1" applyFill="1" applyBorder="1"/>
    <xf numFmtId="164" fontId="49" fillId="20" borderId="16" xfId="1" applyNumberFormat="1" applyFont="1" applyFill="1" applyBorder="1" applyAlignment="1">
      <alignment horizontal="right"/>
    </xf>
    <xf numFmtId="164" fontId="56" fillId="22" borderId="34" xfId="1" applyNumberFormat="1" applyFont="1" applyFill="1" applyBorder="1"/>
    <xf numFmtId="10" fontId="49" fillId="35" borderId="0" xfId="3" applyNumberFormat="1" applyFont="1" applyFill="1" applyBorder="1" applyAlignment="1">
      <alignment horizontal="center"/>
    </xf>
    <xf numFmtId="164" fontId="49" fillId="20" borderId="36" xfId="1" applyNumberFormat="1" applyFont="1" applyFill="1" applyBorder="1"/>
    <xf numFmtId="164" fontId="49" fillId="20" borderId="8" xfId="1" applyNumberFormat="1" applyFont="1" applyFill="1" applyBorder="1"/>
    <xf numFmtId="164" fontId="56" fillId="22" borderId="7" xfId="1" applyNumberFormat="1" applyFont="1" applyFill="1" applyBorder="1"/>
    <xf numFmtId="164" fontId="56" fillId="22" borderId="37" xfId="1" applyNumberFormat="1" applyFont="1" applyFill="1" applyBorder="1"/>
    <xf numFmtId="164" fontId="56" fillId="34" borderId="38" xfId="1" applyNumberFormat="1" applyFont="1" applyFill="1" applyBorder="1"/>
    <xf numFmtId="10" fontId="49" fillId="20" borderId="32" xfId="3" applyNumberFormat="1" applyFont="1" applyFill="1" applyBorder="1"/>
    <xf numFmtId="10" fontId="49" fillId="20" borderId="16" xfId="3" applyNumberFormat="1" applyFont="1" applyFill="1" applyBorder="1"/>
    <xf numFmtId="10" fontId="56" fillId="22" borderId="33" xfId="3" applyNumberFormat="1" applyFont="1" applyFill="1" applyBorder="1"/>
    <xf numFmtId="10" fontId="56" fillId="22" borderId="34" xfId="3" applyNumberFormat="1" applyFont="1" applyFill="1" applyBorder="1"/>
    <xf numFmtId="10" fontId="56" fillId="34" borderId="35" xfId="3" applyNumberFormat="1" applyFont="1" applyFill="1" applyBorder="1"/>
    <xf numFmtId="164" fontId="49" fillId="20" borderId="32" xfId="1" applyNumberFormat="1" applyFont="1" applyFill="1" applyBorder="1" applyAlignment="1">
      <alignment horizontal="right"/>
    </xf>
    <xf numFmtId="0" fontId="57" fillId="20" borderId="0" xfId="42327" applyFill="1" applyBorder="1" applyAlignment="1">
      <alignment horizontal="left"/>
    </xf>
    <xf numFmtId="0" fontId="4" fillId="20" borderId="0" xfId="38578" applyFont="1" applyFill="1" applyBorder="1" applyAlignment="1">
      <alignment horizontal="left"/>
    </xf>
    <xf numFmtId="0" fontId="50" fillId="36" borderId="39" xfId="0" applyFont="1" applyFill="1" applyBorder="1" applyAlignment="1">
      <alignment horizontal="center" wrapText="1"/>
    </xf>
    <xf numFmtId="164" fontId="56" fillId="22" borderId="4" xfId="1" applyNumberFormat="1" applyFont="1" applyFill="1" applyBorder="1"/>
    <xf numFmtId="164" fontId="56" fillId="36" borderId="40" xfId="1" applyNumberFormat="1" applyFont="1" applyFill="1" applyBorder="1"/>
    <xf numFmtId="0" fontId="49" fillId="20" borderId="0" xfId="0" applyFont="1" applyFill="1" applyBorder="1" applyAlignment="1"/>
    <xf numFmtId="0" fontId="72" fillId="20" borderId="0" xfId="0" applyFont="1" applyFill="1" applyBorder="1" applyAlignment="1"/>
    <xf numFmtId="0" fontId="0" fillId="0" borderId="0" xfId="0" applyAlignment="1"/>
    <xf numFmtId="0" fontId="0" fillId="20" borderId="0" xfId="0" applyFill="1" applyAlignment="1"/>
    <xf numFmtId="164" fontId="50" fillId="20" borderId="0" xfId="0" applyNumberFormat="1" applyFont="1" applyFill="1" applyBorder="1" applyAlignment="1">
      <alignment horizontal="centerContinuous" wrapText="1"/>
    </xf>
    <xf numFmtId="0" fontId="48" fillId="20" borderId="0" xfId="0" applyFont="1" applyFill="1"/>
    <xf numFmtId="0" fontId="45" fillId="20" borderId="0" xfId="0" applyFont="1" applyFill="1" applyBorder="1" applyAlignment="1"/>
    <xf numFmtId="0" fontId="2" fillId="20" borderId="0" xfId="0" applyFont="1" applyFill="1" applyBorder="1"/>
    <xf numFmtId="0" fontId="50" fillId="20" borderId="15" xfId="0" applyFont="1" applyFill="1" applyBorder="1" applyAlignment="1">
      <alignment horizontal="left" vertical="top"/>
    </xf>
    <xf numFmtId="0" fontId="50" fillId="20" borderId="13" xfId="0" applyFont="1" applyFill="1" applyBorder="1" applyAlignment="1">
      <alignment horizontal="left" vertical="top"/>
    </xf>
    <xf numFmtId="0" fontId="4" fillId="20" borderId="0" xfId="38578" applyFont="1" applyFill="1" applyAlignment="1">
      <alignment horizontal="left"/>
    </xf>
    <xf numFmtId="0" fontId="4" fillId="33" borderId="9" xfId="0" applyFont="1" applyFill="1" applyBorder="1" applyAlignment="1">
      <alignment horizontal="left" wrapText="1"/>
    </xf>
    <xf numFmtId="176" fontId="46" fillId="33" borderId="9" xfId="0" applyNumberFormat="1" applyFont="1" applyFill="1" applyBorder="1" applyAlignment="1">
      <alignment horizontal="center" wrapText="1"/>
    </xf>
    <xf numFmtId="0" fontId="46" fillId="33" borderId="9" xfId="0" applyFont="1" applyFill="1" applyBorder="1"/>
    <xf numFmtId="164" fontId="46" fillId="33" borderId="9" xfId="1" applyNumberFormat="1" applyFont="1" applyFill="1" applyBorder="1" applyAlignment="1">
      <alignment horizontal="center"/>
    </xf>
    <xf numFmtId="164" fontId="46" fillId="33" borderId="37" xfId="1" applyNumberFormat="1" applyFont="1" applyFill="1" applyBorder="1" applyAlignment="1">
      <alignment horizontal="center" wrapText="1"/>
    </xf>
    <xf numFmtId="0" fontId="46" fillId="37" borderId="37" xfId="0" applyFont="1" applyFill="1" applyBorder="1" applyAlignment="1">
      <alignment wrapText="1"/>
    </xf>
    <xf numFmtId="49" fontId="54" fillId="20" borderId="0" xfId="19632" applyNumberFormat="1" applyFont="1" applyFill="1" applyAlignment="1">
      <alignment horizontal="left"/>
    </xf>
    <xf numFmtId="0" fontId="3" fillId="20" borderId="0" xfId="0" applyFont="1" applyFill="1" applyAlignment="1">
      <alignment horizontal="center"/>
    </xf>
    <xf numFmtId="37" fontId="3" fillId="20" borderId="8" xfId="1" applyNumberFormat="1" applyFont="1" applyFill="1" applyBorder="1" applyAlignment="1">
      <alignment horizontal="right"/>
    </xf>
    <xf numFmtId="164" fontId="45" fillId="20" borderId="8" xfId="1" applyNumberFormat="1" applyFont="1" applyFill="1" applyBorder="1"/>
    <xf numFmtId="49" fontId="54" fillId="0" borderId="0" xfId="19632" applyNumberFormat="1" applyFont="1" applyAlignment="1">
      <alignment horizontal="left"/>
    </xf>
    <xf numFmtId="0" fontId="3" fillId="29" borderId="0" xfId="0" applyFont="1" applyFill="1" applyAlignment="1">
      <alignment horizontal="center"/>
    </xf>
    <xf numFmtId="37" fontId="3" fillId="37" borderId="8" xfId="1" applyNumberFormat="1" applyFont="1" applyFill="1" applyBorder="1" applyAlignment="1">
      <alignment horizontal="right"/>
    </xf>
    <xf numFmtId="164" fontId="45" fillId="20" borderId="0" xfId="1" applyNumberFormat="1" applyFont="1" applyFill="1" applyBorder="1" applyAlignment="1">
      <alignment wrapText="1"/>
    </xf>
    <xf numFmtId="37" fontId="45" fillId="37" borderId="8" xfId="1" applyNumberFormat="1" applyFont="1" applyFill="1" applyBorder="1" applyAlignment="1">
      <alignment horizontal="right"/>
    </xf>
    <xf numFmtId="37" fontId="45" fillId="37" borderId="8" xfId="0" applyNumberFormat="1" applyFont="1" applyFill="1" applyBorder="1"/>
    <xf numFmtId="0" fontId="45" fillId="29" borderId="0" xfId="0" applyFont="1" applyFill="1" applyAlignment="1">
      <alignment horizontal="center"/>
    </xf>
    <xf numFmtId="0" fontId="45" fillId="31" borderId="0" xfId="0" applyFont="1" applyFill="1" applyAlignment="1">
      <alignment horizontal="center"/>
    </xf>
    <xf numFmtId="37" fontId="45" fillId="20" borderId="8" xfId="0" applyNumberFormat="1" applyFont="1" applyFill="1" applyBorder="1"/>
    <xf numFmtId="0" fontId="45" fillId="30" borderId="0" xfId="0" applyFont="1" applyFill="1" applyAlignment="1">
      <alignment horizontal="center"/>
    </xf>
    <xf numFmtId="0" fontId="3" fillId="31" borderId="0" xfId="0" applyFont="1" applyFill="1"/>
    <xf numFmtId="164" fontId="45" fillId="20" borderId="37" xfId="1" applyNumberFormat="1" applyFont="1" applyFill="1" applyBorder="1"/>
    <xf numFmtId="38" fontId="45" fillId="0" borderId="29" xfId="0" applyNumberFormat="1" applyFont="1" applyBorder="1"/>
    <xf numFmtId="164" fontId="45" fillId="37" borderId="29" xfId="1" applyNumberFormat="1" applyFont="1" applyFill="1" applyBorder="1"/>
    <xf numFmtId="0" fontId="70" fillId="20" borderId="0" xfId="0" applyFont="1" applyFill="1"/>
    <xf numFmtId="0" fontId="70" fillId="0" borderId="0" xfId="0" applyFont="1"/>
    <xf numFmtId="0" fontId="67" fillId="20" borderId="14" xfId="42327" applyFont="1" applyFill="1" applyBorder="1" applyAlignment="1">
      <alignment horizontal="right" vertical="top"/>
    </xf>
    <xf numFmtId="10" fontId="50" fillId="33" borderId="16" xfId="3" applyNumberFormat="1" applyFont="1" applyFill="1" applyBorder="1" applyAlignment="1">
      <alignment horizontal="center" wrapText="1"/>
    </xf>
    <xf numFmtId="0" fontId="56" fillId="20" borderId="0" xfId="3" applyNumberFormat="1" applyFont="1" applyFill="1" applyBorder="1"/>
    <xf numFmtId="0" fontId="52" fillId="20" borderId="0" xfId="3" applyNumberFormat="1" applyFont="1" applyFill="1" applyBorder="1"/>
    <xf numFmtId="10" fontId="49" fillId="20" borderId="32" xfId="2" applyNumberFormat="1" applyFont="1" applyFill="1" applyBorder="1"/>
    <xf numFmtId="10" fontId="49" fillId="20" borderId="16" xfId="2" applyNumberFormat="1" applyFont="1" applyFill="1" applyBorder="1"/>
    <xf numFmtId="43" fontId="50" fillId="33" borderId="0" xfId="0" applyNumberFormat="1" applyFont="1" applyFill="1" applyAlignment="1">
      <alignment horizontal="center" wrapText="1"/>
    </xf>
    <xf numFmtId="9" fontId="45" fillId="36" borderId="0" xfId="3" applyFont="1" applyFill="1" applyBorder="1" applyAlignment="1">
      <alignment horizontal="center"/>
    </xf>
    <xf numFmtId="9" fontId="45" fillId="36" borderId="9" xfId="3" applyFont="1" applyFill="1" applyBorder="1" applyAlignment="1">
      <alignment horizontal="center"/>
    </xf>
    <xf numFmtId="164" fontId="45" fillId="36" borderId="40" xfId="0" applyNumberFormat="1" applyFont="1" applyFill="1" applyBorder="1"/>
    <xf numFmtId="0" fontId="3" fillId="0" borderId="0" xfId="0" applyFont="1" applyFill="1" applyBorder="1" applyAlignment="1"/>
    <xf numFmtId="164" fontId="52" fillId="20" borderId="16" xfId="0" applyNumberFormat="1" applyFont="1" applyFill="1" applyBorder="1"/>
    <xf numFmtId="164" fontId="56" fillId="22" borderId="41" xfId="1" applyNumberFormat="1" applyFont="1" applyFill="1" applyBorder="1"/>
    <xf numFmtId="164" fontId="56" fillId="34" borderId="35" xfId="1" applyNumberFormat="1" applyFont="1" applyFill="1" applyBorder="1"/>
    <xf numFmtId="164" fontId="56" fillId="22" borderId="42" xfId="1" applyNumberFormat="1" applyFont="1" applyFill="1" applyBorder="1"/>
    <xf numFmtId="10" fontId="49" fillId="35" borderId="14" xfId="3" applyNumberFormat="1" applyFont="1" applyFill="1" applyBorder="1" applyAlignment="1">
      <alignment horizontal="center"/>
    </xf>
    <xf numFmtId="10" fontId="49" fillId="35" borderId="9" xfId="3" applyNumberFormat="1" applyFont="1" applyFill="1" applyBorder="1" applyAlignment="1">
      <alignment horizontal="center"/>
    </xf>
    <xf numFmtId="164" fontId="56" fillId="34" borderId="43" xfId="1" applyNumberFormat="1" applyFont="1" applyFill="1" applyBorder="1"/>
    <xf numFmtId="10" fontId="52" fillId="35" borderId="33" xfId="3" applyNumberFormat="1" applyFont="1" applyFill="1" applyBorder="1" applyAlignment="1">
      <alignment horizontal="center"/>
    </xf>
    <xf numFmtId="10" fontId="52" fillId="35" borderId="28" xfId="3" applyNumberFormat="1" applyFont="1" applyFill="1" applyBorder="1" applyAlignment="1">
      <alignment horizontal="center"/>
    </xf>
    <xf numFmtId="10" fontId="52" fillId="35" borderId="30" xfId="3" applyNumberFormat="1" applyFont="1" applyFill="1" applyBorder="1" applyAlignment="1">
      <alignment horizontal="center"/>
    </xf>
    <xf numFmtId="0" fontId="49" fillId="20" borderId="0" xfId="0" quotePrefix="1" applyFont="1" applyFill="1" applyBorder="1" applyAlignment="1"/>
    <xf numFmtId="49" fontId="46" fillId="23" borderId="2" xfId="0" applyNumberFormat="1" applyFont="1" applyFill="1" applyBorder="1"/>
    <xf numFmtId="0" fontId="63" fillId="23" borderId="2" xfId="0" applyFont="1" applyFill="1" applyBorder="1" applyAlignment="1">
      <alignment wrapText="1"/>
    </xf>
    <xf numFmtId="38" fontId="4" fillId="20" borderId="24" xfId="42319" applyFont="1" applyFill="1" applyBorder="1"/>
    <xf numFmtId="38" fontId="3" fillId="20" borderId="24" xfId="42319" applyFont="1" applyFill="1" applyBorder="1"/>
    <xf numFmtId="38" fontId="69" fillId="20" borderId="24" xfId="42319" applyFont="1" applyFill="1" applyBorder="1" applyAlignment="1">
      <alignment horizontal="center"/>
    </xf>
    <xf numFmtId="164" fontId="3" fillId="24" borderId="0" xfId="1" applyNumberFormat="1" applyFont="1" applyFill="1" applyBorder="1"/>
    <xf numFmtId="0" fontId="3" fillId="24" borderId="0" xfId="0" applyFont="1" applyFill="1" applyBorder="1" applyAlignment="1"/>
    <xf numFmtId="0" fontId="3" fillId="24" borderId="0" xfId="0" applyFont="1" applyFill="1" applyBorder="1" applyAlignment="1">
      <alignment horizontal="center"/>
    </xf>
    <xf numFmtId="38" fontId="3" fillId="24" borderId="0" xfId="0" applyNumberFormat="1" applyFont="1" applyFill="1" applyBorder="1" applyAlignment="1">
      <alignment horizontal="center"/>
    </xf>
    <xf numFmtId="0" fontId="45" fillId="24" borderId="0" xfId="0" applyFont="1" applyFill="1" applyBorder="1"/>
    <xf numFmtId="0" fontId="45" fillId="24" borderId="0" xfId="0" applyFont="1" applyFill="1"/>
    <xf numFmtId="0" fontId="48" fillId="24" borderId="0" xfId="0" applyFont="1" applyFill="1"/>
    <xf numFmtId="0" fontId="4" fillId="0" borderId="0" xfId="38578" applyFont="1" applyFill="1" applyBorder="1" applyAlignment="1">
      <alignment horizontal="left"/>
    </xf>
    <xf numFmtId="0" fontId="3" fillId="0" borderId="0" xfId="38578" applyFont="1" applyFill="1" applyBorder="1" applyAlignment="1">
      <alignment horizontal="left"/>
    </xf>
    <xf numFmtId="0" fontId="45" fillId="0" borderId="0" xfId="0" applyFont="1" applyFill="1" applyBorder="1" applyAlignment="1">
      <alignment horizontal="center"/>
    </xf>
    <xf numFmtId="0" fontId="45" fillId="0" borderId="6" xfId="0" applyFont="1" applyFill="1" applyBorder="1" applyAlignment="1">
      <alignment horizontal="center"/>
    </xf>
    <xf numFmtId="0" fontId="45" fillId="0" borderId="0" xfId="0" applyFont="1" applyFill="1" applyAlignment="1">
      <alignment horizontal="center"/>
    </xf>
    <xf numFmtId="9" fontId="49" fillId="20" borderId="0" xfId="3" applyNumberFormat="1" applyFont="1" applyFill="1" applyBorder="1"/>
    <xf numFmtId="164" fontId="48" fillId="24" borderId="0" xfId="0" applyNumberFormat="1" applyFont="1" applyFill="1"/>
    <xf numFmtId="0" fontId="3" fillId="0" borderId="0" xfId="0" applyFont="1" applyFill="1" applyBorder="1" applyAlignment="1"/>
    <xf numFmtId="0" fontId="49" fillId="0" borderId="0" xfId="0" applyFont="1" applyFill="1" applyAlignment="1">
      <alignment horizontal="center"/>
    </xf>
    <xf numFmtId="0" fontId="52" fillId="0" borderId="0" xfId="0" applyFont="1" applyFill="1" applyAlignment="1">
      <alignment horizontal="left"/>
    </xf>
    <xf numFmtId="5" fontId="52" fillId="0" borderId="0" xfId="0" applyNumberFormat="1" applyFont="1" applyFill="1"/>
    <xf numFmtId="164" fontId="49" fillId="0" borderId="0" xfId="1" applyNumberFormat="1" applyFont="1" applyFill="1" applyBorder="1" applyAlignment="1">
      <alignment horizontal="right"/>
    </xf>
    <xf numFmtId="164" fontId="49" fillId="0" borderId="8" xfId="1" applyNumberFormat="1" applyFont="1" applyFill="1" applyBorder="1"/>
    <xf numFmtId="9" fontId="49" fillId="0" borderId="0" xfId="3" applyNumberFormat="1" applyFont="1" applyFill="1" applyBorder="1"/>
    <xf numFmtId="164" fontId="49" fillId="0" borderId="0" xfId="2" applyNumberFormat="1" applyFont="1" applyFill="1" applyBorder="1" applyAlignment="1">
      <alignment horizontal="right"/>
    </xf>
    <xf numFmtId="10" fontId="49" fillId="0" borderId="0" xfId="3" applyNumberFormat="1" applyFont="1" applyFill="1" applyBorder="1" applyAlignment="1">
      <alignment horizontal="right"/>
    </xf>
    <xf numFmtId="164" fontId="49" fillId="0" borderId="0" xfId="1" applyNumberFormat="1" applyFont="1" applyFill="1" applyBorder="1"/>
    <xf numFmtId="164" fontId="49" fillId="0" borderId="16" xfId="1" applyNumberFormat="1" applyFont="1" applyFill="1" applyBorder="1"/>
    <xf numFmtId="164" fontId="49" fillId="0" borderId="0" xfId="1" applyNumberFormat="1" applyFont="1" applyFill="1" applyAlignment="1">
      <alignment horizontal="center"/>
    </xf>
    <xf numFmtId="43" fontId="49" fillId="0" borderId="0" xfId="3" applyNumberFormat="1" applyFont="1" applyFill="1" applyAlignment="1">
      <alignment horizontal="center"/>
    </xf>
    <xf numFmtId="38" fontId="3" fillId="20" borderId="0" xfId="0" applyNumberFormat="1" applyFont="1" applyFill="1" applyBorder="1" applyAlignment="1">
      <alignment horizontal="left" vertical="center"/>
    </xf>
    <xf numFmtId="164" fontId="45" fillId="20" borderId="0" xfId="1" applyNumberFormat="1" applyFont="1" applyFill="1" applyBorder="1" applyAlignment="1">
      <alignment horizontal="left" wrapText="1"/>
    </xf>
    <xf numFmtId="43" fontId="3" fillId="20" borderId="0" xfId="0" applyNumberFormat="1" applyFont="1" applyFill="1" applyBorder="1"/>
    <xf numFmtId="10" fontId="45" fillId="20" borderId="4" xfId="3" applyNumberFormat="1" applyFont="1" applyFill="1" applyBorder="1"/>
    <xf numFmtId="9" fontId="45" fillId="36" borderId="40" xfId="3" applyFont="1" applyFill="1" applyBorder="1"/>
    <xf numFmtId="164" fontId="45" fillId="34" borderId="2" xfId="0" applyNumberFormat="1" applyFont="1" applyFill="1" applyBorder="1"/>
    <xf numFmtId="164" fontId="46" fillId="27" borderId="17" xfId="0" applyNumberFormat="1" applyFont="1" applyFill="1" applyBorder="1"/>
    <xf numFmtId="0" fontId="74" fillId="20" borderId="9" xfId="0" quotePrefix="1" applyFont="1" applyFill="1" applyBorder="1" applyAlignment="1">
      <alignment horizontal="left"/>
    </xf>
    <xf numFmtId="0" fontId="4" fillId="23" borderId="2" xfId="0" applyFont="1" applyFill="1" applyBorder="1" applyAlignment="1">
      <alignment horizontal="left"/>
    </xf>
    <xf numFmtId="164" fontId="4" fillId="20" borderId="0" xfId="0" applyNumberFormat="1" applyFont="1" applyFill="1" applyBorder="1" applyAlignment="1">
      <alignment horizontal="center" wrapText="1"/>
    </xf>
    <xf numFmtId="0" fontId="53" fillId="20" borderId="0" xfId="0" applyFont="1" applyFill="1" applyBorder="1" applyAlignment="1">
      <alignment horizontal="center"/>
    </xf>
    <xf numFmtId="0" fontId="60" fillId="0" borderId="0" xfId="0" applyFont="1" applyFill="1" applyBorder="1" applyAlignment="1">
      <alignment horizontal="center"/>
    </xf>
    <xf numFmtId="0" fontId="53" fillId="0" borderId="0" xfId="0" applyFont="1" applyFill="1" applyBorder="1" applyAlignment="1">
      <alignment horizontal="center"/>
    </xf>
    <xf numFmtId="0" fontId="57" fillId="20" borderId="0" xfId="42327" applyFill="1" applyBorder="1" applyAlignment="1">
      <alignment horizontal="left"/>
    </xf>
    <xf numFmtId="0" fontId="58" fillId="20" borderId="0" xfId="0" applyFont="1" applyFill="1" applyBorder="1" applyAlignment="1">
      <alignment horizontal="center"/>
    </xf>
    <xf numFmtId="0" fontId="2" fillId="20" borderId="0" xfId="0" applyFont="1" applyFill="1" applyBorder="1" applyAlignment="1">
      <alignment horizontal="center"/>
    </xf>
    <xf numFmtId="0" fontId="2" fillId="20" borderId="6" xfId="0" applyFont="1" applyFill="1" applyBorder="1" applyAlignment="1">
      <alignment horizontal="center"/>
    </xf>
    <xf numFmtId="0" fontId="2" fillId="20" borderId="6" xfId="0" applyFont="1" applyFill="1" applyBorder="1" applyAlignment="1">
      <alignment horizontal="center" vertical="top" wrapText="1"/>
    </xf>
    <xf numFmtId="0" fontId="48" fillId="0" borderId="0" xfId="0" applyFont="1" applyAlignment="1">
      <alignment horizontal="center"/>
    </xf>
    <xf numFmtId="0" fontId="0" fillId="20" borderId="0" xfId="0" applyFill="1" applyBorder="1" applyAlignment="1">
      <alignment horizontal="center"/>
    </xf>
    <xf numFmtId="0" fontId="70" fillId="20" borderId="0" xfId="0" applyFont="1" applyFill="1" applyBorder="1" applyAlignment="1">
      <alignment horizontal="left" vertical="top" wrapText="1"/>
    </xf>
    <xf numFmtId="0" fontId="46" fillId="20" borderId="9" xfId="0" applyFont="1" applyFill="1" applyBorder="1" applyAlignment="1">
      <alignment horizontal="center"/>
    </xf>
    <xf numFmtId="38" fontId="3" fillId="0" borderId="0" xfId="0" applyNumberFormat="1" applyFont="1" applyFill="1" applyBorder="1" applyAlignment="1">
      <alignment wrapText="1"/>
    </xf>
    <xf numFmtId="0" fontId="3" fillId="0" borderId="0" xfId="0" applyFont="1" applyFill="1" applyBorder="1" applyAlignment="1"/>
    <xf numFmtId="38" fontId="3" fillId="0" borderId="0" xfId="0" applyNumberFormat="1" applyFont="1" applyFill="1" applyBorder="1" applyAlignment="1">
      <alignment horizontal="left" vertical="top" wrapText="1"/>
    </xf>
    <xf numFmtId="0" fontId="3" fillId="0" borderId="0" xfId="0" applyFont="1" applyFill="1" applyBorder="1" applyAlignment="1">
      <alignment vertical="top"/>
    </xf>
    <xf numFmtId="0" fontId="50" fillId="20" borderId="20" xfId="0" applyFont="1" applyFill="1" applyBorder="1" applyAlignment="1">
      <alignment horizontal="center" vertical="top"/>
    </xf>
    <xf numFmtId="0" fontId="49" fillId="20" borderId="6" xfId="0" applyFont="1" applyFill="1" applyBorder="1" applyAlignment="1">
      <alignment horizontal="left" vertical="top" wrapText="1"/>
    </xf>
    <xf numFmtId="0" fontId="70" fillId="23" borderId="0" xfId="0" quotePrefix="1" applyFont="1" applyFill="1" applyAlignment="1">
      <alignment horizontal="left" wrapText="1"/>
    </xf>
    <xf numFmtId="0" fontId="70" fillId="20" borderId="0" xfId="0" quotePrefix="1" applyFont="1" applyFill="1" applyAlignment="1">
      <alignment horizontal="left" wrapText="1"/>
    </xf>
    <xf numFmtId="171" fontId="45" fillId="20" borderId="3" xfId="0" applyNumberFormat="1" applyFont="1" applyFill="1" applyBorder="1" applyAlignment="1">
      <alignment horizontal="right"/>
    </xf>
    <xf numFmtId="171" fontId="45" fillId="20" borderId="44" xfId="0" applyNumberFormat="1" applyFont="1" applyFill="1" applyBorder="1" applyAlignment="1">
      <alignment horizontal="right"/>
    </xf>
  </cellXfs>
  <cellStyles count="42328">
    <cellStyle name="20% - Accent1 10" xfId="4" xr:uid="{00000000-0005-0000-0000-000000000000}"/>
    <cellStyle name="20% - Accent1 10 2" xfId="5" xr:uid="{00000000-0005-0000-0000-000001000000}"/>
    <cellStyle name="20% - Accent1 10 2 2" xfId="6" xr:uid="{00000000-0005-0000-0000-000002000000}"/>
    <cellStyle name="20% - Accent1 10 2 2 2" xfId="7" xr:uid="{00000000-0005-0000-0000-000003000000}"/>
    <cellStyle name="20% - Accent1 10 2 3" xfId="8" xr:uid="{00000000-0005-0000-0000-000004000000}"/>
    <cellStyle name="20% - Accent1 10 2 4" xfId="9" xr:uid="{00000000-0005-0000-0000-000005000000}"/>
    <cellStyle name="20% - Accent1 10 2 5" xfId="10" xr:uid="{00000000-0005-0000-0000-000006000000}"/>
    <cellStyle name="20% - Accent1 10 3" xfId="11" xr:uid="{00000000-0005-0000-0000-000007000000}"/>
    <cellStyle name="20% - Accent1 10 3 2" xfId="12" xr:uid="{00000000-0005-0000-0000-000008000000}"/>
    <cellStyle name="20% - Accent1 10 3 3" xfId="13" xr:uid="{00000000-0005-0000-0000-000009000000}"/>
    <cellStyle name="20% - Accent1 10 3 4" xfId="14" xr:uid="{00000000-0005-0000-0000-00000A000000}"/>
    <cellStyle name="20% - Accent1 10 4" xfId="15" xr:uid="{00000000-0005-0000-0000-00000B000000}"/>
    <cellStyle name="20% - Accent1 10 4 2" xfId="16" xr:uid="{00000000-0005-0000-0000-00000C000000}"/>
    <cellStyle name="20% - Accent1 10 5" xfId="17" xr:uid="{00000000-0005-0000-0000-00000D000000}"/>
    <cellStyle name="20% - Accent1 10 6" xfId="18" xr:uid="{00000000-0005-0000-0000-00000E000000}"/>
    <cellStyle name="20% - Accent1 10 7" xfId="19" xr:uid="{00000000-0005-0000-0000-00000F000000}"/>
    <cellStyle name="20% - Accent1 10 8" xfId="20" xr:uid="{00000000-0005-0000-0000-000010000000}"/>
    <cellStyle name="20% - Accent1 11" xfId="21" xr:uid="{00000000-0005-0000-0000-000011000000}"/>
    <cellStyle name="20% - Accent1 11 2" xfId="22" xr:uid="{00000000-0005-0000-0000-000012000000}"/>
    <cellStyle name="20% - Accent1 11 2 2" xfId="23" xr:uid="{00000000-0005-0000-0000-000013000000}"/>
    <cellStyle name="20% - Accent1 11 2 2 2" xfId="24" xr:uid="{00000000-0005-0000-0000-000014000000}"/>
    <cellStyle name="20% - Accent1 11 2 3" xfId="25" xr:uid="{00000000-0005-0000-0000-000015000000}"/>
    <cellStyle name="20% - Accent1 11 2 4" xfId="26" xr:uid="{00000000-0005-0000-0000-000016000000}"/>
    <cellStyle name="20% - Accent1 11 2 5" xfId="27" xr:uid="{00000000-0005-0000-0000-000017000000}"/>
    <cellStyle name="20% - Accent1 11 3" xfId="28" xr:uid="{00000000-0005-0000-0000-000018000000}"/>
    <cellStyle name="20% - Accent1 11 3 2" xfId="29" xr:uid="{00000000-0005-0000-0000-000019000000}"/>
    <cellStyle name="20% - Accent1 11 3 3" xfId="30" xr:uid="{00000000-0005-0000-0000-00001A000000}"/>
    <cellStyle name="20% - Accent1 11 3 4" xfId="31" xr:uid="{00000000-0005-0000-0000-00001B000000}"/>
    <cellStyle name="20% - Accent1 11 4" xfId="32" xr:uid="{00000000-0005-0000-0000-00001C000000}"/>
    <cellStyle name="20% - Accent1 11 4 2" xfId="33" xr:uid="{00000000-0005-0000-0000-00001D000000}"/>
    <cellStyle name="20% - Accent1 11 5" xfId="34" xr:uid="{00000000-0005-0000-0000-00001E000000}"/>
    <cellStyle name="20% - Accent1 11 6" xfId="35" xr:uid="{00000000-0005-0000-0000-00001F000000}"/>
    <cellStyle name="20% - Accent1 11 7" xfId="36" xr:uid="{00000000-0005-0000-0000-000020000000}"/>
    <cellStyle name="20% - Accent1 11 8" xfId="37" xr:uid="{00000000-0005-0000-0000-000021000000}"/>
    <cellStyle name="20% - Accent1 12" xfId="38" xr:uid="{00000000-0005-0000-0000-000022000000}"/>
    <cellStyle name="20% - Accent1 12 2" xfId="39" xr:uid="{00000000-0005-0000-0000-000023000000}"/>
    <cellStyle name="20% - Accent1 12 2 2" xfId="40" xr:uid="{00000000-0005-0000-0000-000024000000}"/>
    <cellStyle name="20% - Accent1 12 2 2 2" xfId="41" xr:uid="{00000000-0005-0000-0000-000025000000}"/>
    <cellStyle name="20% - Accent1 12 2 3" xfId="42" xr:uid="{00000000-0005-0000-0000-000026000000}"/>
    <cellStyle name="20% - Accent1 12 2 4" xfId="43" xr:uid="{00000000-0005-0000-0000-000027000000}"/>
    <cellStyle name="20% - Accent1 12 2 5" xfId="44" xr:uid="{00000000-0005-0000-0000-000028000000}"/>
    <cellStyle name="20% - Accent1 12 3" xfId="45" xr:uid="{00000000-0005-0000-0000-000029000000}"/>
    <cellStyle name="20% - Accent1 12 3 2" xfId="46" xr:uid="{00000000-0005-0000-0000-00002A000000}"/>
    <cellStyle name="20% - Accent1 12 3 3" xfId="47" xr:uid="{00000000-0005-0000-0000-00002B000000}"/>
    <cellStyle name="20% - Accent1 12 3 4" xfId="48" xr:uid="{00000000-0005-0000-0000-00002C000000}"/>
    <cellStyle name="20% - Accent1 12 4" xfId="49" xr:uid="{00000000-0005-0000-0000-00002D000000}"/>
    <cellStyle name="20% - Accent1 12 4 2" xfId="50" xr:uid="{00000000-0005-0000-0000-00002E000000}"/>
    <cellStyle name="20% - Accent1 12 5" xfId="51" xr:uid="{00000000-0005-0000-0000-00002F000000}"/>
    <cellStyle name="20% - Accent1 12 6" xfId="52" xr:uid="{00000000-0005-0000-0000-000030000000}"/>
    <cellStyle name="20% - Accent1 12 7" xfId="53" xr:uid="{00000000-0005-0000-0000-000031000000}"/>
    <cellStyle name="20% - Accent1 12 8" xfId="54" xr:uid="{00000000-0005-0000-0000-000032000000}"/>
    <cellStyle name="20% - Accent1 13" xfId="55" xr:uid="{00000000-0005-0000-0000-000033000000}"/>
    <cellStyle name="20% - Accent1 13 2" xfId="56" xr:uid="{00000000-0005-0000-0000-000034000000}"/>
    <cellStyle name="20% - Accent1 13 2 2" xfId="57" xr:uid="{00000000-0005-0000-0000-000035000000}"/>
    <cellStyle name="20% - Accent1 13 2 3" xfId="58" xr:uid="{00000000-0005-0000-0000-000036000000}"/>
    <cellStyle name="20% - Accent1 13 2 4" xfId="59" xr:uid="{00000000-0005-0000-0000-000037000000}"/>
    <cellStyle name="20% - Accent1 13 3" xfId="60" xr:uid="{00000000-0005-0000-0000-000038000000}"/>
    <cellStyle name="20% - Accent1 13 3 2" xfId="61" xr:uid="{00000000-0005-0000-0000-000039000000}"/>
    <cellStyle name="20% - Accent1 13 4" xfId="62" xr:uid="{00000000-0005-0000-0000-00003A000000}"/>
    <cellStyle name="20% - Accent1 13 5" xfId="63" xr:uid="{00000000-0005-0000-0000-00003B000000}"/>
    <cellStyle name="20% - Accent1 13 6" xfId="64" xr:uid="{00000000-0005-0000-0000-00003C000000}"/>
    <cellStyle name="20% - Accent1 14" xfId="65" xr:uid="{00000000-0005-0000-0000-00003D000000}"/>
    <cellStyle name="20% - Accent1 14 2" xfId="66" xr:uid="{00000000-0005-0000-0000-00003E000000}"/>
    <cellStyle name="20% - Accent1 14 2 2" xfId="67" xr:uid="{00000000-0005-0000-0000-00003F000000}"/>
    <cellStyle name="20% - Accent1 14 3" xfId="68" xr:uid="{00000000-0005-0000-0000-000040000000}"/>
    <cellStyle name="20% - Accent1 14 4" xfId="69" xr:uid="{00000000-0005-0000-0000-000041000000}"/>
    <cellStyle name="20% - Accent1 14 5" xfId="70" xr:uid="{00000000-0005-0000-0000-000042000000}"/>
    <cellStyle name="20% - Accent1 15" xfId="71" xr:uid="{00000000-0005-0000-0000-000043000000}"/>
    <cellStyle name="20% - Accent1 15 2" xfId="72" xr:uid="{00000000-0005-0000-0000-000044000000}"/>
    <cellStyle name="20% - Accent1 15 2 2" xfId="73" xr:uid="{00000000-0005-0000-0000-000045000000}"/>
    <cellStyle name="20% - Accent1 15 3" xfId="74" xr:uid="{00000000-0005-0000-0000-000046000000}"/>
    <cellStyle name="20% - Accent1 15 4" xfId="75" xr:uid="{00000000-0005-0000-0000-000047000000}"/>
    <cellStyle name="20% - Accent1 15 5" xfId="76" xr:uid="{00000000-0005-0000-0000-000048000000}"/>
    <cellStyle name="20% - Accent1 16" xfId="77" xr:uid="{00000000-0005-0000-0000-000049000000}"/>
    <cellStyle name="20% - Accent1 16 2" xfId="78" xr:uid="{00000000-0005-0000-0000-00004A000000}"/>
    <cellStyle name="20% - Accent1 17" xfId="79" xr:uid="{00000000-0005-0000-0000-00004B000000}"/>
    <cellStyle name="20% - Accent1 18" xfId="80" xr:uid="{00000000-0005-0000-0000-00004C000000}"/>
    <cellStyle name="20% - Accent1 19" xfId="81" xr:uid="{00000000-0005-0000-0000-00004D000000}"/>
    <cellStyle name="20% - Accent1 2" xfId="82" xr:uid="{00000000-0005-0000-0000-00004E000000}"/>
    <cellStyle name="20% - Accent1 2 10" xfId="83" xr:uid="{00000000-0005-0000-0000-00004F000000}"/>
    <cellStyle name="20% - Accent1 2 11" xfId="84" xr:uid="{00000000-0005-0000-0000-000050000000}"/>
    <cellStyle name="20% - Accent1 2 2" xfId="85" xr:uid="{00000000-0005-0000-0000-000051000000}"/>
    <cellStyle name="20% - Accent1 2 2 10" xfId="86" xr:uid="{00000000-0005-0000-0000-000052000000}"/>
    <cellStyle name="20% - Accent1 2 2 2" xfId="87" xr:uid="{00000000-0005-0000-0000-000053000000}"/>
    <cellStyle name="20% - Accent1 2 2 2 2" xfId="88" xr:uid="{00000000-0005-0000-0000-000054000000}"/>
    <cellStyle name="20% - Accent1 2 2 2 2 2" xfId="89" xr:uid="{00000000-0005-0000-0000-000055000000}"/>
    <cellStyle name="20% - Accent1 2 2 2 2 2 2" xfId="90" xr:uid="{00000000-0005-0000-0000-000056000000}"/>
    <cellStyle name="20% - Accent1 2 2 2 2 2 3" xfId="91" xr:uid="{00000000-0005-0000-0000-000057000000}"/>
    <cellStyle name="20% - Accent1 2 2 2 2 3" xfId="92" xr:uid="{00000000-0005-0000-0000-000058000000}"/>
    <cellStyle name="20% - Accent1 2 2 2 2 4" xfId="93" xr:uid="{00000000-0005-0000-0000-000059000000}"/>
    <cellStyle name="20% - Accent1 2 2 2 2 5" xfId="94" xr:uid="{00000000-0005-0000-0000-00005A000000}"/>
    <cellStyle name="20% - Accent1 2 2 2 2 6" xfId="95" xr:uid="{00000000-0005-0000-0000-00005B000000}"/>
    <cellStyle name="20% - Accent1 2 2 2 3" xfId="96" xr:uid="{00000000-0005-0000-0000-00005C000000}"/>
    <cellStyle name="20% - Accent1 2 2 2 3 2" xfId="97" xr:uid="{00000000-0005-0000-0000-00005D000000}"/>
    <cellStyle name="20% - Accent1 2 2 2 3 2 2" xfId="98" xr:uid="{00000000-0005-0000-0000-00005E000000}"/>
    <cellStyle name="20% - Accent1 2 2 2 3 3" xfId="99" xr:uid="{00000000-0005-0000-0000-00005F000000}"/>
    <cellStyle name="20% - Accent1 2 2 2 3 4" xfId="100" xr:uid="{00000000-0005-0000-0000-000060000000}"/>
    <cellStyle name="20% - Accent1 2 2 2 3 5" xfId="101" xr:uid="{00000000-0005-0000-0000-000061000000}"/>
    <cellStyle name="20% - Accent1 2 2 2 4" xfId="102" xr:uid="{00000000-0005-0000-0000-000062000000}"/>
    <cellStyle name="20% - Accent1 2 2 2 4 2" xfId="103" xr:uid="{00000000-0005-0000-0000-000063000000}"/>
    <cellStyle name="20% - Accent1 2 2 2 4 3" xfId="104" xr:uid="{00000000-0005-0000-0000-000064000000}"/>
    <cellStyle name="20% - Accent1 2 2 2 4 4" xfId="105" xr:uid="{00000000-0005-0000-0000-000065000000}"/>
    <cellStyle name="20% - Accent1 2 2 2 5" xfId="106" xr:uid="{00000000-0005-0000-0000-000066000000}"/>
    <cellStyle name="20% - Accent1 2 2 2 5 2" xfId="107" xr:uid="{00000000-0005-0000-0000-000067000000}"/>
    <cellStyle name="20% - Accent1 2 2 2 6" xfId="108" xr:uid="{00000000-0005-0000-0000-000068000000}"/>
    <cellStyle name="20% - Accent1 2 2 2 7" xfId="109" xr:uid="{00000000-0005-0000-0000-000069000000}"/>
    <cellStyle name="20% - Accent1 2 2 2 8" xfId="110" xr:uid="{00000000-0005-0000-0000-00006A000000}"/>
    <cellStyle name="20% - Accent1 2 2 2 9" xfId="111" xr:uid="{00000000-0005-0000-0000-00006B000000}"/>
    <cellStyle name="20% - Accent1 2 2 3" xfId="112" xr:uid="{00000000-0005-0000-0000-00006C000000}"/>
    <cellStyle name="20% - Accent1 2 2 3 2" xfId="113" xr:uid="{00000000-0005-0000-0000-00006D000000}"/>
    <cellStyle name="20% - Accent1 2 2 3 2 2" xfId="114" xr:uid="{00000000-0005-0000-0000-00006E000000}"/>
    <cellStyle name="20% - Accent1 2 2 3 2 3" xfId="115" xr:uid="{00000000-0005-0000-0000-00006F000000}"/>
    <cellStyle name="20% - Accent1 2 2 3 3" xfId="116" xr:uid="{00000000-0005-0000-0000-000070000000}"/>
    <cellStyle name="20% - Accent1 2 2 3 4" xfId="117" xr:uid="{00000000-0005-0000-0000-000071000000}"/>
    <cellStyle name="20% - Accent1 2 2 3 5" xfId="118" xr:uid="{00000000-0005-0000-0000-000072000000}"/>
    <cellStyle name="20% - Accent1 2 2 3 6" xfId="119" xr:uid="{00000000-0005-0000-0000-000073000000}"/>
    <cellStyle name="20% - Accent1 2 2 4" xfId="120" xr:uid="{00000000-0005-0000-0000-000074000000}"/>
    <cellStyle name="20% - Accent1 2 2 4 2" xfId="121" xr:uid="{00000000-0005-0000-0000-000075000000}"/>
    <cellStyle name="20% - Accent1 2 2 4 2 2" xfId="122" xr:uid="{00000000-0005-0000-0000-000076000000}"/>
    <cellStyle name="20% - Accent1 2 2 4 3" xfId="123" xr:uid="{00000000-0005-0000-0000-000077000000}"/>
    <cellStyle name="20% - Accent1 2 2 4 4" xfId="124" xr:uid="{00000000-0005-0000-0000-000078000000}"/>
    <cellStyle name="20% - Accent1 2 2 4 5" xfId="125" xr:uid="{00000000-0005-0000-0000-000079000000}"/>
    <cellStyle name="20% - Accent1 2 2 5" xfId="126" xr:uid="{00000000-0005-0000-0000-00007A000000}"/>
    <cellStyle name="20% - Accent1 2 2 5 2" xfId="127" xr:uid="{00000000-0005-0000-0000-00007B000000}"/>
    <cellStyle name="20% - Accent1 2 2 5 3" xfId="128" xr:uid="{00000000-0005-0000-0000-00007C000000}"/>
    <cellStyle name="20% - Accent1 2 2 5 4" xfId="129" xr:uid="{00000000-0005-0000-0000-00007D000000}"/>
    <cellStyle name="20% - Accent1 2 2 6" xfId="130" xr:uid="{00000000-0005-0000-0000-00007E000000}"/>
    <cellStyle name="20% - Accent1 2 2 6 2" xfId="131" xr:uid="{00000000-0005-0000-0000-00007F000000}"/>
    <cellStyle name="20% - Accent1 2 2 7" xfId="132" xr:uid="{00000000-0005-0000-0000-000080000000}"/>
    <cellStyle name="20% - Accent1 2 2 8" xfId="133" xr:uid="{00000000-0005-0000-0000-000081000000}"/>
    <cellStyle name="20% - Accent1 2 2 9" xfId="134" xr:uid="{00000000-0005-0000-0000-000082000000}"/>
    <cellStyle name="20% - Accent1 2 3" xfId="135" xr:uid="{00000000-0005-0000-0000-000083000000}"/>
    <cellStyle name="20% - Accent1 2 3 2" xfId="136" xr:uid="{00000000-0005-0000-0000-000084000000}"/>
    <cellStyle name="20% - Accent1 2 3 2 2" xfId="137" xr:uid="{00000000-0005-0000-0000-000085000000}"/>
    <cellStyle name="20% - Accent1 2 3 2 2 2" xfId="138" xr:uid="{00000000-0005-0000-0000-000086000000}"/>
    <cellStyle name="20% - Accent1 2 3 2 2 3" xfId="139" xr:uid="{00000000-0005-0000-0000-000087000000}"/>
    <cellStyle name="20% - Accent1 2 3 2 3" xfId="140" xr:uid="{00000000-0005-0000-0000-000088000000}"/>
    <cellStyle name="20% - Accent1 2 3 2 4" xfId="141" xr:uid="{00000000-0005-0000-0000-000089000000}"/>
    <cellStyle name="20% - Accent1 2 3 2 5" xfId="142" xr:uid="{00000000-0005-0000-0000-00008A000000}"/>
    <cellStyle name="20% - Accent1 2 3 2 6" xfId="143" xr:uid="{00000000-0005-0000-0000-00008B000000}"/>
    <cellStyle name="20% - Accent1 2 3 3" xfId="144" xr:uid="{00000000-0005-0000-0000-00008C000000}"/>
    <cellStyle name="20% - Accent1 2 3 3 2" xfId="145" xr:uid="{00000000-0005-0000-0000-00008D000000}"/>
    <cellStyle name="20% - Accent1 2 3 3 2 2" xfId="146" xr:uid="{00000000-0005-0000-0000-00008E000000}"/>
    <cellStyle name="20% - Accent1 2 3 3 3" xfId="147" xr:uid="{00000000-0005-0000-0000-00008F000000}"/>
    <cellStyle name="20% - Accent1 2 3 3 4" xfId="148" xr:uid="{00000000-0005-0000-0000-000090000000}"/>
    <cellStyle name="20% - Accent1 2 3 3 5" xfId="149" xr:uid="{00000000-0005-0000-0000-000091000000}"/>
    <cellStyle name="20% - Accent1 2 3 4" xfId="150" xr:uid="{00000000-0005-0000-0000-000092000000}"/>
    <cellStyle name="20% - Accent1 2 3 4 2" xfId="151" xr:uid="{00000000-0005-0000-0000-000093000000}"/>
    <cellStyle name="20% - Accent1 2 3 4 3" xfId="152" xr:uid="{00000000-0005-0000-0000-000094000000}"/>
    <cellStyle name="20% - Accent1 2 3 4 4" xfId="153" xr:uid="{00000000-0005-0000-0000-000095000000}"/>
    <cellStyle name="20% - Accent1 2 3 5" xfId="154" xr:uid="{00000000-0005-0000-0000-000096000000}"/>
    <cellStyle name="20% - Accent1 2 3 5 2" xfId="155" xr:uid="{00000000-0005-0000-0000-000097000000}"/>
    <cellStyle name="20% - Accent1 2 3 6" xfId="156" xr:uid="{00000000-0005-0000-0000-000098000000}"/>
    <cellStyle name="20% - Accent1 2 3 7" xfId="157" xr:uid="{00000000-0005-0000-0000-000099000000}"/>
    <cellStyle name="20% - Accent1 2 3 8" xfId="158" xr:uid="{00000000-0005-0000-0000-00009A000000}"/>
    <cellStyle name="20% - Accent1 2 3 9" xfId="159" xr:uid="{00000000-0005-0000-0000-00009B000000}"/>
    <cellStyle name="20% - Accent1 2 4" xfId="160" xr:uid="{00000000-0005-0000-0000-00009C000000}"/>
    <cellStyle name="20% - Accent1 2 4 2" xfId="161" xr:uid="{00000000-0005-0000-0000-00009D000000}"/>
    <cellStyle name="20% - Accent1 2 4 2 2" xfId="162" xr:uid="{00000000-0005-0000-0000-00009E000000}"/>
    <cellStyle name="20% - Accent1 2 4 2 3" xfId="163" xr:uid="{00000000-0005-0000-0000-00009F000000}"/>
    <cellStyle name="20% - Accent1 2 4 3" xfId="164" xr:uid="{00000000-0005-0000-0000-0000A0000000}"/>
    <cellStyle name="20% - Accent1 2 4 4" xfId="165" xr:uid="{00000000-0005-0000-0000-0000A1000000}"/>
    <cellStyle name="20% - Accent1 2 4 5" xfId="166" xr:uid="{00000000-0005-0000-0000-0000A2000000}"/>
    <cellStyle name="20% - Accent1 2 4 6" xfId="167" xr:uid="{00000000-0005-0000-0000-0000A3000000}"/>
    <cellStyle name="20% - Accent1 2 5" xfId="168" xr:uid="{00000000-0005-0000-0000-0000A4000000}"/>
    <cellStyle name="20% - Accent1 2 5 2" xfId="169" xr:uid="{00000000-0005-0000-0000-0000A5000000}"/>
    <cellStyle name="20% - Accent1 2 5 2 2" xfId="170" xr:uid="{00000000-0005-0000-0000-0000A6000000}"/>
    <cellStyle name="20% - Accent1 2 5 3" xfId="171" xr:uid="{00000000-0005-0000-0000-0000A7000000}"/>
    <cellStyle name="20% - Accent1 2 5 4" xfId="172" xr:uid="{00000000-0005-0000-0000-0000A8000000}"/>
    <cellStyle name="20% - Accent1 2 5 5" xfId="173" xr:uid="{00000000-0005-0000-0000-0000A9000000}"/>
    <cellStyle name="20% - Accent1 2 6" xfId="174" xr:uid="{00000000-0005-0000-0000-0000AA000000}"/>
    <cellStyle name="20% - Accent1 2 6 2" xfId="175" xr:uid="{00000000-0005-0000-0000-0000AB000000}"/>
    <cellStyle name="20% - Accent1 2 6 2 2" xfId="176" xr:uid="{00000000-0005-0000-0000-0000AC000000}"/>
    <cellStyle name="20% - Accent1 2 6 3" xfId="177" xr:uid="{00000000-0005-0000-0000-0000AD000000}"/>
    <cellStyle name="20% - Accent1 2 6 4" xfId="178" xr:uid="{00000000-0005-0000-0000-0000AE000000}"/>
    <cellStyle name="20% - Accent1 2 6 5" xfId="179" xr:uid="{00000000-0005-0000-0000-0000AF000000}"/>
    <cellStyle name="20% - Accent1 2 7" xfId="180" xr:uid="{00000000-0005-0000-0000-0000B0000000}"/>
    <cellStyle name="20% - Accent1 2 7 2" xfId="181" xr:uid="{00000000-0005-0000-0000-0000B1000000}"/>
    <cellStyle name="20% - Accent1 2 8" xfId="182" xr:uid="{00000000-0005-0000-0000-0000B2000000}"/>
    <cellStyle name="20% - Accent1 2 9" xfId="183" xr:uid="{00000000-0005-0000-0000-0000B3000000}"/>
    <cellStyle name="20% - Accent1 3" xfId="184" xr:uid="{00000000-0005-0000-0000-0000B4000000}"/>
    <cellStyle name="20% - Accent1 3 10" xfId="185" xr:uid="{00000000-0005-0000-0000-0000B5000000}"/>
    <cellStyle name="20% - Accent1 3 2" xfId="186" xr:uid="{00000000-0005-0000-0000-0000B6000000}"/>
    <cellStyle name="20% - Accent1 3 2 2" xfId="187" xr:uid="{00000000-0005-0000-0000-0000B7000000}"/>
    <cellStyle name="20% - Accent1 3 2 2 2" xfId="188" xr:uid="{00000000-0005-0000-0000-0000B8000000}"/>
    <cellStyle name="20% - Accent1 3 2 2 2 2" xfId="189" xr:uid="{00000000-0005-0000-0000-0000B9000000}"/>
    <cellStyle name="20% - Accent1 3 2 2 2 3" xfId="190" xr:uid="{00000000-0005-0000-0000-0000BA000000}"/>
    <cellStyle name="20% - Accent1 3 2 2 3" xfId="191" xr:uid="{00000000-0005-0000-0000-0000BB000000}"/>
    <cellStyle name="20% - Accent1 3 2 2 4" xfId="192" xr:uid="{00000000-0005-0000-0000-0000BC000000}"/>
    <cellStyle name="20% - Accent1 3 2 2 5" xfId="193" xr:uid="{00000000-0005-0000-0000-0000BD000000}"/>
    <cellStyle name="20% - Accent1 3 2 2 6" xfId="194" xr:uid="{00000000-0005-0000-0000-0000BE000000}"/>
    <cellStyle name="20% - Accent1 3 2 3" xfId="195" xr:uid="{00000000-0005-0000-0000-0000BF000000}"/>
    <cellStyle name="20% - Accent1 3 2 3 2" xfId="196" xr:uid="{00000000-0005-0000-0000-0000C0000000}"/>
    <cellStyle name="20% - Accent1 3 2 3 2 2" xfId="197" xr:uid="{00000000-0005-0000-0000-0000C1000000}"/>
    <cellStyle name="20% - Accent1 3 2 3 3" xfId="198" xr:uid="{00000000-0005-0000-0000-0000C2000000}"/>
    <cellStyle name="20% - Accent1 3 2 3 4" xfId="199" xr:uid="{00000000-0005-0000-0000-0000C3000000}"/>
    <cellStyle name="20% - Accent1 3 2 3 5" xfId="200" xr:uid="{00000000-0005-0000-0000-0000C4000000}"/>
    <cellStyle name="20% - Accent1 3 2 4" xfId="201" xr:uid="{00000000-0005-0000-0000-0000C5000000}"/>
    <cellStyle name="20% - Accent1 3 2 4 2" xfId="202" xr:uid="{00000000-0005-0000-0000-0000C6000000}"/>
    <cellStyle name="20% - Accent1 3 2 4 3" xfId="203" xr:uid="{00000000-0005-0000-0000-0000C7000000}"/>
    <cellStyle name="20% - Accent1 3 2 4 4" xfId="204" xr:uid="{00000000-0005-0000-0000-0000C8000000}"/>
    <cellStyle name="20% - Accent1 3 2 5" xfId="205" xr:uid="{00000000-0005-0000-0000-0000C9000000}"/>
    <cellStyle name="20% - Accent1 3 2 5 2" xfId="206" xr:uid="{00000000-0005-0000-0000-0000CA000000}"/>
    <cellStyle name="20% - Accent1 3 2 6" xfId="207" xr:uid="{00000000-0005-0000-0000-0000CB000000}"/>
    <cellStyle name="20% - Accent1 3 2 7" xfId="208" xr:uid="{00000000-0005-0000-0000-0000CC000000}"/>
    <cellStyle name="20% - Accent1 3 2 8" xfId="209" xr:uid="{00000000-0005-0000-0000-0000CD000000}"/>
    <cellStyle name="20% - Accent1 3 2 9" xfId="210" xr:uid="{00000000-0005-0000-0000-0000CE000000}"/>
    <cellStyle name="20% - Accent1 3 3" xfId="211" xr:uid="{00000000-0005-0000-0000-0000CF000000}"/>
    <cellStyle name="20% - Accent1 3 3 2" xfId="212" xr:uid="{00000000-0005-0000-0000-0000D0000000}"/>
    <cellStyle name="20% - Accent1 3 3 2 2" xfId="213" xr:uid="{00000000-0005-0000-0000-0000D1000000}"/>
    <cellStyle name="20% - Accent1 3 3 2 3" xfId="214" xr:uid="{00000000-0005-0000-0000-0000D2000000}"/>
    <cellStyle name="20% - Accent1 3 3 3" xfId="215" xr:uid="{00000000-0005-0000-0000-0000D3000000}"/>
    <cellStyle name="20% - Accent1 3 3 4" xfId="216" xr:uid="{00000000-0005-0000-0000-0000D4000000}"/>
    <cellStyle name="20% - Accent1 3 3 5" xfId="217" xr:uid="{00000000-0005-0000-0000-0000D5000000}"/>
    <cellStyle name="20% - Accent1 3 3 6" xfId="218" xr:uid="{00000000-0005-0000-0000-0000D6000000}"/>
    <cellStyle name="20% - Accent1 3 4" xfId="219" xr:uid="{00000000-0005-0000-0000-0000D7000000}"/>
    <cellStyle name="20% - Accent1 3 4 2" xfId="220" xr:uid="{00000000-0005-0000-0000-0000D8000000}"/>
    <cellStyle name="20% - Accent1 3 4 2 2" xfId="221" xr:uid="{00000000-0005-0000-0000-0000D9000000}"/>
    <cellStyle name="20% - Accent1 3 4 3" xfId="222" xr:uid="{00000000-0005-0000-0000-0000DA000000}"/>
    <cellStyle name="20% - Accent1 3 4 4" xfId="223" xr:uid="{00000000-0005-0000-0000-0000DB000000}"/>
    <cellStyle name="20% - Accent1 3 4 5" xfId="224" xr:uid="{00000000-0005-0000-0000-0000DC000000}"/>
    <cellStyle name="20% - Accent1 3 5" xfId="225" xr:uid="{00000000-0005-0000-0000-0000DD000000}"/>
    <cellStyle name="20% - Accent1 3 5 2" xfId="226" xr:uid="{00000000-0005-0000-0000-0000DE000000}"/>
    <cellStyle name="20% - Accent1 3 5 2 2" xfId="227" xr:uid="{00000000-0005-0000-0000-0000DF000000}"/>
    <cellStyle name="20% - Accent1 3 5 3" xfId="228" xr:uid="{00000000-0005-0000-0000-0000E0000000}"/>
    <cellStyle name="20% - Accent1 3 5 4" xfId="229" xr:uid="{00000000-0005-0000-0000-0000E1000000}"/>
    <cellStyle name="20% - Accent1 3 5 5" xfId="230" xr:uid="{00000000-0005-0000-0000-0000E2000000}"/>
    <cellStyle name="20% - Accent1 3 6" xfId="231" xr:uid="{00000000-0005-0000-0000-0000E3000000}"/>
    <cellStyle name="20% - Accent1 3 6 2" xfId="232" xr:uid="{00000000-0005-0000-0000-0000E4000000}"/>
    <cellStyle name="20% - Accent1 3 7" xfId="233" xr:uid="{00000000-0005-0000-0000-0000E5000000}"/>
    <cellStyle name="20% - Accent1 3 8" xfId="234" xr:uid="{00000000-0005-0000-0000-0000E6000000}"/>
    <cellStyle name="20% - Accent1 3 9" xfId="235" xr:uid="{00000000-0005-0000-0000-0000E7000000}"/>
    <cellStyle name="20% - Accent1 4" xfId="236" xr:uid="{00000000-0005-0000-0000-0000E8000000}"/>
    <cellStyle name="20% - Accent1 4 10" xfId="237" xr:uid="{00000000-0005-0000-0000-0000E9000000}"/>
    <cellStyle name="20% - Accent1 4 2" xfId="238" xr:uid="{00000000-0005-0000-0000-0000EA000000}"/>
    <cellStyle name="20% - Accent1 4 2 2" xfId="239" xr:uid="{00000000-0005-0000-0000-0000EB000000}"/>
    <cellStyle name="20% - Accent1 4 2 2 2" xfId="240" xr:uid="{00000000-0005-0000-0000-0000EC000000}"/>
    <cellStyle name="20% - Accent1 4 2 2 2 2" xfId="241" xr:uid="{00000000-0005-0000-0000-0000ED000000}"/>
    <cellStyle name="20% - Accent1 4 2 2 2 3" xfId="242" xr:uid="{00000000-0005-0000-0000-0000EE000000}"/>
    <cellStyle name="20% - Accent1 4 2 2 3" xfId="243" xr:uid="{00000000-0005-0000-0000-0000EF000000}"/>
    <cellStyle name="20% - Accent1 4 2 2 4" xfId="244" xr:uid="{00000000-0005-0000-0000-0000F0000000}"/>
    <cellStyle name="20% - Accent1 4 2 2 5" xfId="245" xr:uid="{00000000-0005-0000-0000-0000F1000000}"/>
    <cellStyle name="20% - Accent1 4 2 2 6" xfId="246" xr:uid="{00000000-0005-0000-0000-0000F2000000}"/>
    <cellStyle name="20% - Accent1 4 2 3" xfId="247" xr:uid="{00000000-0005-0000-0000-0000F3000000}"/>
    <cellStyle name="20% - Accent1 4 2 3 2" xfId="248" xr:uid="{00000000-0005-0000-0000-0000F4000000}"/>
    <cellStyle name="20% - Accent1 4 2 3 2 2" xfId="249" xr:uid="{00000000-0005-0000-0000-0000F5000000}"/>
    <cellStyle name="20% - Accent1 4 2 3 3" xfId="250" xr:uid="{00000000-0005-0000-0000-0000F6000000}"/>
    <cellStyle name="20% - Accent1 4 2 3 4" xfId="251" xr:uid="{00000000-0005-0000-0000-0000F7000000}"/>
    <cellStyle name="20% - Accent1 4 2 3 5" xfId="252" xr:uid="{00000000-0005-0000-0000-0000F8000000}"/>
    <cellStyle name="20% - Accent1 4 2 4" xfId="253" xr:uid="{00000000-0005-0000-0000-0000F9000000}"/>
    <cellStyle name="20% - Accent1 4 2 4 2" xfId="254" xr:uid="{00000000-0005-0000-0000-0000FA000000}"/>
    <cellStyle name="20% - Accent1 4 2 4 3" xfId="255" xr:uid="{00000000-0005-0000-0000-0000FB000000}"/>
    <cellStyle name="20% - Accent1 4 2 4 4" xfId="256" xr:uid="{00000000-0005-0000-0000-0000FC000000}"/>
    <cellStyle name="20% - Accent1 4 2 5" xfId="257" xr:uid="{00000000-0005-0000-0000-0000FD000000}"/>
    <cellStyle name="20% - Accent1 4 2 5 2" xfId="258" xr:uid="{00000000-0005-0000-0000-0000FE000000}"/>
    <cellStyle name="20% - Accent1 4 2 6" xfId="259" xr:uid="{00000000-0005-0000-0000-0000FF000000}"/>
    <cellStyle name="20% - Accent1 4 2 7" xfId="260" xr:uid="{00000000-0005-0000-0000-000000010000}"/>
    <cellStyle name="20% - Accent1 4 2 8" xfId="261" xr:uid="{00000000-0005-0000-0000-000001010000}"/>
    <cellStyle name="20% - Accent1 4 2 9" xfId="262" xr:uid="{00000000-0005-0000-0000-000002010000}"/>
    <cellStyle name="20% - Accent1 4 3" xfId="263" xr:uid="{00000000-0005-0000-0000-000003010000}"/>
    <cellStyle name="20% - Accent1 4 3 2" xfId="264" xr:uid="{00000000-0005-0000-0000-000004010000}"/>
    <cellStyle name="20% - Accent1 4 3 2 2" xfId="265" xr:uid="{00000000-0005-0000-0000-000005010000}"/>
    <cellStyle name="20% - Accent1 4 3 2 3" xfId="266" xr:uid="{00000000-0005-0000-0000-000006010000}"/>
    <cellStyle name="20% - Accent1 4 3 3" xfId="267" xr:uid="{00000000-0005-0000-0000-000007010000}"/>
    <cellStyle name="20% - Accent1 4 3 4" xfId="268" xr:uid="{00000000-0005-0000-0000-000008010000}"/>
    <cellStyle name="20% - Accent1 4 3 5" xfId="269" xr:uid="{00000000-0005-0000-0000-000009010000}"/>
    <cellStyle name="20% - Accent1 4 3 6" xfId="270" xr:uid="{00000000-0005-0000-0000-00000A010000}"/>
    <cellStyle name="20% - Accent1 4 4" xfId="271" xr:uid="{00000000-0005-0000-0000-00000B010000}"/>
    <cellStyle name="20% - Accent1 4 4 2" xfId="272" xr:uid="{00000000-0005-0000-0000-00000C010000}"/>
    <cellStyle name="20% - Accent1 4 4 2 2" xfId="273" xr:uid="{00000000-0005-0000-0000-00000D010000}"/>
    <cellStyle name="20% - Accent1 4 4 3" xfId="274" xr:uid="{00000000-0005-0000-0000-00000E010000}"/>
    <cellStyle name="20% - Accent1 4 4 4" xfId="275" xr:uid="{00000000-0005-0000-0000-00000F010000}"/>
    <cellStyle name="20% - Accent1 4 4 5" xfId="276" xr:uid="{00000000-0005-0000-0000-000010010000}"/>
    <cellStyle name="20% - Accent1 4 5" xfId="277" xr:uid="{00000000-0005-0000-0000-000011010000}"/>
    <cellStyle name="20% - Accent1 4 5 2" xfId="278" xr:uid="{00000000-0005-0000-0000-000012010000}"/>
    <cellStyle name="20% - Accent1 4 5 2 2" xfId="279" xr:uid="{00000000-0005-0000-0000-000013010000}"/>
    <cellStyle name="20% - Accent1 4 5 3" xfId="280" xr:uid="{00000000-0005-0000-0000-000014010000}"/>
    <cellStyle name="20% - Accent1 4 5 4" xfId="281" xr:uid="{00000000-0005-0000-0000-000015010000}"/>
    <cellStyle name="20% - Accent1 4 5 5" xfId="282" xr:uid="{00000000-0005-0000-0000-000016010000}"/>
    <cellStyle name="20% - Accent1 4 6" xfId="283" xr:uid="{00000000-0005-0000-0000-000017010000}"/>
    <cellStyle name="20% - Accent1 4 6 2" xfId="284" xr:uid="{00000000-0005-0000-0000-000018010000}"/>
    <cellStyle name="20% - Accent1 4 7" xfId="285" xr:uid="{00000000-0005-0000-0000-000019010000}"/>
    <cellStyle name="20% - Accent1 4 8" xfId="286" xr:uid="{00000000-0005-0000-0000-00001A010000}"/>
    <cellStyle name="20% - Accent1 4 9" xfId="287" xr:uid="{00000000-0005-0000-0000-00001B010000}"/>
    <cellStyle name="20% - Accent1 5" xfId="288" xr:uid="{00000000-0005-0000-0000-00001C010000}"/>
    <cellStyle name="20% - Accent1 5 10" xfId="289" xr:uid="{00000000-0005-0000-0000-00001D010000}"/>
    <cellStyle name="20% - Accent1 5 2" xfId="290" xr:uid="{00000000-0005-0000-0000-00001E010000}"/>
    <cellStyle name="20% - Accent1 5 2 2" xfId="291" xr:uid="{00000000-0005-0000-0000-00001F010000}"/>
    <cellStyle name="20% - Accent1 5 2 2 2" xfId="292" xr:uid="{00000000-0005-0000-0000-000020010000}"/>
    <cellStyle name="20% - Accent1 5 2 2 2 2" xfId="293" xr:uid="{00000000-0005-0000-0000-000021010000}"/>
    <cellStyle name="20% - Accent1 5 2 2 2 3" xfId="294" xr:uid="{00000000-0005-0000-0000-000022010000}"/>
    <cellStyle name="20% - Accent1 5 2 2 3" xfId="295" xr:uid="{00000000-0005-0000-0000-000023010000}"/>
    <cellStyle name="20% - Accent1 5 2 2 4" xfId="296" xr:uid="{00000000-0005-0000-0000-000024010000}"/>
    <cellStyle name="20% - Accent1 5 2 2 5" xfId="297" xr:uid="{00000000-0005-0000-0000-000025010000}"/>
    <cellStyle name="20% - Accent1 5 2 2 6" xfId="298" xr:uid="{00000000-0005-0000-0000-000026010000}"/>
    <cellStyle name="20% - Accent1 5 2 3" xfId="299" xr:uid="{00000000-0005-0000-0000-000027010000}"/>
    <cellStyle name="20% - Accent1 5 2 3 2" xfId="300" xr:uid="{00000000-0005-0000-0000-000028010000}"/>
    <cellStyle name="20% - Accent1 5 2 3 2 2" xfId="301" xr:uid="{00000000-0005-0000-0000-000029010000}"/>
    <cellStyle name="20% - Accent1 5 2 3 3" xfId="302" xr:uid="{00000000-0005-0000-0000-00002A010000}"/>
    <cellStyle name="20% - Accent1 5 2 3 4" xfId="303" xr:uid="{00000000-0005-0000-0000-00002B010000}"/>
    <cellStyle name="20% - Accent1 5 2 3 5" xfId="304" xr:uid="{00000000-0005-0000-0000-00002C010000}"/>
    <cellStyle name="20% - Accent1 5 2 4" xfId="305" xr:uid="{00000000-0005-0000-0000-00002D010000}"/>
    <cellStyle name="20% - Accent1 5 2 4 2" xfId="306" xr:uid="{00000000-0005-0000-0000-00002E010000}"/>
    <cellStyle name="20% - Accent1 5 2 4 3" xfId="307" xr:uid="{00000000-0005-0000-0000-00002F010000}"/>
    <cellStyle name="20% - Accent1 5 2 4 4" xfId="308" xr:uid="{00000000-0005-0000-0000-000030010000}"/>
    <cellStyle name="20% - Accent1 5 2 5" xfId="309" xr:uid="{00000000-0005-0000-0000-000031010000}"/>
    <cellStyle name="20% - Accent1 5 2 5 2" xfId="310" xr:uid="{00000000-0005-0000-0000-000032010000}"/>
    <cellStyle name="20% - Accent1 5 2 6" xfId="311" xr:uid="{00000000-0005-0000-0000-000033010000}"/>
    <cellStyle name="20% - Accent1 5 2 7" xfId="312" xr:uid="{00000000-0005-0000-0000-000034010000}"/>
    <cellStyle name="20% - Accent1 5 2 8" xfId="313" xr:uid="{00000000-0005-0000-0000-000035010000}"/>
    <cellStyle name="20% - Accent1 5 2 9" xfId="314" xr:uid="{00000000-0005-0000-0000-000036010000}"/>
    <cellStyle name="20% - Accent1 5 3" xfId="315" xr:uid="{00000000-0005-0000-0000-000037010000}"/>
    <cellStyle name="20% - Accent1 5 3 2" xfId="316" xr:uid="{00000000-0005-0000-0000-000038010000}"/>
    <cellStyle name="20% - Accent1 5 3 2 2" xfId="317" xr:uid="{00000000-0005-0000-0000-000039010000}"/>
    <cellStyle name="20% - Accent1 5 3 2 3" xfId="318" xr:uid="{00000000-0005-0000-0000-00003A010000}"/>
    <cellStyle name="20% - Accent1 5 3 3" xfId="319" xr:uid="{00000000-0005-0000-0000-00003B010000}"/>
    <cellStyle name="20% - Accent1 5 3 4" xfId="320" xr:uid="{00000000-0005-0000-0000-00003C010000}"/>
    <cellStyle name="20% - Accent1 5 3 5" xfId="321" xr:uid="{00000000-0005-0000-0000-00003D010000}"/>
    <cellStyle name="20% - Accent1 5 3 6" xfId="322" xr:uid="{00000000-0005-0000-0000-00003E010000}"/>
    <cellStyle name="20% - Accent1 5 4" xfId="323" xr:uid="{00000000-0005-0000-0000-00003F010000}"/>
    <cellStyle name="20% - Accent1 5 4 2" xfId="324" xr:uid="{00000000-0005-0000-0000-000040010000}"/>
    <cellStyle name="20% - Accent1 5 4 2 2" xfId="325" xr:uid="{00000000-0005-0000-0000-000041010000}"/>
    <cellStyle name="20% - Accent1 5 4 3" xfId="326" xr:uid="{00000000-0005-0000-0000-000042010000}"/>
    <cellStyle name="20% - Accent1 5 4 4" xfId="327" xr:uid="{00000000-0005-0000-0000-000043010000}"/>
    <cellStyle name="20% - Accent1 5 4 5" xfId="328" xr:uid="{00000000-0005-0000-0000-000044010000}"/>
    <cellStyle name="20% - Accent1 5 5" xfId="329" xr:uid="{00000000-0005-0000-0000-000045010000}"/>
    <cellStyle name="20% - Accent1 5 5 2" xfId="330" xr:uid="{00000000-0005-0000-0000-000046010000}"/>
    <cellStyle name="20% - Accent1 5 5 3" xfId="331" xr:uid="{00000000-0005-0000-0000-000047010000}"/>
    <cellStyle name="20% - Accent1 5 5 4" xfId="332" xr:uid="{00000000-0005-0000-0000-000048010000}"/>
    <cellStyle name="20% - Accent1 5 6" xfId="333" xr:uid="{00000000-0005-0000-0000-000049010000}"/>
    <cellStyle name="20% - Accent1 5 6 2" xfId="334" xr:uid="{00000000-0005-0000-0000-00004A010000}"/>
    <cellStyle name="20% - Accent1 5 7" xfId="335" xr:uid="{00000000-0005-0000-0000-00004B010000}"/>
    <cellStyle name="20% - Accent1 5 8" xfId="336" xr:uid="{00000000-0005-0000-0000-00004C010000}"/>
    <cellStyle name="20% - Accent1 5 9" xfId="337" xr:uid="{00000000-0005-0000-0000-00004D010000}"/>
    <cellStyle name="20% - Accent1 6" xfId="338" xr:uid="{00000000-0005-0000-0000-00004E010000}"/>
    <cellStyle name="20% - Accent1 6 10" xfId="339" xr:uid="{00000000-0005-0000-0000-00004F010000}"/>
    <cellStyle name="20% - Accent1 6 2" xfId="340" xr:uid="{00000000-0005-0000-0000-000050010000}"/>
    <cellStyle name="20% - Accent1 6 2 2" xfId="341" xr:uid="{00000000-0005-0000-0000-000051010000}"/>
    <cellStyle name="20% - Accent1 6 2 2 2" xfId="342" xr:uid="{00000000-0005-0000-0000-000052010000}"/>
    <cellStyle name="20% - Accent1 6 2 2 2 2" xfId="343" xr:uid="{00000000-0005-0000-0000-000053010000}"/>
    <cellStyle name="20% - Accent1 6 2 2 2 3" xfId="344" xr:uid="{00000000-0005-0000-0000-000054010000}"/>
    <cellStyle name="20% - Accent1 6 2 2 3" xfId="345" xr:uid="{00000000-0005-0000-0000-000055010000}"/>
    <cellStyle name="20% - Accent1 6 2 2 4" xfId="346" xr:uid="{00000000-0005-0000-0000-000056010000}"/>
    <cellStyle name="20% - Accent1 6 2 2 5" xfId="347" xr:uid="{00000000-0005-0000-0000-000057010000}"/>
    <cellStyle name="20% - Accent1 6 2 2 6" xfId="348" xr:uid="{00000000-0005-0000-0000-000058010000}"/>
    <cellStyle name="20% - Accent1 6 2 3" xfId="349" xr:uid="{00000000-0005-0000-0000-000059010000}"/>
    <cellStyle name="20% - Accent1 6 2 3 2" xfId="350" xr:uid="{00000000-0005-0000-0000-00005A010000}"/>
    <cellStyle name="20% - Accent1 6 2 3 2 2" xfId="351" xr:uid="{00000000-0005-0000-0000-00005B010000}"/>
    <cellStyle name="20% - Accent1 6 2 3 3" xfId="352" xr:uid="{00000000-0005-0000-0000-00005C010000}"/>
    <cellStyle name="20% - Accent1 6 2 3 4" xfId="353" xr:uid="{00000000-0005-0000-0000-00005D010000}"/>
    <cellStyle name="20% - Accent1 6 2 3 5" xfId="354" xr:uid="{00000000-0005-0000-0000-00005E010000}"/>
    <cellStyle name="20% - Accent1 6 2 4" xfId="355" xr:uid="{00000000-0005-0000-0000-00005F010000}"/>
    <cellStyle name="20% - Accent1 6 2 4 2" xfId="356" xr:uid="{00000000-0005-0000-0000-000060010000}"/>
    <cellStyle name="20% - Accent1 6 2 4 3" xfId="357" xr:uid="{00000000-0005-0000-0000-000061010000}"/>
    <cellStyle name="20% - Accent1 6 2 4 4" xfId="358" xr:uid="{00000000-0005-0000-0000-000062010000}"/>
    <cellStyle name="20% - Accent1 6 2 5" xfId="359" xr:uid="{00000000-0005-0000-0000-000063010000}"/>
    <cellStyle name="20% - Accent1 6 2 5 2" xfId="360" xr:uid="{00000000-0005-0000-0000-000064010000}"/>
    <cellStyle name="20% - Accent1 6 2 6" xfId="361" xr:uid="{00000000-0005-0000-0000-000065010000}"/>
    <cellStyle name="20% - Accent1 6 2 7" xfId="362" xr:uid="{00000000-0005-0000-0000-000066010000}"/>
    <cellStyle name="20% - Accent1 6 2 8" xfId="363" xr:uid="{00000000-0005-0000-0000-000067010000}"/>
    <cellStyle name="20% - Accent1 6 2 9" xfId="364" xr:uid="{00000000-0005-0000-0000-000068010000}"/>
    <cellStyle name="20% - Accent1 6 3" xfId="365" xr:uid="{00000000-0005-0000-0000-000069010000}"/>
    <cellStyle name="20% - Accent1 6 3 2" xfId="366" xr:uid="{00000000-0005-0000-0000-00006A010000}"/>
    <cellStyle name="20% - Accent1 6 3 2 2" xfId="367" xr:uid="{00000000-0005-0000-0000-00006B010000}"/>
    <cellStyle name="20% - Accent1 6 3 2 3" xfId="368" xr:uid="{00000000-0005-0000-0000-00006C010000}"/>
    <cellStyle name="20% - Accent1 6 3 3" xfId="369" xr:uid="{00000000-0005-0000-0000-00006D010000}"/>
    <cellStyle name="20% - Accent1 6 3 4" xfId="370" xr:uid="{00000000-0005-0000-0000-00006E010000}"/>
    <cellStyle name="20% - Accent1 6 3 5" xfId="371" xr:uid="{00000000-0005-0000-0000-00006F010000}"/>
    <cellStyle name="20% - Accent1 6 3 6" xfId="372" xr:uid="{00000000-0005-0000-0000-000070010000}"/>
    <cellStyle name="20% - Accent1 6 4" xfId="373" xr:uid="{00000000-0005-0000-0000-000071010000}"/>
    <cellStyle name="20% - Accent1 6 4 2" xfId="374" xr:uid="{00000000-0005-0000-0000-000072010000}"/>
    <cellStyle name="20% - Accent1 6 4 2 2" xfId="375" xr:uid="{00000000-0005-0000-0000-000073010000}"/>
    <cellStyle name="20% - Accent1 6 4 3" xfId="376" xr:uid="{00000000-0005-0000-0000-000074010000}"/>
    <cellStyle name="20% - Accent1 6 4 4" xfId="377" xr:uid="{00000000-0005-0000-0000-000075010000}"/>
    <cellStyle name="20% - Accent1 6 4 5" xfId="378" xr:uid="{00000000-0005-0000-0000-000076010000}"/>
    <cellStyle name="20% - Accent1 6 5" xfId="379" xr:uid="{00000000-0005-0000-0000-000077010000}"/>
    <cellStyle name="20% - Accent1 6 5 2" xfId="380" xr:uid="{00000000-0005-0000-0000-000078010000}"/>
    <cellStyle name="20% - Accent1 6 5 3" xfId="381" xr:uid="{00000000-0005-0000-0000-000079010000}"/>
    <cellStyle name="20% - Accent1 6 5 4" xfId="382" xr:uid="{00000000-0005-0000-0000-00007A010000}"/>
    <cellStyle name="20% - Accent1 6 6" xfId="383" xr:uid="{00000000-0005-0000-0000-00007B010000}"/>
    <cellStyle name="20% - Accent1 6 6 2" xfId="384" xr:uid="{00000000-0005-0000-0000-00007C010000}"/>
    <cellStyle name="20% - Accent1 6 7" xfId="385" xr:uid="{00000000-0005-0000-0000-00007D010000}"/>
    <cellStyle name="20% - Accent1 6 8" xfId="386" xr:uid="{00000000-0005-0000-0000-00007E010000}"/>
    <cellStyle name="20% - Accent1 6 9" xfId="387" xr:uid="{00000000-0005-0000-0000-00007F010000}"/>
    <cellStyle name="20% - Accent1 7" xfId="388" xr:uid="{00000000-0005-0000-0000-000080010000}"/>
    <cellStyle name="20% - Accent1 7 2" xfId="389" xr:uid="{00000000-0005-0000-0000-000081010000}"/>
    <cellStyle name="20% - Accent1 7 2 2" xfId="390" xr:uid="{00000000-0005-0000-0000-000082010000}"/>
    <cellStyle name="20% - Accent1 7 2 2 2" xfId="391" xr:uid="{00000000-0005-0000-0000-000083010000}"/>
    <cellStyle name="20% - Accent1 7 2 2 3" xfId="392" xr:uid="{00000000-0005-0000-0000-000084010000}"/>
    <cellStyle name="20% - Accent1 7 2 3" xfId="393" xr:uid="{00000000-0005-0000-0000-000085010000}"/>
    <cellStyle name="20% - Accent1 7 2 4" xfId="394" xr:uid="{00000000-0005-0000-0000-000086010000}"/>
    <cellStyle name="20% - Accent1 7 2 5" xfId="395" xr:uid="{00000000-0005-0000-0000-000087010000}"/>
    <cellStyle name="20% - Accent1 7 2 6" xfId="396" xr:uid="{00000000-0005-0000-0000-000088010000}"/>
    <cellStyle name="20% - Accent1 7 3" xfId="397" xr:uid="{00000000-0005-0000-0000-000089010000}"/>
    <cellStyle name="20% - Accent1 7 3 2" xfId="398" xr:uid="{00000000-0005-0000-0000-00008A010000}"/>
    <cellStyle name="20% - Accent1 7 3 2 2" xfId="399" xr:uid="{00000000-0005-0000-0000-00008B010000}"/>
    <cellStyle name="20% - Accent1 7 3 3" xfId="400" xr:uid="{00000000-0005-0000-0000-00008C010000}"/>
    <cellStyle name="20% - Accent1 7 3 4" xfId="401" xr:uid="{00000000-0005-0000-0000-00008D010000}"/>
    <cellStyle name="20% - Accent1 7 3 5" xfId="402" xr:uid="{00000000-0005-0000-0000-00008E010000}"/>
    <cellStyle name="20% - Accent1 7 4" xfId="403" xr:uid="{00000000-0005-0000-0000-00008F010000}"/>
    <cellStyle name="20% - Accent1 7 4 2" xfId="404" xr:uid="{00000000-0005-0000-0000-000090010000}"/>
    <cellStyle name="20% - Accent1 7 4 3" xfId="405" xr:uid="{00000000-0005-0000-0000-000091010000}"/>
    <cellStyle name="20% - Accent1 7 4 4" xfId="406" xr:uid="{00000000-0005-0000-0000-000092010000}"/>
    <cellStyle name="20% - Accent1 7 5" xfId="407" xr:uid="{00000000-0005-0000-0000-000093010000}"/>
    <cellStyle name="20% - Accent1 7 5 2" xfId="408" xr:uid="{00000000-0005-0000-0000-000094010000}"/>
    <cellStyle name="20% - Accent1 7 6" xfId="409" xr:uid="{00000000-0005-0000-0000-000095010000}"/>
    <cellStyle name="20% - Accent1 7 7" xfId="410" xr:uid="{00000000-0005-0000-0000-000096010000}"/>
    <cellStyle name="20% - Accent1 7 8" xfId="411" xr:uid="{00000000-0005-0000-0000-000097010000}"/>
    <cellStyle name="20% - Accent1 7 9" xfId="412" xr:uid="{00000000-0005-0000-0000-000098010000}"/>
    <cellStyle name="20% - Accent1 8" xfId="413" xr:uid="{00000000-0005-0000-0000-000099010000}"/>
    <cellStyle name="20% - Accent1 8 2" xfId="414" xr:uid="{00000000-0005-0000-0000-00009A010000}"/>
    <cellStyle name="20% - Accent1 8 2 2" xfId="415" xr:uid="{00000000-0005-0000-0000-00009B010000}"/>
    <cellStyle name="20% - Accent1 8 2 2 2" xfId="416" xr:uid="{00000000-0005-0000-0000-00009C010000}"/>
    <cellStyle name="20% - Accent1 8 2 2 3" xfId="417" xr:uid="{00000000-0005-0000-0000-00009D010000}"/>
    <cellStyle name="20% - Accent1 8 2 3" xfId="418" xr:uid="{00000000-0005-0000-0000-00009E010000}"/>
    <cellStyle name="20% - Accent1 8 2 4" xfId="419" xr:uid="{00000000-0005-0000-0000-00009F010000}"/>
    <cellStyle name="20% - Accent1 8 2 5" xfId="420" xr:uid="{00000000-0005-0000-0000-0000A0010000}"/>
    <cellStyle name="20% - Accent1 8 2 6" xfId="421" xr:uid="{00000000-0005-0000-0000-0000A1010000}"/>
    <cellStyle name="20% - Accent1 8 3" xfId="422" xr:uid="{00000000-0005-0000-0000-0000A2010000}"/>
    <cellStyle name="20% - Accent1 8 3 2" xfId="423" xr:uid="{00000000-0005-0000-0000-0000A3010000}"/>
    <cellStyle name="20% - Accent1 8 3 2 2" xfId="424" xr:uid="{00000000-0005-0000-0000-0000A4010000}"/>
    <cellStyle name="20% - Accent1 8 3 3" xfId="425" xr:uid="{00000000-0005-0000-0000-0000A5010000}"/>
    <cellStyle name="20% - Accent1 8 3 4" xfId="426" xr:uid="{00000000-0005-0000-0000-0000A6010000}"/>
    <cellStyle name="20% - Accent1 8 3 5" xfId="427" xr:uid="{00000000-0005-0000-0000-0000A7010000}"/>
    <cellStyle name="20% - Accent1 8 4" xfId="428" xr:uid="{00000000-0005-0000-0000-0000A8010000}"/>
    <cellStyle name="20% - Accent1 8 4 2" xfId="429" xr:uid="{00000000-0005-0000-0000-0000A9010000}"/>
    <cellStyle name="20% - Accent1 8 4 3" xfId="430" xr:uid="{00000000-0005-0000-0000-0000AA010000}"/>
    <cellStyle name="20% - Accent1 8 4 4" xfId="431" xr:uid="{00000000-0005-0000-0000-0000AB010000}"/>
    <cellStyle name="20% - Accent1 8 5" xfId="432" xr:uid="{00000000-0005-0000-0000-0000AC010000}"/>
    <cellStyle name="20% - Accent1 8 5 2" xfId="433" xr:uid="{00000000-0005-0000-0000-0000AD010000}"/>
    <cellStyle name="20% - Accent1 8 6" xfId="434" xr:uid="{00000000-0005-0000-0000-0000AE010000}"/>
    <cellStyle name="20% - Accent1 8 7" xfId="435" xr:uid="{00000000-0005-0000-0000-0000AF010000}"/>
    <cellStyle name="20% - Accent1 8 8" xfId="436" xr:uid="{00000000-0005-0000-0000-0000B0010000}"/>
    <cellStyle name="20% - Accent1 8 9" xfId="437" xr:uid="{00000000-0005-0000-0000-0000B1010000}"/>
    <cellStyle name="20% - Accent1 9" xfId="438" xr:uid="{00000000-0005-0000-0000-0000B2010000}"/>
    <cellStyle name="20% - Accent1 9 2" xfId="439" xr:uid="{00000000-0005-0000-0000-0000B3010000}"/>
    <cellStyle name="20% - Accent1 9 2 2" xfId="440" xr:uid="{00000000-0005-0000-0000-0000B4010000}"/>
    <cellStyle name="20% - Accent1 9 2 2 2" xfId="441" xr:uid="{00000000-0005-0000-0000-0000B5010000}"/>
    <cellStyle name="20% - Accent1 9 2 3" xfId="442" xr:uid="{00000000-0005-0000-0000-0000B6010000}"/>
    <cellStyle name="20% - Accent1 9 2 4" xfId="443" xr:uid="{00000000-0005-0000-0000-0000B7010000}"/>
    <cellStyle name="20% - Accent1 9 2 5" xfId="444" xr:uid="{00000000-0005-0000-0000-0000B8010000}"/>
    <cellStyle name="20% - Accent1 9 3" xfId="445" xr:uid="{00000000-0005-0000-0000-0000B9010000}"/>
    <cellStyle name="20% - Accent1 9 3 2" xfId="446" xr:uid="{00000000-0005-0000-0000-0000BA010000}"/>
    <cellStyle name="20% - Accent1 9 3 3" xfId="447" xr:uid="{00000000-0005-0000-0000-0000BB010000}"/>
    <cellStyle name="20% - Accent1 9 3 4" xfId="448" xr:uid="{00000000-0005-0000-0000-0000BC010000}"/>
    <cellStyle name="20% - Accent1 9 4" xfId="449" xr:uid="{00000000-0005-0000-0000-0000BD010000}"/>
    <cellStyle name="20% - Accent1 9 4 2" xfId="450" xr:uid="{00000000-0005-0000-0000-0000BE010000}"/>
    <cellStyle name="20% - Accent1 9 5" xfId="451" xr:uid="{00000000-0005-0000-0000-0000BF010000}"/>
    <cellStyle name="20% - Accent1 9 6" xfId="452" xr:uid="{00000000-0005-0000-0000-0000C0010000}"/>
    <cellStyle name="20% - Accent1 9 7" xfId="453" xr:uid="{00000000-0005-0000-0000-0000C1010000}"/>
    <cellStyle name="20% - Accent1 9 8" xfId="454" xr:uid="{00000000-0005-0000-0000-0000C2010000}"/>
    <cellStyle name="20% - Accent2 10" xfId="455" xr:uid="{00000000-0005-0000-0000-0000C3010000}"/>
    <cellStyle name="20% - Accent2 10 2" xfId="456" xr:uid="{00000000-0005-0000-0000-0000C4010000}"/>
    <cellStyle name="20% - Accent2 10 2 2" xfId="457" xr:uid="{00000000-0005-0000-0000-0000C5010000}"/>
    <cellStyle name="20% - Accent2 10 2 2 2" xfId="458" xr:uid="{00000000-0005-0000-0000-0000C6010000}"/>
    <cellStyle name="20% - Accent2 10 2 3" xfId="459" xr:uid="{00000000-0005-0000-0000-0000C7010000}"/>
    <cellStyle name="20% - Accent2 10 2 4" xfId="460" xr:uid="{00000000-0005-0000-0000-0000C8010000}"/>
    <cellStyle name="20% - Accent2 10 2 5" xfId="461" xr:uid="{00000000-0005-0000-0000-0000C9010000}"/>
    <cellStyle name="20% - Accent2 10 3" xfId="462" xr:uid="{00000000-0005-0000-0000-0000CA010000}"/>
    <cellStyle name="20% - Accent2 10 3 2" xfId="463" xr:uid="{00000000-0005-0000-0000-0000CB010000}"/>
    <cellStyle name="20% - Accent2 10 3 3" xfId="464" xr:uid="{00000000-0005-0000-0000-0000CC010000}"/>
    <cellStyle name="20% - Accent2 10 3 4" xfId="465" xr:uid="{00000000-0005-0000-0000-0000CD010000}"/>
    <cellStyle name="20% - Accent2 10 4" xfId="466" xr:uid="{00000000-0005-0000-0000-0000CE010000}"/>
    <cellStyle name="20% - Accent2 10 4 2" xfId="467" xr:uid="{00000000-0005-0000-0000-0000CF010000}"/>
    <cellStyle name="20% - Accent2 10 5" xfId="468" xr:uid="{00000000-0005-0000-0000-0000D0010000}"/>
    <cellStyle name="20% - Accent2 10 6" xfId="469" xr:uid="{00000000-0005-0000-0000-0000D1010000}"/>
    <cellStyle name="20% - Accent2 10 7" xfId="470" xr:uid="{00000000-0005-0000-0000-0000D2010000}"/>
    <cellStyle name="20% - Accent2 10 8" xfId="471" xr:uid="{00000000-0005-0000-0000-0000D3010000}"/>
    <cellStyle name="20% - Accent2 11" xfId="472" xr:uid="{00000000-0005-0000-0000-0000D4010000}"/>
    <cellStyle name="20% - Accent2 11 2" xfId="473" xr:uid="{00000000-0005-0000-0000-0000D5010000}"/>
    <cellStyle name="20% - Accent2 11 2 2" xfId="474" xr:uid="{00000000-0005-0000-0000-0000D6010000}"/>
    <cellStyle name="20% - Accent2 11 2 2 2" xfId="475" xr:uid="{00000000-0005-0000-0000-0000D7010000}"/>
    <cellStyle name="20% - Accent2 11 2 3" xfId="476" xr:uid="{00000000-0005-0000-0000-0000D8010000}"/>
    <cellStyle name="20% - Accent2 11 2 4" xfId="477" xr:uid="{00000000-0005-0000-0000-0000D9010000}"/>
    <cellStyle name="20% - Accent2 11 2 5" xfId="478" xr:uid="{00000000-0005-0000-0000-0000DA010000}"/>
    <cellStyle name="20% - Accent2 11 3" xfId="479" xr:uid="{00000000-0005-0000-0000-0000DB010000}"/>
    <cellStyle name="20% - Accent2 11 3 2" xfId="480" xr:uid="{00000000-0005-0000-0000-0000DC010000}"/>
    <cellStyle name="20% - Accent2 11 3 3" xfId="481" xr:uid="{00000000-0005-0000-0000-0000DD010000}"/>
    <cellStyle name="20% - Accent2 11 3 4" xfId="482" xr:uid="{00000000-0005-0000-0000-0000DE010000}"/>
    <cellStyle name="20% - Accent2 11 4" xfId="483" xr:uid="{00000000-0005-0000-0000-0000DF010000}"/>
    <cellStyle name="20% - Accent2 11 4 2" xfId="484" xr:uid="{00000000-0005-0000-0000-0000E0010000}"/>
    <cellStyle name="20% - Accent2 11 5" xfId="485" xr:uid="{00000000-0005-0000-0000-0000E1010000}"/>
    <cellStyle name="20% - Accent2 11 6" xfId="486" xr:uid="{00000000-0005-0000-0000-0000E2010000}"/>
    <cellStyle name="20% - Accent2 11 7" xfId="487" xr:uid="{00000000-0005-0000-0000-0000E3010000}"/>
    <cellStyle name="20% - Accent2 11 8" xfId="488" xr:uid="{00000000-0005-0000-0000-0000E4010000}"/>
    <cellStyle name="20% - Accent2 12" xfId="489" xr:uid="{00000000-0005-0000-0000-0000E5010000}"/>
    <cellStyle name="20% - Accent2 12 2" xfId="490" xr:uid="{00000000-0005-0000-0000-0000E6010000}"/>
    <cellStyle name="20% - Accent2 12 2 2" xfId="491" xr:uid="{00000000-0005-0000-0000-0000E7010000}"/>
    <cellStyle name="20% - Accent2 12 2 2 2" xfId="492" xr:uid="{00000000-0005-0000-0000-0000E8010000}"/>
    <cellStyle name="20% - Accent2 12 2 3" xfId="493" xr:uid="{00000000-0005-0000-0000-0000E9010000}"/>
    <cellStyle name="20% - Accent2 12 2 4" xfId="494" xr:uid="{00000000-0005-0000-0000-0000EA010000}"/>
    <cellStyle name="20% - Accent2 12 2 5" xfId="495" xr:uid="{00000000-0005-0000-0000-0000EB010000}"/>
    <cellStyle name="20% - Accent2 12 3" xfId="496" xr:uid="{00000000-0005-0000-0000-0000EC010000}"/>
    <cellStyle name="20% - Accent2 12 3 2" xfId="497" xr:uid="{00000000-0005-0000-0000-0000ED010000}"/>
    <cellStyle name="20% - Accent2 12 3 3" xfId="498" xr:uid="{00000000-0005-0000-0000-0000EE010000}"/>
    <cellStyle name="20% - Accent2 12 3 4" xfId="499" xr:uid="{00000000-0005-0000-0000-0000EF010000}"/>
    <cellStyle name="20% - Accent2 12 4" xfId="500" xr:uid="{00000000-0005-0000-0000-0000F0010000}"/>
    <cellStyle name="20% - Accent2 12 4 2" xfId="501" xr:uid="{00000000-0005-0000-0000-0000F1010000}"/>
    <cellStyle name="20% - Accent2 12 5" xfId="502" xr:uid="{00000000-0005-0000-0000-0000F2010000}"/>
    <cellStyle name="20% - Accent2 12 6" xfId="503" xr:uid="{00000000-0005-0000-0000-0000F3010000}"/>
    <cellStyle name="20% - Accent2 12 7" xfId="504" xr:uid="{00000000-0005-0000-0000-0000F4010000}"/>
    <cellStyle name="20% - Accent2 12 8" xfId="505" xr:uid="{00000000-0005-0000-0000-0000F5010000}"/>
    <cellStyle name="20% - Accent2 13" xfId="506" xr:uid="{00000000-0005-0000-0000-0000F6010000}"/>
    <cellStyle name="20% - Accent2 13 2" xfId="507" xr:uid="{00000000-0005-0000-0000-0000F7010000}"/>
    <cellStyle name="20% - Accent2 13 2 2" xfId="508" xr:uid="{00000000-0005-0000-0000-0000F8010000}"/>
    <cellStyle name="20% - Accent2 13 2 3" xfId="509" xr:uid="{00000000-0005-0000-0000-0000F9010000}"/>
    <cellStyle name="20% - Accent2 13 2 4" xfId="510" xr:uid="{00000000-0005-0000-0000-0000FA010000}"/>
    <cellStyle name="20% - Accent2 13 3" xfId="511" xr:uid="{00000000-0005-0000-0000-0000FB010000}"/>
    <cellStyle name="20% - Accent2 13 3 2" xfId="512" xr:uid="{00000000-0005-0000-0000-0000FC010000}"/>
    <cellStyle name="20% - Accent2 13 4" xfId="513" xr:uid="{00000000-0005-0000-0000-0000FD010000}"/>
    <cellStyle name="20% - Accent2 13 5" xfId="514" xr:uid="{00000000-0005-0000-0000-0000FE010000}"/>
    <cellStyle name="20% - Accent2 13 6" xfId="515" xr:uid="{00000000-0005-0000-0000-0000FF010000}"/>
    <cellStyle name="20% - Accent2 14" xfId="516" xr:uid="{00000000-0005-0000-0000-000000020000}"/>
    <cellStyle name="20% - Accent2 14 2" xfId="517" xr:uid="{00000000-0005-0000-0000-000001020000}"/>
    <cellStyle name="20% - Accent2 14 2 2" xfId="518" xr:uid="{00000000-0005-0000-0000-000002020000}"/>
    <cellStyle name="20% - Accent2 14 3" xfId="519" xr:uid="{00000000-0005-0000-0000-000003020000}"/>
    <cellStyle name="20% - Accent2 14 4" xfId="520" xr:uid="{00000000-0005-0000-0000-000004020000}"/>
    <cellStyle name="20% - Accent2 14 5" xfId="521" xr:uid="{00000000-0005-0000-0000-000005020000}"/>
    <cellStyle name="20% - Accent2 15" xfId="522" xr:uid="{00000000-0005-0000-0000-000006020000}"/>
    <cellStyle name="20% - Accent2 15 2" xfId="523" xr:uid="{00000000-0005-0000-0000-000007020000}"/>
    <cellStyle name="20% - Accent2 15 2 2" xfId="524" xr:uid="{00000000-0005-0000-0000-000008020000}"/>
    <cellStyle name="20% - Accent2 15 3" xfId="525" xr:uid="{00000000-0005-0000-0000-000009020000}"/>
    <cellStyle name="20% - Accent2 15 4" xfId="526" xr:uid="{00000000-0005-0000-0000-00000A020000}"/>
    <cellStyle name="20% - Accent2 15 5" xfId="527" xr:uid="{00000000-0005-0000-0000-00000B020000}"/>
    <cellStyle name="20% - Accent2 16" xfId="528" xr:uid="{00000000-0005-0000-0000-00000C020000}"/>
    <cellStyle name="20% - Accent2 16 2" xfId="529" xr:uid="{00000000-0005-0000-0000-00000D020000}"/>
    <cellStyle name="20% - Accent2 17" xfId="530" xr:uid="{00000000-0005-0000-0000-00000E020000}"/>
    <cellStyle name="20% - Accent2 18" xfId="531" xr:uid="{00000000-0005-0000-0000-00000F020000}"/>
    <cellStyle name="20% - Accent2 19" xfId="532" xr:uid="{00000000-0005-0000-0000-000010020000}"/>
    <cellStyle name="20% - Accent2 2" xfId="533" xr:uid="{00000000-0005-0000-0000-000011020000}"/>
    <cellStyle name="20% - Accent2 2 10" xfId="534" xr:uid="{00000000-0005-0000-0000-000012020000}"/>
    <cellStyle name="20% - Accent2 2 11" xfId="535" xr:uid="{00000000-0005-0000-0000-000013020000}"/>
    <cellStyle name="20% - Accent2 2 2" xfId="536" xr:uid="{00000000-0005-0000-0000-000014020000}"/>
    <cellStyle name="20% - Accent2 2 2 10" xfId="537" xr:uid="{00000000-0005-0000-0000-000015020000}"/>
    <cellStyle name="20% - Accent2 2 2 2" xfId="538" xr:uid="{00000000-0005-0000-0000-000016020000}"/>
    <cellStyle name="20% - Accent2 2 2 2 2" xfId="539" xr:uid="{00000000-0005-0000-0000-000017020000}"/>
    <cellStyle name="20% - Accent2 2 2 2 2 2" xfId="540" xr:uid="{00000000-0005-0000-0000-000018020000}"/>
    <cellStyle name="20% - Accent2 2 2 2 2 2 2" xfId="541" xr:uid="{00000000-0005-0000-0000-000019020000}"/>
    <cellStyle name="20% - Accent2 2 2 2 2 2 3" xfId="542" xr:uid="{00000000-0005-0000-0000-00001A020000}"/>
    <cellStyle name="20% - Accent2 2 2 2 2 3" xfId="543" xr:uid="{00000000-0005-0000-0000-00001B020000}"/>
    <cellStyle name="20% - Accent2 2 2 2 2 4" xfId="544" xr:uid="{00000000-0005-0000-0000-00001C020000}"/>
    <cellStyle name="20% - Accent2 2 2 2 2 5" xfId="545" xr:uid="{00000000-0005-0000-0000-00001D020000}"/>
    <cellStyle name="20% - Accent2 2 2 2 2 6" xfId="546" xr:uid="{00000000-0005-0000-0000-00001E020000}"/>
    <cellStyle name="20% - Accent2 2 2 2 3" xfId="547" xr:uid="{00000000-0005-0000-0000-00001F020000}"/>
    <cellStyle name="20% - Accent2 2 2 2 3 2" xfId="548" xr:uid="{00000000-0005-0000-0000-000020020000}"/>
    <cellStyle name="20% - Accent2 2 2 2 3 2 2" xfId="549" xr:uid="{00000000-0005-0000-0000-000021020000}"/>
    <cellStyle name="20% - Accent2 2 2 2 3 3" xfId="550" xr:uid="{00000000-0005-0000-0000-000022020000}"/>
    <cellStyle name="20% - Accent2 2 2 2 3 4" xfId="551" xr:uid="{00000000-0005-0000-0000-000023020000}"/>
    <cellStyle name="20% - Accent2 2 2 2 3 5" xfId="552" xr:uid="{00000000-0005-0000-0000-000024020000}"/>
    <cellStyle name="20% - Accent2 2 2 2 4" xfId="553" xr:uid="{00000000-0005-0000-0000-000025020000}"/>
    <cellStyle name="20% - Accent2 2 2 2 4 2" xfId="554" xr:uid="{00000000-0005-0000-0000-000026020000}"/>
    <cellStyle name="20% - Accent2 2 2 2 4 3" xfId="555" xr:uid="{00000000-0005-0000-0000-000027020000}"/>
    <cellStyle name="20% - Accent2 2 2 2 4 4" xfId="556" xr:uid="{00000000-0005-0000-0000-000028020000}"/>
    <cellStyle name="20% - Accent2 2 2 2 5" xfId="557" xr:uid="{00000000-0005-0000-0000-000029020000}"/>
    <cellStyle name="20% - Accent2 2 2 2 5 2" xfId="558" xr:uid="{00000000-0005-0000-0000-00002A020000}"/>
    <cellStyle name="20% - Accent2 2 2 2 6" xfId="559" xr:uid="{00000000-0005-0000-0000-00002B020000}"/>
    <cellStyle name="20% - Accent2 2 2 2 7" xfId="560" xr:uid="{00000000-0005-0000-0000-00002C020000}"/>
    <cellStyle name="20% - Accent2 2 2 2 8" xfId="561" xr:uid="{00000000-0005-0000-0000-00002D020000}"/>
    <cellStyle name="20% - Accent2 2 2 2 9" xfId="562" xr:uid="{00000000-0005-0000-0000-00002E020000}"/>
    <cellStyle name="20% - Accent2 2 2 3" xfId="563" xr:uid="{00000000-0005-0000-0000-00002F020000}"/>
    <cellStyle name="20% - Accent2 2 2 3 2" xfId="564" xr:uid="{00000000-0005-0000-0000-000030020000}"/>
    <cellStyle name="20% - Accent2 2 2 3 2 2" xfId="565" xr:uid="{00000000-0005-0000-0000-000031020000}"/>
    <cellStyle name="20% - Accent2 2 2 3 2 3" xfId="566" xr:uid="{00000000-0005-0000-0000-000032020000}"/>
    <cellStyle name="20% - Accent2 2 2 3 3" xfId="567" xr:uid="{00000000-0005-0000-0000-000033020000}"/>
    <cellStyle name="20% - Accent2 2 2 3 4" xfId="568" xr:uid="{00000000-0005-0000-0000-000034020000}"/>
    <cellStyle name="20% - Accent2 2 2 3 5" xfId="569" xr:uid="{00000000-0005-0000-0000-000035020000}"/>
    <cellStyle name="20% - Accent2 2 2 3 6" xfId="570" xr:uid="{00000000-0005-0000-0000-000036020000}"/>
    <cellStyle name="20% - Accent2 2 2 4" xfId="571" xr:uid="{00000000-0005-0000-0000-000037020000}"/>
    <cellStyle name="20% - Accent2 2 2 4 2" xfId="572" xr:uid="{00000000-0005-0000-0000-000038020000}"/>
    <cellStyle name="20% - Accent2 2 2 4 2 2" xfId="573" xr:uid="{00000000-0005-0000-0000-000039020000}"/>
    <cellStyle name="20% - Accent2 2 2 4 3" xfId="574" xr:uid="{00000000-0005-0000-0000-00003A020000}"/>
    <cellStyle name="20% - Accent2 2 2 4 4" xfId="575" xr:uid="{00000000-0005-0000-0000-00003B020000}"/>
    <cellStyle name="20% - Accent2 2 2 4 5" xfId="576" xr:uid="{00000000-0005-0000-0000-00003C020000}"/>
    <cellStyle name="20% - Accent2 2 2 5" xfId="577" xr:uid="{00000000-0005-0000-0000-00003D020000}"/>
    <cellStyle name="20% - Accent2 2 2 5 2" xfId="578" xr:uid="{00000000-0005-0000-0000-00003E020000}"/>
    <cellStyle name="20% - Accent2 2 2 5 3" xfId="579" xr:uid="{00000000-0005-0000-0000-00003F020000}"/>
    <cellStyle name="20% - Accent2 2 2 5 4" xfId="580" xr:uid="{00000000-0005-0000-0000-000040020000}"/>
    <cellStyle name="20% - Accent2 2 2 6" xfId="581" xr:uid="{00000000-0005-0000-0000-000041020000}"/>
    <cellStyle name="20% - Accent2 2 2 6 2" xfId="582" xr:uid="{00000000-0005-0000-0000-000042020000}"/>
    <cellStyle name="20% - Accent2 2 2 7" xfId="583" xr:uid="{00000000-0005-0000-0000-000043020000}"/>
    <cellStyle name="20% - Accent2 2 2 8" xfId="584" xr:uid="{00000000-0005-0000-0000-000044020000}"/>
    <cellStyle name="20% - Accent2 2 2 9" xfId="585" xr:uid="{00000000-0005-0000-0000-000045020000}"/>
    <cellStyle name="20% - Accent2 2 3" xfId="586" xr:uid="{00000000-0005-0000-0000-000046020000}"/>
    <cellStyle name="20% - Accent2 2 3 2" xfId="587" xr:uid="{00000000-0005-0000-0000-000047020000}"/>
    <cellStyle name="20% - Accent2 2 3 2 2" xfId="588" xr:uid="{00000000-0005-0000-0000-000048020000}"/>
    <cellStyle name="20% - Accent2 2 3 2 2 2" xfId="589" xr:uid="{00000000-0005-0000-0000-000049020000}"/>
    <cellStyle name="20% - Accent2 2 3 2 2 3" xfId="590" xr:uid="{00000000-0005-0000-0000-00004A020000}"/>
    <cellStyle name="20% - Accent2 2 3 2 3" xfId="591" xr:uid="{00000000-0005-0000-0000-00004B020000}"/>
    <cellStyle name="20% - Accent2 2 3 2 4" xfId="592" xr:uid="{00000000-0005-0000-0000-00004C020000}"/>
    <cellStyle name="20% - Accent2 2 3 2 5" xfId="593" xr:uid="{00000000-0005-0000-0000-00004D020000}"/>
    <cellStyle name="20% - Accent2 2 3 2 6" xfId="594" xr:uid="{00000000-0005-0000-0000-00004E020000}"/>
    <cellStyle name="20% - Accent2 2 3 3" xfId="595" xr:uid="{00000000-0005-0000-0000-00004F020000}"/>
    <cellStyle name="20% - Accent2 2 3 3 2" xfId="596" xr:uid="{00000000-0005-0000-0000-000050020000}"/>
    <cellStyle name="20% - Accent2 2 3 3 2 2" xfId="597" xr:uid="{00000000-0005-0000-0000-000051020000}"/>
    <cellStyle name="20% - Accent2 2 3 3 3" xfId="598" xr:uid="{00000000-0005-0000-0000-000052020000}"/>
    <cellStyle name="20% - Accent2 2 3 3 4" xfId="599" xr:uid="{00000000-0005-0000-0000-000053020000}"/>
    <cellStyle name="20% - Accent2 2 3 3 5" xfId="600" xr:uid="{00000000-0005-0000-0000-000054020000}"/>
    <cellStyle name="20% - Accent2 2 3 4" xfId="601" xr:uid="{00000000-0005-0000-0000-000055020000}"/>
    <cellStyle name="20% - Accent2 2 3 4 2" xfId="602" xr:uid="{00000000-0005-0000-0000-000056020000}"/>
    <cellStyle name="20% - Accent2 2 3 4 3" xfId="603" xr:uid="{00000000-0005-0000-0000-000057020000}"/>
    <cellStyle name="20% - Accent2 2 3 4 4" xfId="604" xr:uid="{00000000-0005-0000-0000-000058020000}"/>
    <cellStyle name="20% - Accent2 2 3 5" xfId="605" xr:uid="{00000000-0005-0000-0000-000059020000}"/>
    <cellStyle name="20% - Accent2 2 3 5 2" xfId="606" xr:uid="{00000000-0005-0000-0000-00005A020000}"/>
    <cellStyle name="20% - Accent2 2 3 6" xfId="607" xr:uid="{00000000-0005-0000-0000-00005B020000}"/>
    <cellStyle name="20% - Accent2 2 3 7" xfId="608" xr:uid="{00000000-0005-0000-0000-00005C020000}"/>
    <cellStyle name="20% - Accent2 2 3 8" xfId="609" xr:uid="{00000000-0005-0000-0000-00005D020000}"/>
    <cellStyle name="20% - Accent2 2 3 9" xfId="610" xr:uid="{00000000-0005-0000-0000-00005E020000}"/>
    <cellStyle name="20% - Accent2 2 4" xfId="611" xr:uid="{00000000-0005-0000-0000-00005F020000}"/>
    <cellStyle name="20% - Accent2 2 4 2" xfId="612" xr:uid="{00000000-0005-0000-0000-000060020000}"/>
    <cellStyle name="20% - Accent2 2 4 2 2" xfId="613" xr:uid="{00000000-0005-0000-0000-000061020000}"/>
    <cellStyle name="20% - Accent2 2 4 2 3" xfId="614" xr:uid="{00000000-0005-0000-0000-000062020000}"/>
    <cellStyle name="20% - Accent2 2 4 3" xfId="615" xr:uid="{00000000-0005-0000-0000-000063020000}"/>
    <cellStyle name="20% - Accent2 2 4 4" xfId="616" xr:uid="{00000000-0005-0000-0000-000064020000}"/>
    <cellStyle name="20% - Accent2 2 4 5" xfId="617" xr:uid="{00000000-0005-0000-0000-000065020000}"/>
    <cellStyle name="20% - Accent2 2 4 6" xfId="618" xr:uid="{00000000-0005-0000-0000-000066020000}"/>
    <cellStyle name="20% - Accent2 2 5" xfId="619" xr:uid="{00000000-0005-0000-0000-000067020000}"/>
    <cellStyle name="20% - Accent2 2 5 2" xfId="620" xr:uid="{00000000-0005-0000-0000-000068020000}"/>
    <cellStyle name="20% - Accent2 2 5 2 2" xfId="621" xr:uid="{00000000-0005-0000-0000-000069020000}"/>
    <cellStyle name="20% - Accent2 2 5 3" xfId="622" xr:uid="{00000000-0005-0000-0000-00006A020000}"/>
    <cellStyle name="20% - Accent2 2 5 4" xfId="623" xr:uid="{00000000-0005-0000-0000-00006B020000}"/>
    <cellStyle name="20% - Accent2 2 5 5" xfId="624" xr:uid="{00000000-0005-0000-0000-00006C020000}"/>
    <cellStyle name="20% - Accent2 2 6" xfId="625" xr:uid="{00000000-0005-0000-0000-00006D020000}"/>
    <cellStyle name="20% - Accent2 2 6 2" xfId="626" xr:uid="{00000000-0005-0000-0000-00006E020000}"/>
    <cellStyle name="20% - Accent2 2 6 2 2" xfId="627" xr:uid="{00000000-0005-0000-0000-00006F020000}"/>
    <cellStyle name="20% - Accent2 2 6 3" xfId="628" xr:uid="{00000000-0005-0000-0000-000070020000}"/>
    <cellStyle name="20% - Accent2 2 6 4" xfId="629" xr:uid="{00000000-0005-0000-0000-000071020000}"/>
    <cellStyle name="20% - Accent2 2 6 5" xfId="630" xr:uid="{00000000-0005-0000-0000-000072020000}"/>
    <cellStyle name="20% - Accent2 2 7" xfId="631" xr:uid="{00000000-0005-0000-0000-000073020000}"/>
    <cellStyle name="20% - Accent2 2 7 2" xfId="632" xr:uid="{00000000-0005-0000-0000-000074020000}"/>
    <cellStyle name="20% - Accent2 2 8" xfId="633" xr:uid="{00000000-0005-0000-0000-000075020000}"/>
    <cellStyle name="20% - Accent2 2 9" xfId="634" xr:uid="{00000000-0005-0000-0000-000076020000}"/>
    <cellStyle name="20% - Accent2 3" xfId="635" xr:uid="{00000000-0005-0000-0000-000077020000}"/>
    <cellStyle name="20% - Accent2 3 10" xfId="636" xr:uid="{00000000-0005-0000-0000-000078020000}"/>
    <cellStyle name="20% - Accent2 3 2" xfId="637" xr:uid="{00000000-0005-0000-0000-000079020000}"/>
    <cellStyle name="20% - Accent2 3 2 2" xfId="638" xr:uid="{00000000-0005-0000-0000-00007A020000}"/>
    <cellStyle name="20% - Accent2 3 2 2 2" xfId="639" xr:uid="{00000000-0005-0000-0000-00007B020000}"/>
    <cellStyle name="20% - Accent2 3 2 2 2 2" xfId="640" xr:uid="{00000000-0005-0000-0000-00007C020000}"/>
    <cellStyle name="20% - Accent2 3 2 2 2 3" xfId="641" xr:uid="{00000000-0005-0000-0000-00007D020000}"/>
    <cellStyle name="20% - Accent2 3 2 2 3" xfId="642" xr:uid="{00000000-0005-0000-0000-00007E020000}"/>
    <cellStyle name="20% - Accent2 3 2 2 4" xfId="643" xr:uid="{00000000-0005-0000-0000-00007F020000}"/>
    <cellStyle name="20% - Accent2 3 2 2 5" xfId="644" xr:uid="{00000000-0005-0000-0000-000080020000}"/>
    <cellStyle name="20% - Accent2 3 2 2 6" xfId="645" xr:uid="{00000000-0005-0000-0000-000081020000}"/>
    <cellStyle name="20% - Accent2 3 2 3" xfId="646" xr:uid="{00000000-0005-0000-0000-000082020000}"/>
    <cellStyle name="20% - Accent2 3 2 3 2" xfId="647" xr:uid="{00000000-0005-0000-0000-000083020000}"/>
    <cellStyle name="20% - Accent2 3 2 3 2 2" xfId="648" xr:uid="{00000000-0005-0000-0000-000084020000}"/>
    <cellStyle name="20% - Accent2 3 2 3 3" xfId="649" xr:uid="{00000000-0005-0000-0000-000085020000}"/>
    <cellStyle name="20% - Accent2 3 2 3 4" xfId="650" xr:uid="{00000000-0005-0000-0000-000086020000}"/>
    <cellStyle name="20% - Accent2 3 2 3 5" xfId="651" xr:uid="{00000000-0005-0000-0000-000087020000}"/>
    <cellStyle name="20% - Accent2 3 2 4" xfId="652" xr:uid="{00000000-0005-0000-0000-000088020000}"/>
    <cellStyle name="20% - Accent2 3 2 4 2" xfId="653" xr:uid="{00000000-0005-0000-0000-000089020000}"/>
    <cellStyle name="20% - Accent2 3 2 4 3" xfId="654" xr:uid="{00000000-0005-0000-0000-00008A020000}"/>
    <cellStyle name="20% - Accent2 3 2 4 4" xfId="655" xr:uid="{00000000-0005-0000-0000-00008B020000}"/>
    <cellStyle name="20% - Accent2 3 2 5" xfId="656" xr:uid="{00000000-0005-0000-0000-00008C020000}"/>
    <cellStyle name="20% - Accent2 3 2 5 2" xfId="657" xr:uid="{00000000-0005-0000-0000-00008D020000}"/>
    <cellStyle name="20% - Accent2 3 2 6" xfId="658" xr:uid="{00000000-0005-0000-0000-00008E020000}"/>
    <cellStyle name="20% - Accent2 3 2 7" xfId="659" xr:uid="{00000000-0005-0000-0000-00008F020000}"/>
    <cellStyle name="20% - Accent2 3 2 8" xfId="660" xr:uid="{00000000-0005-0000-0000-000090020000}"/>
    <cellStyle name="20% - Accent2 3 2 9" xfId="661" xr:uid="{00000000-0005-0000-0000-000091020000}"/>
    <cellStyle name="20% - Accent2 3 3" xfId="662" xr:uid="{00000000-0005-0000-0000-000092020000}"/>
    <cellStyle name="20% - Accent2 3 3 2" xfId="663" xr:uid="{00000000-0005-0000-0000-000093020000}"/>
    <cellStyle name="20% - Accent2 3 3 2 2" xfId="664" xr:uid="{00000000-0005-0000-0000-000094020000}"/>
    <cellStyle name="20% - Accent2 3 3 2 3" xfId="665" xr:uid="{00000000-0005-0000-0000-000095020000}"/>
    <cellStyle name="20% - Accent2 3 3 3" xfId="666" xr:uid="{00000000-0005-0000-0000-000096020000}"/>
    <cellStyle name="20% - Accent2 3 3 4" xfId="667" xr:uid="{00000000-0005-0000-0000-000097020000}"/>
    <cellStyle name="20% - Accent2 3 3 5" xfId="668" xr:uid="{00000000-0005-0000-0000-000098020000}"/>
    <cellStyle name="20% - Accent2 3 3 6" xfId="669" xr:uid="{00000000-0005-0000-0000-000099020000}"/>
    <cellStyle name="20% - Accent2 3 4" xfId="670" xr:uid="{00000000-0005-0000-0000-00009A020000}"/>
    <cellStyle name="20% - Accent2 3 4 2" xfId="671" xr:uid="{00000000-0005-0000-0000-00009B020000}"/>
    <cellStyle name="20% - Accent2 3 4 2 2" xfId="672" xr:uid="{00000000-0005-0000-0000-00009C020000}"/>
    <cellStyle name="20% - Accent2 3 4 3" xfId="673" xr:uid="{00000000-0005-0000-0000-00009D020000}"/>
    <cellStyle name="20% - Accent2 3 4 4" xfId="674" xr:uid="{00000000-0005-0000-0000-00009E020000}"/>
    <cellStyle name="20% - Accent2 3 4 5" xfId="675" xr:uid="{00000000-0005-0000-0000-00009F020000}"/>
    <cellStyle name="20% - Accent2 3 5" xfId="676" xr:uid="{00000000-0005-0000-0000-0000A0020000}"/>
    <cellStyle name="20% - Accent2 3 5 2" xfId="677" xr:uid="{00000000-0005-0000-0000-0000A1020000}"/>
    <cellStyle name="20% - Accent2 3 5 2 2" xfId="678" xr:uid="{00000000-0005-0000-0000-0000A2020000}"/>
    <cellStyle name="20% - Accent2 3 5 3" xfId="679" xr:uid="{00000000-0005-0000-0000-0000A3020000}"/>
    <cellStyle name="20% - Accent2 3 5 4" xfId="680" xr:uid="{00000000-0005-0000-0000-0000A4020000}"/>
    <cellStyle name="20% - Accent2 3 5 5" xfId="681" xr:uid="{00000000-0005-0000-0000-0000A5020000}"/>
    <cellStyle name="20% - Accent2 3 6" xfId="682" xr:uid="{00000000-0005-0000-0000-0000A6020000}"/>
    <cellStyle name="20% - Accent2 3 6 2" xfId="683" xr:uid="{00000000-0005-0000-0000-0000A7020000}"/>
    <cellStyle name="20% - Accent2 3 7" xfId="684" xr:uid="{00000000-0005-0000-0000-0000A8020000}"/>
    <cellStyle name="20% - Accent2 3 8" xfId="685" xr:uid="{00000000-0005-0000-0000-0000A9020000}"/>
    <cellStyle name="20% - Accent2 3 9" xfId="686" xr:uid="{00000000-0005-0000-0000-0000AA020000}"/>
    <cellStyle name="20% - Accent2 4" xfId="687" xr:uid="{00000000-0005-0000-0000-0000AB020000}"/>
    <cellStyle name="20% - Accent2 4 10" xfId="688" xr:uid="{00000000-0005-0000-0000-0000AC020000}"/>
    <cellStyle name="20% - Accent2 4 2" xfId="689" xr:uid="{00000000-0005-0000-0000-0000AD020000}"/>
    <cellStyle name="20% - Accent2 4 2 2" xfId="690" xr:uid="{00000000-0005-0000-0000-0000AE020000}"/>
    <cellStyle name="20% - Accent2 4 2 2 2" xfId="691" xr:uid="{00000000-0005-0000-0000-0000AF020000}"/>
    <cellStyle name="20% - Accent2 4 2 2 2 2" xfId="692" xr:uid="{00000000-0005-0000-0000-0000B0020000}"/>
    <cellStyle name="20% - Accent2 4 2 2 2 3" xfId="693" xr:uid="{00000000-0005-0000-0000-0000B1020000}"/>
    <cellStyle name="20% - Accent2 4 2 2 3" xfId="694" xr:uid="{00000000-0005-0000-0000-0000B2020000}"/>
    <cellStyle name="20% - Accent2 4 2 2 4" xfId="695" xr:uid="{00000000-0005-0000-0000-0000B3020000}"/>
    <cellStyle name="20% - Accent2 4 2 2 5" xfId="696" xr:uid="{00000000-0005-0000-0000-0000B4020000}"/>
    <cellStyle name="20% - Accent2 4 2 2 6" xfId="697" xr:uid="{00000000-0005-0000-0000-0000B5020000}"/>
    <cellStyle name="20% - Accent2 4 2 3" xfId="698" xr:uid="{00000000-0005-0000-0000-0000B6020000}"/>
    <cellStyle name="20% - Accent2 4 2 3 2" xfId="699" xr:uid="{00000000-0005-0000-0000-0000B7020000}"/>
    <cellStyle name="20% - Accent2 4 2 3 2 2" xfId="700" xr:uid="{00000000-0005-0000-0000-0000B8020000}"/>
    <cellStyle name="20% - Accent2 4 2 3 3" xfId="701" xr:uid="{00000000-0005-0000-0000-0000B9020000}"/>
    <cellStyle name="20% - Accent2 4 2 3 4" xfId="702" xr:uid="{00000000-0005-0000-0000-0000BA020000}"/>
    <cellStyle name="20% - Accent2 4 2 3 5" xfId="703" xr:uid="{00000000-0005-0000-0000-0000BB020000}"/>
    <cellStyle name="20% - Accent2 4 2 4" xfId="704" xr:uid="{00000000-0005-0000-0000-0000BC020000}"/>
    <cellStyle name="20% - Accent2 4 2 4 2" xfId="705" xr:uid="{00000000-0005-0000-0000-0000BD020000}"/>
    <cellStyle name="20% - Accent2 4 2 4 3" xfId="706" xr:uid="{00000000-0005-0000-0000-0000BE020000}"/>
    <cellStyle name="20% - Accent2 4 2 4 4" xfId="707" xr:uid="{00000000-0005-0000-0000-0000BF020000}"/>
    <cellStyle name="20% - Accent2 4 2 5" xfId="708" xr:uid="{00000000-0005-0000-0000-0000C0020000}"/>
    <cellStyle name="20% - Accent2 4 2 5 2" xfId="709" xr:uid="{00000000-0005-0000-0000-0000C1020000}"/>
    <cellStyle name="20% - Accent2 4 2 6" xfId="710" xr:uid="{00000000-0005-0000-0000-0000C2020000}"/>
    <cellStyle name="20% - Accent2 4 2 7" xfId="711" xr:uid="{00000000-0005-0000-0000-0000C3020000}"/>
    <cellStyle name="20% - Accent2 4 2 8" xfId="712" xr:uid="{00000000-0005-0000-0000-0000C4020000}"/>
    <cellStyle name="20% - Accent2 4 2 9" xfId="713" xr:uid="{00000000-0005-0000-0000-0000C5020000}"/>
    <cellStyle name="20% - Accent2 4 3" xfId="714" xr:uid="{00000000-0005-0000-0000-0000C6020000}"/>
    <cellStyle name="20% - Accent2 4 3 2" xfId="715" xr:uid="{00000000-0005-0000-0000-0000C7020000}"/>
    <cellStyle name="20% - Accent2 4 3 2 2" xfId="716" xr:uid="{00000000-0005-0000-0000-0000C8020000}"/>
    <cellStyle name="20% - Accent2 4 3 2 3" xfId="717" xr:uid="{00000000-0005-0000-0000-0000C9020000}"/>
    <cellStyle name="20% - Accent2 4 3 3" xfId="718" xr:uid="{00000000-0005-0000-0000-0000CA020000}"/>
    <cellStyle name="20% - Accent2 4 3 4" xfId="719" xr:uid="{00000000-0005-0000-0000-0000CB020000}"/>
    <cellStyle name="20% - Accent2 4 3 5" xfId="720" xr:uid="{00000000-0005-0000-0000-0000CC020000}"/>
    <cellStyle name="20% - Accent2 4 3 6" xfId="721" xr:uid="{00000000-0005-0000-0000-0000CD020000}"/>
    <cellStyle name="20% - Accent2 4 4" xfId="722" xr:uid="{00000000-0005-0000-0000-0000CE020000}"/>
    <cellStyle name="20% - Accent2 4 4 2" xfId="723" xr:uid="{00000000-0005-0000-0000-0000CF020000}"/>
    <cellStyle name="20% - Accent2 4 4 2 2" xfId="724" xr:uid="{00000000-0005-0000-0000-0000D0020000}"/>
    <cellStyle name="20% - Accent2 4 4 3" xfId="725" xr:uid="{00000000-0005-0000-0000-0000D1020000}"/>
    <cellStyle name="20% - Accent2 4 4 4" xfId="726" xr:uid="{00000000-0005-0000-0000-0000D2020000}"/>
    <cellStyle name="20% - Accent2 4 4 5" xfId="727" xr:uid="{00000000-0005-0000-0000-0000D3020000}"/>
    <cellStyle name="20% - Accent2 4 5" xfId="728" xr:uid="{00000000-0005-0000-0000-0000D4020000}"/>
    <cellStyle name="20% - Accent2 4 5 2" xfId="729" xr:uid="{00000000-0005-0000-0000-0000D5020000}"/>
    <cellStyle name="20% - Accent2 4 5 2 2" xfId="730" xr:uid="{00000000-0005-0000-0000-0000D6020000}"/>
    <cellStyle name="20% - Accent2 4 5 3" xfId="731" xr:uid="{00000000-0005-0000-0000-0000D7020000}"/>
    <cellStyle name="20% - Accent2 4 5 4" xfId="732" xr:uid="{00000000-0005-0000-0000-0000D8020000}"/>
    <cellStyle name="20% - Accent2 4 5 5" xfId="733" xr:uid="{00000000-0005-0000-0000-0000D9020000}"/>
    <cellStyle name="20% - Accent2 4 6" xfId="734" xr:uid="{00000000-0005-0000-0000-0000DA020000}"/>
    <cellStyle name="20% - Accent2 4 6 2" xfId="735" xr:uid="{00000000-0005-0000-0000-0000DB020000}"/>
    <cellStyle name="20% - Accent2 4 7" xfId="736" xr:uid="{00000000-0005-0000-0000-0000DC020000}"/>
    <cellStyle name="20% - Accent2 4 8" xfId="737" xr:uid="{00000000-0005-0000-0000-0000DD020000}"/>
    <cellStyle name="20% - Accent2 4 9" xfId="738" xr:uid="{00000000-0005-0000-0000-0000DE020000}"/>
    <cellStyle name="20% - Accent2 5" xfId="739" xr:uid="{00000000-0005-0000-0000-0000DF020000}"/>
    <cellStyle name="20% - Accent2 5 10" xfId="740" xr:uid="{00000000-0005-0000-0000-0000E0020000}"/>
    <cellStyle name="20% - Accent2 5 2" xfId="741" xr:uid="{00000000-0005-0000-0000-0000E1020000}"/>
    <cellStyle name="20% - Accent2 5 2 2" xfId="742" xr:uid="{00000000-0005-0000-0000-0000E2020000}"/>
    <cellStyle name="20% - Accent2 5 2 2 2" xfId="743" xr:uid="{00000000-0005-0000-0000-0000E3020000}"/>
    <cellStyle name="20% - Accent2 5 2 2 2 2" xfId="744" xr:uid="{00000000-0005-0000-0000-0000E4020000}"/>
    <cellStyle name="20% - Accent2 5 2 2 2 3" xfId="745" xr:uid="{00000000-0005-0000-0000-0000E5020000}"/>
    <cellStyle name="20% - Accent2 5 2 2 3" xfId="746" xr:uid="{00000000-0005-0000-0000-0000E6020000}"/>
    <cellStyle name="20% - Accent2 5 2 2 4" xfId="747" xr:uid="{00000000-0005-0000-0000-0000E7020000}"/>
    <cellStyle name="20% - Accent2 5 2 2 5" xfId="748" xr:uid="{00000000-0005-0000-0000-0000E8020000}"/>
    <cellStyle name="20% - Accent2 5 2 2 6" xfId="749" xr:uid="{00000000-0005-0000-0000-0000E9020000}"/>
    <cellStyle name="20% - Accent2 5 2 3" xfId="750" xr:uid="{00000000-0005-0000-0000-0000EA020000}"/>
    <cellStyle name="20% - Accent2 5 2 3 2" xfId="751" xr:uid="{00000000-0005-0000-0000-0000EB020000}"/>
    <cellStyle name="20% - Accent2 5 2 3 2 2" xfId="752" xr:uid="{00000000-0005-0000-0000-0000EC020000}"/>
    <cellStyle name="20% - Accent2 5 2 3 3" xfId="753" xr:uid="{00000000-0005-0000-0000-0000ED020000}"/>
    <cellStyle name="20% - Accent2 5 2 3 4" xfId="754" xr:uid="{00000000-0005-0000-0000-0000EE020000}"/>
    <cellStyle name="20% - Accent2 5 2 3 5" xfId="755" xr:uid="{00000000-0005-0000-0000-0000EF020000}"/>
    <cellStyle name="20% - Accent2 5 2 4" xfId="756" xr:uid="{00000000-0005-0000-0000-0000F0020000}"/>
    <cellStyle name="20% - Accent2 5 2 4 2" xfId="757" xr:uid="{00000000-0005-0000-0000-0000F1020000}"/>
    <cellStyle name="20% - Accent2 5 2 4 3" xfId="758" xr:uid="{00000000-0005-0000-0000-0000F2020000}"/>
    <cellStyle name="20% - Accent2 5 2 4 4" xfId="759" xr:uid="{00000000-0005-0000-0000-0000F3020000}"/>
    <cellStyle name="20% - Accent2 5 2 5" xfId="760" xr:uid="{00000000-0005-0000-0000-0000F4020000}"/>
    <cellStyle name="20% - Accent2 5 2 5 2" xfId="761" xr:uid="{00000000-0005-0000-0000-0000F5020000}"/>
    <cellStyle name="20% - Accent2 5 2 6" xfId="762" xr:uid="{00000000-0005-0000-0000-0000F6020000}"/>
    <cellStyle name="20% - Accent2 5 2 7" xfId="763" xr:uid="{00000000-0005-0000-0000-0000F7020000}"/>
    <cellStyle name="20% - Accent2 5 2 8" xfId="764" xr:uid="{00000000-0005-0000-0000-0000F8020000}"/>
    <cellStyle name="20% - Accent2 5 2 9" xfId="765" xr:uid="{00000000-0005-0000-0000-0000F9020000}"/>
    <cellStyle name="20% - Accent2 5 3" xfId="766" xr:uid="{00000000-0005-0000-0000-0000FA020000}"/>
    <cellStyle name="20% - Accent2 5 3 2" xfId="767" xr:uid="{00000000-0005-0000-0000-0000FB020000}"/>
    <cellStyle name="20% - Accent2 5 3 2 2" xfId="768" xr:uid="{00000000-0005-0000-0000-0000FC020000}"/>
    <cellStyle name="20% - Accent2 5 3 2 3" xfId="769" xr:uid="{00000000-0005-0000-0000-0000FD020000}"/>
    <cellStyle name="20% - Accent2 5 3 3" xfId="770" xr:uid="{00000000-0005-0000-0000-0000FE020000}"/>
    <cellStyle name="20% - Accent2 5 3 4" xfId="771" xr:uid="{00000000-0005-0000-0000-0000FF020000}"/>
    <cellStyle name="20% - Accent2 5 3 5" xfId="772" xr:uid="{00000000-0005-0000-0000-000000030000}"/>
    <cellStyle name="20% - Accent2 5 3 6" xfId="773" xr:uid="{00000000-0005-0000-0000-000001030000}"/>
    <cellStyle name="20% - Accent2 5 4" xfId="774" xr:uid="{00000000-0005-0000-0000-000002030000}"/>
    <cellStyle name="20% - Accent2 5 4 2" xfId="775" xr:uid="{00000000-0005-0000-0000-000003030000}"/>
    <cellStyle name="20% - Accent2 5 4 2 2" xfId="776" xr:uid="{00000000-0005-0000-0000-000004030000}"/>
    <cellStyle name="20% - Accent2 5 4 3" xfId="777" xr:uid="{00000000-0005-0000-0000-000005030000}"/>
    <cellStyle name="20% - Accent2 5 4 4" xfId="778" xr:uid="{00000000-0005-0000-0000-000006030000}"/>
    <cellStyle name="20% - Accent2 5 4 5" xfId="779" xr:uid="{00000000-0005-0000-0000-000007030000}"/>
    <cellStyle name="20% - Accent2 5 5" xfId="780" xr:uid="{00000000-0005-0000-0000-000008030000}"/>
    <cellStyle name="20% - Accent2 5 5 2" xfId="781" xr:uid="{00000000-0005-0000-0000-000009030000}"/>
    <cellStyle name="20% - Accent2 5 5 3" xfId="782" xr:uid="{00000000-0005-0000-0000-00000A030000}"/>
    <cellStyle name="20% - Accent2 5 5 4" xfId="783" xr:uid="{00000000-0005-0000-0000-00000B030000}"/>
    <cellStyle name="20% - Accent2 5 6" xfId="784" xr:uid="{00000000-0005-0000-0000-00000C030000}"/>
    <cellStyle name="20% - Accent2 5 6 2" xfId="785" xr:uid="{00000000-0005-0000-0000-00000D030000}"/>
    <cellStyle name="20% - Accent2 5 7" xfId="786" xr:uid="{00000000-0005-0000-0000-00000E030000}"/>
    <cellStyle name="20% - Accent2 5 8" xfId="787" xr:uid="{00000000-0005-0000-0000-00000F030000}"/>
    <cellStyle name="20% - Accent2 5 9" xfId="788" xr:uid="{00000000-0005-0000-0000-000010030000}"/>
    <cellStyle name="20% - Accent2 6" xfId="789" xr:uid="{00000000-0005-0000-0000-000011030000}"/>
    <cellStyle name="20% - Accent2 6 10" xfId="790" xr:uid="{00000000-0005-0000-0000-000012030000}"/>
    <cellStyle name="20% - Accent2 6 2" xfId="791" xr:uid="{00000000-0005-0000-0000-000013030000}"/>
    <cellStyle name="20% - Accent2 6 2 2" xfId="792" xr:uid="{00000000-0005-0000-0000-000014030000}"/>
    <cellStyle name="20% - Accent2 6 2 2 2" xfId="793" xr:uid="{00000000-0005-0000-0000-000015030000}"/>
    <cellStyle name="20% - Accent2 6 2 2 2 2" xfId="794" xr:uid="{00000000-0005-0000-0000-000016030000}"/>
    <cellStyle name="20% - Accent2 6 2 2 2 3" xfId="795" xr:uid="{00000000-0005-0000-0000-000017030000}"/>
    <cellStyle name="20% - Accent2 6 2 2 3" xfId="796" xr:uid="{00000000-0005-0000-0000-000018030000}"/>
    <cellStyle name="20% - Accent2 6 2 2 4" xfId="797" xr:uid="{00000000-0005-0000-0000-000019030000}"/>
    <cellStyle name="20% - Accent2 6 2 2 5" xfId="798" xr:uid="{00000000-0005-0000-0000-00001A030000}"/>
    <cellStyle name="20% - Accent2 6 2 2 6" xfId="799" xr:uid="{00000000-0005-0000-0000-00001B030000}"/>
    <cellStyle name="20% - Accent2 6 2 3" xfId="800" xr:uid="{00000000-0005-0000-0000-00001C030000}"/>
    <cellStyle name="20% - Accent2 6 2 3 2" xfId="801" xr:uid="{00000000-0005-0000-0000-00001D030000}"/>
    <cellStyle name="20% - Accent2 6 2 3 2 2" xfId="802" xr:uid="{00000000-0005-0000-0000-00001E030000}"/>
    <cellStyle name="20% - Accent2 6 2 3 3" xfId="803" xr:uid="{00000000-0005-0000-0000-00001F030000}"/>
    <cellStyle name="20% - Accent2 6 2 3 4" xfId="804" xr:uid="{00000000-0005-0000-0000-000020030000}"/>
    <cellStyle name="20% - Accent2 6 2 3 5" xfId="805" xr:uid="{00000000-0005-0000-0000-000021030000}"/>
    <cellStyle name="20% - Accent2 6 2 4" xfId="806" xr:uid="{00000000-0005-0000-0000-000022030000}"/>
    <cellStyle name="20% - Accent2 6 2 4 2" xfId="807" xr:uid="{00000000-0005-0000-0000-000023030000}"/>
    <cellStyle name="20% - Accent2 6 2 4 3" xfId="808" xr:uid="{00000000-0005-0000-0000-000024030000}"/>
    <cellStyle name="20% - Accent2 6 2 4 4" xfId="809" xr:uid="{00000000-0005-0000-0000-000025030000}"/>
    <cellStyle name="20% - Accent2 6 2 5" xfId="810" xr:uid="{00000000-0005-0000-0000-000026030000}"/>
    <cellStyle name="20% - Accent2 6 2 5 2" xfId="811" xr:uid="{00000000-0005-0000-0000-000027030000}"/>
    <cellStyle name="20% - Accent2 6 2 6" xfId="812" xr:uid="{00000000-0005-0000-0000-000028030000}"/>
    <cellStyle name="20% - Accent2 6 2 7" xfId="813" xr:uid="{00000000-0005-0000-0000-000029030000}"/>
    <cellStyle name="20% - Accent2 6 2 8" xfId="814" xr:uid="{00000000-0005-0000-0000-00002A030000}"/>
    <cellStyle name="20% - Accent2 6 2 9" xfId="815" xr:uid="{00000000-0005-0000-0000-00002B030000}"/>
    <cellStyle name="20% - Accent2 6 3" xfId="816" xr:uid="{00000000-0005-0000-0000-00002C030000}"/>
    <cellStyle name="20% - Accent2 6 3 2" xfId="817" xr:uid="{00000000-0005-0000-0000-00002D030000}"/>
    <cellStyle name="20% - Accent2 6 3 2 2" xfId="818" xr:uid="{00000000-0005-0000-0000-00002E030000}"/>
    <cellStyle name="20% - Accent2 6 3 2 3" xfId="819" xr:uid="{00000000-0005-0000-0000-00002F030000}"/>
    <cellStyle name="20% - Accent2 6 3 3" xfId="820" xr:uid="{00000000-0005-0000-0000-000030030000}"/>
    <cellStyle name="20% - Accent2 6 3 4" xfId="821" xr:uid="{00000000-0005-0000-0000-000031030000}"/>
    <cellStyle name="20% - Accent2 6 3 5" xfId="822" xr:uid="{00000000-0005-0000-0000-000032030000}"/>
    <cellStyle name="20% - Accent2 6 3 6" xfId="823" xr:uid="{00000000-0005-0000-0000-000033030000}"/>
    <cellStyle name="20% - Accent2 6 4" xfId="824" xr:uid="{00000000-0005-0000-0000-000034030000}"/>
    <cellStyle name="20% - Accent2 6 4 2" xfId="825" xr:uid="{00000000-0005-0000-0000-000035030000}"/>
    <cellStyle name="20% - Accent2 6 4 2 2" xfId="826" xr:uid="{00000000-0005-0000-0000-000036030000}"/>
    <cellStyle name="20% - Accent2 6 4 3" xfId="827" xr:uid="{00000000-0005-0000-0000-000037030000}"/>
    <cellStyle name="20% - Accent2 6 4 4" xfId="828" xr:uid="{00000000-0005-0000-0000-000038030000}"/>
    <cellStyle name="20% - Accent2 6 4 5" xfId="829" xr:uid="{00000000-0005-0000-0000-000039030000}"/>
    <cellStyle name="20% - Accent2 6 5" xfId="830" xr:uid="{00000000-0005-0000-0000-00003A030000}"/>
    <cellStyle name="20% - Accent2 6 5 2" xfId="831" xr:uid="{00000000-0005-0000-0000-00003B030000}"/>
    <cellStyle name="20% - Accent2 6 5 3" xfId="832" xr:uid="{00000000-0005-0000-0000-00003C030000}"/>
    <cellStyle name="20% - Accent2 6 5 4" xfId="833" xr:uid="{00000000-0005-0000-0000-00003D030000}"/>
    <cellStyle name="20% - Accent2 6 6" xfId="834" xr:uid="{00000000-0005-0000-0000-00003E030000}"/>
    <cellStyle name="20% - Accent2 6 6 2" xfId="835" xr:uid="{00000000-0005-0000-0000-00003F030000}"/>
    <cellStyle name="20% - Accent2 6 7" xfId="836" xr:uid="{00000000-0005-0000-0000-000040030000}"/>
    <cellStyle name="20% - Accent2 6 8" xfId="837" xr:uid="{00000000-0005-0000-0000-000041030000}"/>
    <cellStyle name="20% - Accent2 6 9" xfId="838" xr:uid="{00000000-0005-0000-0000-000042030000}"/>
    <cellStyle name="20% - Accent2 7" xfId="839" xr:uid="{00000000-0005-0000-0000-000043030000}"/>
    <cellStyle name="20% - Accent2 7 2" xfId="840" xr:uid="{00000000-0005-0000-0000-000044030000}"/>
    <cellStyle name="20% - Accent2 7 2 2" xfId="841" xr:uid="{00000000-0005-0000-0000-000045030000}"/>
    <cellStyle name="20% - Accent2 7 2 2 2" xfId="842" xr:uid="{00000000-0005-0000-0000-000046030000}"/>
    <cellStyle name="20% - Accent2 7 2 2 3" xfId="843" xr:uid="{00000000-0005-0000-0000-000047030000}"/>
    <cellStyle name="20% - Accent2 7 2 3" xfId="844" xr:uid="{00000000-0005-0000-0000-000048030000}"/>
    <cellStyle name="20% - Accent2 7 2 4" xfId="845" xr:uid="{00000000-0005-0000-0000-000049030000}"/>
    <cellStyle name="20% - Accent2 7 2 5" xfId="846" xr:uid="{00000000-0005-0000-0000-00004A030000}"/>
    <cellStyle name="20% - Accent2 7 2 6" xfId="847" xr:uid="{00000000-0005-0000-0000-00004B030000}"/>
    <cellStyle name="20% - Accent2 7 3" xfId="848" xr:uid="{00000000-0005-0000-0000-00004C030000}"/>
    <cellStyle name="20% - Accent2 7 3 2" xfId="849" xr:uid="{00000000-0005-0000-0000-00004D030000}"/>
    <cellStyle name="20% - Accent2 7 3 2 2" xfId="850" xr:uid="{00000000-0005-0000-0000-00004E030000}"/>
    <cellStyle name="20% - Accent2 7 3 3" xfId="851" xr:uid="{00000000-0005-0000-0000-00004F030000}"/>
    <cellStyle name="20% - Accent2 7 3 4" xfId="852" xr:uid="{00000000-0005-0000-0000-000050030000}"/>
    <cellStyle name="20% - Accent2 7 3 5" xfId="853" xr:uid="{00000000-0005-0000-0000-000051030000}"/>
    <cellStyle name="20% - Accent2 7 4" xfId="854" xr:uid="{00000000-0005-0000-0000-000052030000}"/>
    <cellStyle name="20% - Accent2 7 4 2" xfId="855" xr:uid="{00000000-0005-0000-0000-000053030000}"/>
    <cellStyle name="20% - Accent2 7 4 3" xfId="856" xr:uid="{00000000-0005-0000-0000-000054030000}"/>
    <cellStyle name="20% - Accent2 7 4 4" xfId="857" xr:uid="{00000000-0005-0000-0000-000055030000}"/>
    <cellStyle name="20% - Accent2 7 5" xfId="858" xr:uid="{00000000-0005-0000-0000-000056030000}"/>
    <cellStyle name="20% - Accent2 7 5 2" xfId="859" xr:uid="{00000000-0005-0000-0000-000057030000}"/>
    <cellStyle name="20% - Accent2 7 6" xfId="860" xr:uid="{00000000-0005-0000-0000-000058030000}"/>
    <cellStyle name="20% - Accent2 7 7" xfId="861" xr:uid="{00000000-0005-0000-0000-000059030000}"/>
    <cellStyle name="20% - Accent2 7 8" xfId="862" xr:uid="{00000000-0005-0000-0000-00005A030000}"/>
    <cellStyle name="20% - Accent2 7 9" xfId="863" xr:uid="{00000000-0005-0000-0000-00005B030000}"/>
    <cellStyle name="20% - Accent2 8" xfId="864" xr:uid="{00000000-0005-0000-0000-00005C030000}"/>
    <cellStyle name="20% - Accent2 8 2" xfId="865" xr:uid="{00000000-0005-0000-0000-00005D030000}"/>
    <cellStyle name="20% - Accent2 8 2 2" xfId="866" xr:uid="{00000000-0005-0000-0000-00005E030000}"/>
    <cellStyle name="20% - Accent2 8 2 2 2" xfId="867" xr:uid="{00000000-0005-0000-0000-00005F030000}"/>
    <cellStyle name="20% - Accent2 8 2 2 3" xfId="868" xr:uid="{00000000-0005-0000-0000-000060030000}"/>
    <cellStyle name="20% - Accent2 8 2 3" xfId="869" xr:uid="{00000000-0005-0000-0000-000061030000}"/>
    <cellStyle name="20% - Accent2 8 2 4" xfId="870" xr:uid="{00000000-0005-0000-0000-000062030000}"/>
    <cellStyle name="20% - Accent2 8 2 5" xfId="871" xr:uid="{00000000-0005-0000-0000-000063030000}"/>
    <cellStyle name="20% - Accent2 8 2 6" xfId="872" xr:uid="{00000000-0005-0000-0000-000064030000}"/>
    <cellStyle name="20% - Accent2 8 3" xfId="873" xr:uid="{00000000-0005-0000-0000-000065030000}"/>
    <cellStyle name="20% - Accent2 8 3 2" xfId="874" xr:uid="{00000000-0005-0000-0000-000066030000}"/>
    <cellStyle name="20% - Accent2 8 3 2 2" xfId="875" xr:uid="{00000000-0005-0000-0000-000067030000}"/>
    <cellStyle name="20% - Accent2 8 3 3" xfId="876" xr:uid="{00000000-0005-0000-0000-000068030000}"/>
    <cellStyle name="20% - Accent2 8 3 4" xfId="877" xr:uid="{00000000-0005-0000-0000-000069030000}"/>
    <cellStyle name="20% - Accent2 8 3 5" xfId="878" xr:uid="{00000000-0005-0000-0000-00006A030000}"/>
    <cellStyle name="20% - Accent2 8 4" xfId="879" xr:uid="{00000000-0005-0000-0000-00006B030000}"/>
    <cellStyle name="20% - Accent2 8 4 2" xfId="880" xr:uid="{00000000-0005-0000-0000-00006C030000}"/>
    <cellStyle name="20% - Accent2 8 4 3" xfId="881" xr:uid="{00000000-0005-0000-0000-00006D030000}"/>
    <cellStyle name="20% - Accent2 8 4 4" xfId="882" xr:uid="{00000000-0005-0000-0000-00006E030000}"/>
    <cellStyle name="20% - Accent2 8 5" xfId="883" xr:uid="{00000000-0005-0000-0000-00006F030000}"/>
    <cellStyle name="20% - Accent2 8 5 2" xfId="884" xr:uid="{00000000-0005-0000-0000-000070030000}"/>
    <cellStyle name="20% - Accent2 8 6" xfId="885" xr:uid="{00000000-0005-0000-0000-000071030000}"/>
    <cellStyle name="20% - Accent2 8 7" xfId="886" xr:uid="{00000000-0005-0000-0000-000072030000}"/>
    <cellStyle name="20% - Accent2 8 8" xfId="887" xr:uid="{00000000-0005-0000-0000-000073030000}"/>
    <cellStyle name="20% - Accent2 8 9" xfId="888" xr:uid="{00000000-0005-0000-0000-000074030000}"/>
    <cellStyle name="20% - Accent2 9" xfId="889" xr:uid="{00000000-0005-0000-0000-000075030000}"/>
    <cellStyle name="20% - Accent2 9 2" xfId="890" xr:uid="{00000000-0005-0000-0000-000076030000}"/>
    <cellStyle name="20% - Accent2 9 2 2" xfId="891" xr:uid="{00000000-0005-0000-0000-000077030000}"/>
    <cellStyle name="20% - Accent2 9 2 2 2" xfId="892" xr:uid="{00000000-0005-0000-0000-000078030000}"/>
    <cellStyle name="20% - Accent2 9 2 3" xfId="893" xr:uid="{00000000-0005-0000-0000-000079030000}"/>
    <cellStyle name="20% - Accent2 9 2 4" xfId="894" xr:uid="{00000000-0005-0000-0000-00007A030000}"/>
    <cellStyle name="20% - Accent2 9 2 5" xfId="895" xr:uid="{00000000-0005-0000-0000-00007B030000}"/>
    <cellStyle name="20% - Accent2 9 3" xfId="896" xr:uid="{00000000-0005-0000-0000-00007C030000}"/>
    <cellStyle name="20% - Accent2 9 3 2" xfId="897" xr:uid="{00000000-0005-0000-0000-00007D030000}"/>
    <cellStyle name="20% - Accent2 9 3 3" xfId="898" xr:uid="{00000000-0005-0000-0000-00007E030000}"/>
    <cellStyle name="20% - Accent2 9 3 4" xfId="899" xr:uid="{00000000-0005-0000-0000-00007F030000}"/>
    <cellStyle name="20% - Accent2 9 4" xfId="900" xr:uid="{00000000-0005-0000-0000-000080030000}"/>
    <cellStyle name="20% - Accent2 9 4 2" xfId="901" xr:uid="{00000000-0005-0000-0000-000081030000}"/>
    <cellStyle name="20% - Accent2 9 5" xfId="902" xr:uid="{00000000-0005-0000-0000-000082030000}"/>
    <cellStyle name="20% - Accent2 9 6" xfId="903" xr:uid="{00000000-0005-0000-0000-000083030000}"/>
    <cellStyle name="20% - Accent2 9 7" xfId="904" xr:uid="{00000000-0005-0000-0000-000084030000}"/>
    <cellStyle name="20% - Accent2 9 8" xfId="905" xr:uid="{00000000-0005-0000-0000-000085030000}"/>
    <cellStyle name="20% - Accent3 10" xfId="906" xr:uid="{00000000-0005-0000-0000-000086030000}"/>
    <cellStyle name="20% - Accent3 10 2" xfId="907" xr:uid="{00000000-0005-0000-0000-000087030000}"/>
    <cellStyle name="20% - Accent3 10 2 2" xfId="908" xr:uid="{00000000-0005-0000-0000-000088030000}"/>
    <cellStyle name="20% - Accent3 10 2 2 2" xfId="909" xr:uid="{00000000-0005-0000-0000-000089030000}"/>
    <cellStyle name="20% - Accent3 10 2 3" xfId="910" xr:uid="{00000000-0005-0000-0000-00008A030000}"/>
    <cellStyle name="20% - Accent3 10 2 4" xfId="911" xr:uid="{00000000-0005-0000-0000-00008B030000}"/>
    <cellStyle name="20% - Accent3 10 2 5" xfId="912" xr:uid="{00000000-0005-0000-0000-00008C030000}"/>
    <cellStyle name="20% - Accent3 10 3" xfId="913" xr:uid="{00000000-0005-0000-0000-00008D030000}"/>
    <cellStyle name="20% - Accent3 10 3 2" xfId="914" xr:uid="{00000000-0005-0000-0000-00008E030000}"/>
    <cellStyle name="20% - Accent3 10 3 3" xfId="915" xr:uid="{00000000-0005-0000-0000-00008F030000}"/>
    <cellStyle name="20% - Accent3 10 3 4" xfId="916" xr:uid="{00000000-0005-0000-0000-000090030000}"/>
    <cellStyle name="20% - Accent3 10 4" xfId="917" xr:uid="{00000000-0005-0000-0000-000091030000}"/>
    <cellStyle name="20% - Accent3 10 4 2" xfId="918" xr:uid="{00000000-0005-0000-0000-000092030000}"/>
    <cellStyle name="20% - Accent3 10 5" xfId="919" xr:uid="{00000000-0005-0000-0000-000093030000}"/>
    <cellStyle name="20% - Accent3 10 6" xfId="920" xr:uid="{00000000-0005-0000-0000-000094030000}"/>
    <cellStyle name="20% - Accent3 10 7" xfId="921" xr:uid="{00000000-0005-0000-0000-000095030000}"/>
    <cellStyle name="20% - Accent3 10 8" xfId="922" xr:uid="{00000000-0005-0000-0000-000096030000}"/>
    <cellStyle name="20% - Accent3 11" xfId="923" xr:uid="{00000000-0005-0000-0000-000097030000}"/>
    <cellStyle name="20% - Accent3 11 2" xfId="924" xr:uid="{00000000-0005-0000-0000-000098030000}"/>
    <cellStyle name="20% - Accent3 11 2 2" xfId="925" xr:uid="{00000000-0005-0000-0000-000099030000}"/>
    <cellStyle name="20% - Accent3 11 2 2 2" xfId="926" xr:uid="{00000000-0005-0000-0000-00009A030000}"/>
    <cellStyle name="20% - Accent3 11 2 3" xfId="927" xr:uid="{00000000-0005-0000-0000-00009B030000}"/>
    <cellStyle name="20% - Accent3 11 2 4" xfId="928" xr:uid="{00000000-0005-0000-0000-00009C030000}"/>
    <cellStyle name="20% - Accent3 11 2 5" xfId="929" xr:uid="{00000000-0005-0000-0000-00009D030000}"/>
    <cellStyle name="20% - Accent3 11 3" xfId="930" xr:uid="{00000000-0005-0000-0000-00009E030000}"/>
    <cellStyle name="20% - Accent3 11 3 2" xfId="931" xr:uid="{00000000-0005-0000-0000-00009F030000}"/>
    <cellStyle name="20% - Accent3 11 3 3" xfId="932" xr:uid="{00000000-0005-0000-0000-0000A0030000}"/>
    <cellStyle name="20% - Accent3 11 3 4" xfId="933" xr:uid="{00000000-0005-0000-0000-0000A1030000}"/>
    <cellStyle name="20% - Accent3 11 4" xfId="934" xr:uid="{00000000-0005-0000-0000-0000A2030000}"/>
    <cellStyle name="20% - Accent3 11 4 2" xfId="935" xr:uid="{00000000-0005-0000-0000-0000A3030000}"/>
    <cellStyle name="20% - Accent3 11 5" xfId="936" xr:uid="{00000000-0005-0000-0000-0000A4030000}"/>
    <cellStyle name="20% - Accent3 11 6" xfId="937" xr:uid="{00000000-0005-0000-0000-0000A5030000}"/>
    <cellStyle name="20% - Accent3 11 7" xfId="938" xr:uid="{00000000-0005-0000-0000-0000A6030000}"/>
    <cellStyle name="20% - Accent3 11 8" xfId="939" xr:uid="{00000000-0005-0000-0000-0000A7030000}"/>
    <cellStyle name="20% - Accent3 12" xfId="940" xr:uid="{00000000-0005-0000-0000-0000A8030000}"/>
    <cellStyle name="20% - Accent3 12 2" xfId="941" xr:uid="{00000000-0005-0000-0000-0000A9030000}"/>
    <cellStyle name="20% - Accent3 12 2 2" xfId="942" xr:uid="{00000000-0005-0000-0000-0000AA030000}"/>
    <cellStyle name="20% - Accent3 12 2 2 2" xfId="943" xr:uid="{00000000-0005-0000-0000-0000AB030000}"/>
    <cellStyle name="20% - Accent3 12 2 3" xfId="944" xr:uid="{00000000-0005-0000-0000-0000AC030000}"/>
    <cellStyle name="20% - Accent3 12 2 4" xfId="945" xr:uid="{00000000-0005-0000-0000-0000AD030000}"/>
    <cellStyle name="20% - Accent3 12 2 5" xfId="946" xr:uid="{00000000-0005-0000-0000-0000AE030000}"/>
    <cellStyle name="20% - Accent3 12 3" xfId="947" xr:uid="{00000000-0005-0000-0000-0000AF030000}"/>
    <cellStyle name="20% - Accent3 12 3 2" xfId="948" xr:uid="{00000000-0005-0000-0000-0000B0030000}"/>
    <cellStyle name="20% - Accent3 12 3 3" xfId="949" xr:uid="{00000000-0005-0000-0000-0000B1030000}"/>
    <cellStyle name="20% - Accent3 12 3 4" xfId="950" xr:uid="{00000000-0005-0000-0000-0000B2030000}"/>
    <cellStyle name="20% - Accent3 12 4" xfId="951" xr:uid="{00000000-0005-0000-0000-0000B3030000}"/>
    <cellStyle name="20% - Accent3 12 4 2" xfId="952" xr:uid="{00000000-0005-0000-0000-0000B4030000}"/>
    <cellStyle name="20% - Accent3 12 5" xfId="953" xr:uid="{00000000-0005-0000-0000-0000B5030000}"/>
    <cellStyle name="20% - Accent3 12 6" xfId="954" xr:uid="{00000000-0005-0000-0000-0000B6030000}"/>
    <cellStyle name="20% - Accent3 12 7" xfId="955" xr:uid="{00000000-0005-0000-0000-0000B7030000}"/>
    <cellStyle name="20% - Accent3 12 8" xfId="956" xr:uid="{00000000-0005-0000-0000-0000B8030000}"/>
    <cellStyle name="20% - Accent3 13" xfId="957" xr:uid="{00000000-0005-0000-0000-0000B9030000}"/>
    <cellStyle name="20% - Accent3 13 2" xfId="958" xr:uid="{00000000-0005-0000-0000-0000BA030000}"/>
    <cellStyle name="20% - Accent3 13 2 2" xfId="959" xr:uid="{00000000-0005-0000-0000-0000BB030000}"/>
    <cellStyle name="20% - Accent3 13 2 3" xfId="960" xr:uid="{00000000-0005-0000-0000-0000BC030000}"/>
    <cellStyle name="20% - Accent3 13 2 4" xfId="961" xr:uid="{00000000-0005-0000-0000-0000BD030000}"/>
    <cellStyle name="20% - Accent3 13 3" xfId="962" xr:uid="{00000000-0005-0000-0000-0000BE030000}"/>
    <cellStyle name="20% - Accent3 13 3 2" xfId="963" xr:uid="{00000000-0005-0000-0000-0000BF030000}"/>
    <cellStyle name="20% - Accent3 13 4" xfId="964" xr:uid="{00000000-0005-0000-0000-0000C0030000}"/>
    <cellStyle name="20% - Accent3 13 5" xfId="965" xr:uid="{00000000-0005-0000-0000-0000C1030000}"/>
    <cellStyle name="20% - Accent3 13 6" xfId="966" xr:uid="{00000000-0005-0000-0000-0000C2030000}"/>
    <cellStyle name="20% - Accent3 14" xfId="967" xr:uid="{00000000-0005-0000-0000-0000C3030000}"/>
    <cellStyle name="20% - Accent3 14 2" xfId="968" xr:uid="{00000000-0005-0000-0000-0000C4030000}"/>
    <cellStyle name="20% - Accent3 14 2 2" xfId="969" xr:uid="{00000000-0005-0000-0000-0000C5030000}"/>
    <cellStyle name="20% - Accent3 14 3" xfId="970" xr:uid="{00000000-0005-0000-0000-0000C6030000}"/>
    <cellStyle name="20% - Accent3 14 4" xfId="971" xr:uid="{00000000-0005-0000-0000-0000C7030000}"/>
    <cellStyle name="20% - Accent3 14 5" xfId="972" xr:uid="{00000000-0005-0000-0000-0000C8030000}"/>
    <cellStyle name="20% - Accent3 15" xfId="973" xr:uid="{00000000-0005-0000-0000-0000C9030000}"/>
    <cellStyle name="20% - Accent3 15 2" xfId="974" xr:uid="{00000000-0005-0000-0000-0000CA030000}"/>
    <cellStyle name="20% - Accent3 15 2 2" xfId="975" xr:uid="{00000000-0005-0000-0000-0000CB030000}"/>
    <cellStyle name="20% - Accent3 15 3" xfId="976" xr:uid="{00000000-0005-0000-0000-0000CC030000}"/>
    <cellStyle name="20% - Accent3 15 4" xfId="977" xr:uid="{00000000-0005-0000-0000-0000CD030000}"/>
    <cellStyle name="20% - Accent3 15 5" xfId="978" xr:uid="{00000000-0005-0000-0000-0000CE030000}"/>
    <cellStyle name="20% - Accent3 16" xfId="979" xr:uid="{00000000-0005-0000-0000-0000CF030000}"/>
    <cellStyle name="20% - Accent3 16 2" xfId="980" xr:uid="{00000000-0005-0000-0000-0000D0030000}"/>
    <cellStyle name="20% - Accent3 17" xfId="981" xr:uid="{00000000-0005-0000-0000-0000D1030000}"/>
    <cellStyle name="20% - Accent3 18" xfId="982" xr:uid="{00000000-0005-0000-0000-0000D2030000}"/>
    <cellStyle name="20% - Accent3 19" xfId="983" xr:uid="{00000000-0005-0000-0000-0000D3030000}"/>
    <cellStyle name="20% - Accent3 2" xfId="984" xr:uid="{00000000-0005-0000-0000-0000D4030000}"/>
    <cellStyle name="20% - Accent3 2 10" xfId="985" xr:uid="{00000000-0005-0000-0000-0000D5030000}"/>
    <cellStyle name="20% - Accent3 2 11" xfId="986" xr:uid="{00000000-0005-0000-0000-0000D6030000}"/>
    <cellStyle name="20% - Accent3 2 2" xfId="987" xr:uid="{00000000-0005-0000-0000-0000D7030000}"/>
    <cellStyle name="20% - Accent3 2 2 10" xfId="988" xr:uid="{00000000-0005-0000-0000-0000D8030000}"/>
    <cellStyle name="20% - Accent3 2 2 2" xfId="989" xr:uid="{00000000-0005-0000-0000-0000D9030000}"/>
    <cellStyle name="20% - Accent3 2 2 2 2" xfId="990" xr:uid="{00000000-0005-0000-0000-0000DA030000}"/>
    <cellStyle name="20% - Accent3 2 2 2 2 2" xfId="991" xr:uid="{00000000-0005-0000-0000-0000DB030000}"/>
    <cellStyle name="20% - Accent3 2 2 2 2 2 2" xfId="992" xr:uid="{00000000-0005-0000-0000-0000DC030000}"/>
    <cellStyle name="20% - Accent3 2 2 2 2 2 3" xfId="993" xr:uid="{00000000-0005-0000-0000-0000DD030000}"/>
    <cellStyle name="20% - Accent3 2 2 2 2 3" xfId="994" xr:uid="{00000000-0005-0000-0000-0000DE030000}"/>
    <cellStyle name="20% - Accent3 2 2 2 2 4" xfId="995" xr:uid="{00000000-0005-0000-0000-0000DF030000}"/>
    <cellStyle name="20% - Accent3 2 2 2 2 5" xfId="996" xr:uid="{00000000-0005-0000-0000-0000E0030000}"/>
    <cellStyle name="20% - Accent3 2 2 2 2 6" xfId="997" xr:uid="{00000000-0005-0000-0000-0000E1030000}"/>
    <cellStyle name="20% - Accent3 2 2 2 3" xfId="998" xr:uid="{00000000-0005-0000-0000-0000E2030000}"/>
    <cellStyle name="20% - Accent3 2 2 2 3 2" xfId="999" xr:uid="{00000000-0005-0000-0000-0000E3030000}"/>
    <cellStyle name="20% - Accent3 2 2 2 3 2 2" xfId="1000" xr:uid="{00000000-0005-0000-0000-0000E4030000}"/>
    <cellStyle name="20% - Accent3 2 2 2 3 3" xfId="1001" xr:uid="{00000000-0005-0000-0000-0000E5030000}"/>
    <cellStyle name="20% - Accent3 2 2 2 3 4" xfId="1002" xr:uid="{00000000-0005-0000-0000-0000E6030000}"/>
    <cellStyle name="20% - Accent3 2 2 2 3 5" xfId="1003" xr:uid="{00000000-0005-0000-0000-0000E7030000}"/>
    <cellStyle name="20% - Accent3 2 2 2 4" xfId="1004" xr:uid="{00000000-0005-0000-0000-0000E8030000}"/>
    <cellStyle name="20% - Accent3 2 2 2 4 2" xfId="1005" xr:uid="{00000000-0005-0000-0000-0000E9030000}"/>
    <cellStyle name="20% - Accent3 2 2 2 4 3" xfId="1006" xr:uid="{00000000-0005-0000-0000-0000EA030000}"/>
    <cellStyle name="20% - Accent3 2 2 2 4 4" xfId="1007" xr:uid="{00000000-0005-0000-0000-0000EB030000}"/>
    <cellStyle name="20% - Accent3 2 2 2 5" xfId="1008" xr:uid="{00000000-0005-0000-0000-0000EC030000}"/>
    <cellStyle name="20% - Accent3 2 2 2 5 2" xfId="1009" xr:uid="{00000000-0005-0000-0000-0000ED030000}"/>
    <cellStyle name="20% - Accent3 2 2 2 6" xfId="1010" xr:uid="{00000000-0005-0000-0000-0000EE030000}"/>
    <cellStyle name="20% - Accent3 2 2 2 7" xfId="1011" xr:uid="{00000000-0005-0000-0000-0000EF030000}"/>
    <cellStyle name="20% - Accent3 2 2 2 8" xfId="1012" xr:uid="{00000000-0005-0000-0000-0000F0030000}"/>
    <cellStyle name="20% - Accent3 2 2 2 9" xfId="1013" xr:uid="{00000000-0005-0000-0000-0000F1030000}"/>
    <cellStyle name="20% - Accent3 2 2 3" xfId="1014" xr:uid="{00000000-0005-0000-0000-0000F2030000}"/>
    <cellStyle name="20% - Accent3 2 2 3 2" xfId="1015" xr:uid="{00000000-0005-0000-0000-0000F3030000}"/>
    <cellStyle name="20% - Accent3 2 2 3 2 2" xfId="1016" xr:uid="{00000000-0005-0000-0000-0000F4030000}"/>
    <cellStyle name="20% - Accent3 2 2 3 2 3" xfId="1017" xr:uid="{00000000-0005-0000-0000-0000F5030000}"/>
    <cellStyle name="20% - Accent3 2 2 3 3" xfId="1018" xr:uid="{00000000-0005-0000-0000-0000F6030000}"/>
    <cellStyle name="20% - Accent3 2 2 3 4" xfId="1019" xr:uid="{00000000-0005-0000-0000-0000F7030000}"/>
    <cellStyle name="20% - Accent3 2 2 3 5" xfId="1020" xr:uid="{00000000-0005-0000-0000-0000F8030000}"/>
    <cellStyle name="20% - Accent3 2 2 3 6" xfId="1021" xr:uid="{00000000-0005-0000-0000-0000F9030000}"/>
    <cellStyle name="20% - Accent3 2 2 4" xfId="1022" xr:uid="{00000000-0005-0000-0000-0000FA030000}"/>
    <cellStyle name="20% - Accent3 2 2 4 2" xfId="1023" xr:uid="{00000000-0005-0000-0000-0000FB030000}"/>
    <cellStyle name="20% - Accent3 2 2 4 2 2" xfId="1024" xr:uid="{00000000-0005-0000-0000-0000FC030000}"/>
    <cellStyle name="20% - Accent3 2 2 4 3" xfId="1025" xr:uid="{00000000-0005-0000-0000-0000FD030000}"/>
    <cellStyle name="20% - Accent3 2 2 4 4" xfId="1026" xr:uid="{00000000-0005-0000-0000-0000FE030000}"/>
    <cellStyle name="20% - Accent3 2 2 4 5" xfId="1027" xr:uid="{00000000-0005-0000-0000-0000FF030000}"/>
    <cellStyle name="20% - Accent3 2 2 5" xfId="1028" xr:uid="{00000000-0005-0000-0000-000000040000}"/>
    <cellStyle name="20% - Accent3 2 2 5 2" xfId="1029" xr:uid="{00000000-0005-0000-0000-000001040000}"/>
    <cellStyle name="20% - Accent3 2 2 5 3" xfId="1030" xr:uid="{00000000-0005-0000-0000-000002040000}"/>
    <cellStyle name="20% - Accent3 2 2 5 4" xfId="1031" xr:uid="{00000000-0005-0000-0000-000003040000}"/>
    <cellStyle name="20% - Accent3 2 2 6" xfId="1032" xr:uid="{00000000-0005-0000-0000-000004040000}"/>
    <cellStyle name="20% - Accent3 2 2 6 2" xfId="1033" xr:uid="{00000000-0005-0000-0000-000005040000}"/>
    <cellStyle name="20% - Accent3 2 2 7" xfId="1034" xr:uid="{00000000-0005-0000-0000-000006040000}"/>
    <cellStyle name="20% - Accent3 2 2 8" xfId="1035" xr:uid="{00000000-0005-0000-0000-000007040000}"/>
    <cellStyle name="20% - Accent3 2 2 9" xfId="1036" xr:uid="{00000000-0005-0000-0000-000008040000}"/>
    <cellStyle name="20% - Accent3 2 3" xfId="1037" xr:uid="{00000000-0005-0000-0000-000009040000}"/>
    <cellStyle name="20% - Accent3 2 3 2" xfId="1038" xr:uid="{00000000-0005-0000-0000-00000A040000}"/>
    <cellStyle name="20% - Accent3 2 3 2 2" xfId="1039" xr:uid="{00000000-0005-0000-0000-00000B040000}"/>
    <cellStyle name="20% - Accent3 2 3 2 2 2" xfId="1040" xr:uid="{00000000-0005-0000-0000-00000C040000}"/>
    <cellStyle name="20% - Accent3 2 3 2 2 3" xfId="1041" xr:uid="{00000000-0005-0000-0000-00000D040000}"/>
    <cellStyle name="20% - Accent3 2 3 2 3" xfId="1042" xr:uid="{00000000-0005-0000-0000-00000E040000}"/>
    <cellStyle name="20% - Accent3 2 3 2 4" xfId="1043" xr:uid="{00000000-0005-0000-0000-00000F040000}"/>
    <cellStyle name="20% - Accent3 2 3 2 5" xfId="1044" xr:uid="{00000000-0005-0000-0000-000010040000}"/>
    <cellStyle name="20% - Accent3 2 3 2 6" xfId="1045" xr:uid="{00000000-0005-0000-0000-000011040000}"/>
    <cellStyle name="20% - Accent3 2 3 3" xfId="1046" xr:uid="{00000000-0005-0000-0000-000012040000}"/>
    <cellStyle name="20% - Accent3 2 3 3 2" xfId="1047" xr:uid="{00000000-0005-0000-0000-000013040000}"/>
    <cellStyle name="20% - Accent3 2 3 3 2 2" xfId="1048" xr:uid="{00000000-0005-0000-0000-000014040000}"/>
    <cellStyle name="20% - Accent3 2 3 3 3" xfId="1049" xr:uid="{00000000-0005-0000-0000-000015040000}"/>
    <cellStyle name="20% - Accent3 2 3 3 4" xfId="1050" xr:uid="{00000000-0005-0000-0000-000016040000}"/>
    <cellStyle name="20% - Accent3 2 3 3 5" xfId="1051" xr:uid="{00000000-0005-0000-0000-000017040000}"/>
    <cellStyle name="20% - Accent3 2 3 4" xfId="1052" xr:uid="{00000000-0005-0000-0000-000018040000}"/>
    <cellStyle name="20% - Accent3 2 3 4 2" xfId="1053" xr:uid="{00000000-0005-0000-0000-000019040000}"/>
    <cellStyle name="20% - Accent3 2 3 4 3" xfId="1054" xr:uid="{00000000-0005-0000-0000-00001A040000}"/>
    <cellStyle name="20% - Accent3 2 3 4 4" xfId="1055" xr:uid="{00000000-0005-0000-0000-00001B040000}"/>
    <cellStyle name="20% - Accent3 2 3 5" xfId="1056" xr:uid="{00000000-0005-0000-0000-00001C040000}"/>
    <cellStyle name="20% - Accent3 2 3 5 2" xfId="1057" xr:uid="{00000000-0005-0000-0000-00001D040000}"/>
    <cellStyle name="20% - Accent3 2 3 6" xfId="1058" xr:uid="{00000000-0005-0000-0000-00001E040000}"/>
    <cellStyle name="20% - Accent3 2 3 7" xfId="1059" xr:uid="{00000000-0005-0000-0000-00001F040000}"/>
    <cellStyle name="20% - Accent3 2 3 8" xfId="1060" xr:uid="{00000000-0005-0000-0000-000020040000}"/>
    <cellStyle name="20% - Accent3 2 3 9" xfId="1061" xr:uid="{00000000-0005-0000-0000-000021040000}"/>
    <cellStyle name="20% - Accent3 2 4" xfId="1062" xr:uid="{00000000-0005-0000-0000-000022040000}"/>
    <cellStyle name="20% - Accent3 2 4 2" xfId="1063" xr:uid="{00000000-0005-0000-0000-000023040000}"/>
    <cellStyle name="20% - Accent3 2 4 2 2" xfId="1064" xr:uid="{00000000-0005-0000-0000-000024040000}"/>
    <cellStyle name="20% - Accent3 2 4 2 3" xfId="1065" xr:uid="{00000000-0005-0000-0000-000025040000}"/>
    <cellStyle name="20% - Accent3 2 4 3" xfId="1066" xr:uid="{00000000-0005-0000-0000-000026040000}"/>
    <cellStyle name="20% - Accent3 2 4 4" xfId="1067" xr:uid="{00000000-0005-0000-0000-000027040000}"/>
    <cellStyle name="20% - Accent3 2 4 5" xfId="1068" xr:uid="{00000000-0005-0000-0000-000028040000}"/>
    <cellStyle name="20% - Accent3 2 4 6" xfId="1069" xr:uid="{00000000-0005-0000-0000-000029040000}"/>
    <cellStyle name="20% - Accent3 2 5" xfId="1070" xr:uid="{00000000-0005-0000-0000-00002A040000}"/>
    <cellStyle name="20% - Accent3 2 5 2" xfId="1071" xr:uid="{00000000-0005-0000-0000-00002B040000}"/>
    <cellStyle name="20% - Accent3 2 5 2 2" xfId="1072" xr:uid="{00000000-0005-0000-0000-00002C040000}"/>
    <cellStyle name="20% - Accent3 2 5 3" xfId="1073" xr:uid="{00000000-0005-0000-0000-00002D040000}"/>
    <cellStyle name="20% - Accent3 2 5 4" xfId="1074" xr:uid="{00000000-0005-0000-0000-00002E040000}"/>
    <cellStyle name="20% - Accent3 2 5 5" xfId="1075" xr:uid="{00000000-0005-0000-0000-00002F040000}"/>
    <cellStyle name="20% - Accent3 2 6" xfId="1076" xr:uid="{00000000-0005-0000-0000-000030040000}"/>
    <cellStyle name="20% - Accent3 2 6 2" xfId="1077" xr:uid="{00000000-0005-0000-0000-000031040000}"/>
    <cellStyle name="20% - Accent3 2 6 2 2" xfId="1078" xr:uid="{00000000-0005-0000-0000-000032040000}"/>
    <cellStyle name="20% - Accent3 2 6 3" xfId="1079" xr:uid="{00000000-0005-0000-0000-000033040000}"/>
    <cellStyle name="20% - Accent3 2 6 4" xfId="1080" xr:uid="{00000000-0005-0000-0000-000034040000}"/>
    <cellStyle name="20% - Accent3 2 6 5" xfId="1081" xr:uid="{00000000-0005-0000-0000-000035040000}"/>
    <cellStyle name="20% - Accent3 2 7" xfId="1082" xr:uid="{00000000-0005-0000-0000-000036040000}"/>
    <cellStyle name="20% - Accent3 2 7 2" xfId="1083" xr:uid="{00000000-0005-0000-0000-000037040000}"/>
    <cellStyle name="20% - Accent3 2 8" xfId="1084" xr:uid="{00000000-0005-0000-0000-000038040000}"/>
    <cellStyle name="20% - Accent3 2 9" xfId="1085" xr:uid="{00000000-0005-0000-0000-000039040000}"/>
    <cellStyle name="20% - Accent3 3" xfId="1086" xr:uid="{00000000-0005-0000-0000-00003A040000}"/>
    <cellStyle name="20% - Accent3 3 10" xfId="1087" xr:uid="{00000000-0005-0000-0000-00003B040000}"/>
    <cellStyle name="20% - Accent3 3 2" xfId="1088" xr:uid="{00000000-0005-0000-0000-00003C040000}"/>
    <cellStyle name="20% - Accent3 3 2 2" xfId="1089" xr:uid="{00000000-0005-0000-0000-00003D040000}"/>
    <cellStyle name="20% - Accent3 3 2 2 2" xfId="1090" xr:uid="{00000000-0005-0000-0000-00003E040000}"/>
    <cellStyle name="20% - Accent3 3 2 2 2 2" xfId="1091" xr:uid="{00000000-0005-0000-0000-00003F040000}"/>
    <cellStyle name="20% - Accent3 3 2 2 2 3" xfId="1092" xr:uid="{00000000-0005-0000-0000-000040040000}"/>
    <cellStyle name="20% - Accent3 3 2 2 3" xfId="1093" xr:uid="{00000000-0005-0000-0000-000041040000}"/>
    <cellStyle name="20% - Accent3 3 2 2 4" xfId="1094" xr:uid="{00000000-0005-0000-0000-000042040000}"/>
    <cellStyle name="20% - Accent3 3 2 2 5" xfId="1095" xr:uid="{00000000-0005-0000-0000-000043040000}"/>
    <cellStyle name="20% - Accent3 3 2 2 6" xfId="1096" xr:uid="{00000000-0005-0000-0000-000044040000}"/>
    <cellStyle name="20% - Accent3 3 2 3" xfId="1097" xr:uid="{00000000-0005-0000-0000-000045040000}"/>
    <cellStyle name="20% - Accent3 3 2 3 2" xfId="1098" xr:uid="{00000000-0005-0000-0000-000046040000}"/>
    <cellStyle name="20% - Accent3 3 2 3 2 2" xfId="1099" xr:uid="{00000000-0005-0000-0000-000047040000}"/>
    <cellStyle name="20% - Accent3 3 2 3 3" xfId="1100" xr:uid="{00000000-0005-0000-0000-000048040000}"/>
    <cellStyle name="20% - Accent3 3 2 3 4" xfId="1101" xr:uid="{00000000-0005-0000-0000-000049040000}"/>
    <cellStyle name="20% - Accent3 3 2 3 5" xfId="1102" xr:uid="{00000000-0005-0000-0000-00004A040000}"/>
    <cellStyle name="20% - Accent3 3 2 4" xfId="1103" xr:uid="{00000000-0005-0000-0000-00004B040000}"/>
    <cellStyle name="20% - Accent3 3 2 4 2" xfId="1104" xr:uid="{00000000-0005-0000-0000-00004C040000}"/>
    <cellStyle name="20% - Accent3 3 2 4 3" xfId="1105" xr:uid="{00000000-0005-0000-0000-00004D040000}"/>
    <cellStyle name="20% - Accent3 3 2 4 4" xfId="1106" xr:uid="{00000000-0005-0000-0000-00004E040000}"/>
    <cellStyle name="20% - Accent3 3 2 5" xfId="1107" xr:uid="{00000000-0005-0000-0000-00004F040000}"/>
    <cellStyle name="20% - Accent3 3 2 5 2" xfId="1108" xr:uid="{00000000-0005-0000-0000-000050040000}"/>
    <cellStyle name="20% - Accent3 3 2 6" xfId="1109" xr:uid="{00000000-0005-0000-0000-000051040000}"/>
    <cellStyle name="20% - Accent3 3 2 7" xfId="1110" xr:uid="{00000000-0005-0000-0000-000052040000}"/>
    <cellStyle name="20% - Accent3 3 2 8" xfId="1111" xr:uid="{00000000-0005-0000-0000-000053040000}"/>
    <cellStyle name="20% - Accent3 3 2 9" xfId="1112" xr:uid="{00000000-0005-0000-0000-000054040000}"/>
    <cellStyle name="20% - Accent3 3 3" xfId="1113" xr:uid="{00000000-0005-0000-0000-000055040000}"/>
    <cellStyle name="20% - Accent3 3 3 2" xfId="1114" xr:uid="{00000000-0005-0000-0000-000056040000}"/>
    <cellStyle name="20% - Accent3 3 3 2 2" xfId="1115" xr:uid="{00000000-0005-0000-0000-000057040000}"/>
    <cellStyle name="20% - Accent3 3 3 2 3" xfId="1116" xr:uid="{00000000-0005-0000-0000-000058040000}"/>
    <cellStyle name="20% - Accent3 3 3 3" xfId="1117" xr:uid="{00000000-0005-0000-0000-000059040000}"/>
    <cellStyle name="20% - Accent3 3 3 4" xfId="1118" xr:uid="{00000000-0005-0000-0000-00005A040000}"/>
    <cellStyle name="20% - Accent3 3 3 5" xfId="1119" xr:uid="{00000000-0005-0000-0000-00005B040000}"/>
    <cellStyle name="20% - Accent3 3 3 6" xfId="1120" xr:uid="{00000000-0005-0000-0000-00005C040000}"/>
    <cellStyle name="20% - Accent3 3 4" xfId="1121" xr:uid="{00000000-0005-0000-0000-00005D040000}"/>
    <cellStyle name="20% - Accent3 3 4 2" xfId="1122" xr:uid="{00000000-0005-0000-0000-00005E040000}"/>
    <cellStyle name="20% - Accent3 3 4 2 2" xfId="1123" xr:uid="{00000000-0005-0000-0000-00005F040000}"/>
    <cellStyle name="20% - Accent3 3 4 3" xfId="1124" xr:uid="{00000000-0005-0000-0000-000060040000}"/>
    <cellStyle name="20% - Accent3 3 4 4" xfId="1125" xr:uid="{00000000-0005-0000-0000-000061040000}"/>
    <cellStyle name="20% - Accent3 3 4 5" xfId="1126" xr:uid="{00000000-0005-0000-0000-000062040000}"/>
    <cellStyle name="20% - Accent3 3 5" xfId="1127" xr:uid="{00000000-0005-0000-0000-000063040000}"/>
    <cellStyle name="20% - Accent3 3 5 2" xfId="1128" xr:uid="{00000000-0005-0000-0000-000064040000}"/>
    <cellStyle name="20% - Accent3 3 5 2 2" xfId="1129" xr:uid="{00000000-0005-0000-0000-000065040000}"/>
    <cellStyle name="20% - Accent3 3 5 3" xfId="1130" xr:uid="{00000000-0005-0000-0000-000066040000}"/>
    <cellStyle name="20% - Accent3 3 5 4" xfId="1131" xr:uid="{00000000-0005-0000-0000-000067040000}"/>
    <cellStyle name="20% - Accent3 3 5 5" xfId="1132" xr:uid="{00000000-0005-0000-0000-000068040000}"/>
    <cellStyle name="20% - Accent3 3 6" xfId="1133" xr:uid="{00000000-0005-0000-0000-000069040000}"/>
    <cellStyle name="20% - Accent3 3 6 2" xfId="1134" xr:uid="{00000000-0005-0000-0000-00006A040000}"/>
    <cellStyle name="20% - Accent3 3 7" xfId="1135" xr:uid="{00000000-0005-0000-0000-00006B040000}"/>
    <cellStyle name="20% - Accent3 3 8" xfId="1136" xr:uid="{00000000-0005-0000-0000-00006C040000}"/>
    <cellStyle name="20% - Accent3 3 9" xfId="1137" xr:uid="{00000000-0005-0000-0000-00006D040000}"/>
    <cellStyle name="20% - Accent3 4" xfId="1138" xr:uid="{00000000-0005-0000-0000-00006E040000}"/>
    <cellStyle name="20% - Accent3 4 10" xfId="1139" xr:uid="{00000000-0005-0000-0000-00006F040000}"/>
    <cellStyle name="20% - Accent3 4 2" xfId="1140" xr:uid="{00000000-0005-0000-0000-000070040000}"/>
    <cellStyle name="20% - Accent3 4 2 2" xfId="1141" xr:uid="{00000000-0005-0000-0000-000071040000}"/>
    <cellStyle name="20% - Accent3 4 2 2 2" xfId="1142" xr:uid="{00000000-0005-0000-0000-000072040000}"/>
    <cellStyle name="20% - Accent3 4 2 2 2 2" xfId="1143" xr:uid="{00000000-0005-0000-0000-000073040000}"/>
    <cellStyle name="20% - Accent3 4 2 2 2 3" xfId="1144" xr:uid="{00000000-0005-0000-0000-000074040000}"/>
    <cellStyle name="20% - Accent3 4 2 2 3" xfId="1145" xr:uid="{00000000-0005-0000-0000-000075040000}"/>
    <cellStyle name="20% - Accent3 4 2 2 4" xfId="1146" xr:uid="{00000000-0005-0000-0000-000076040000}"/>
    <cellStyle name="20% - Accent3 4 2 2 5" xfId="1147" xr:uid="{00000000-0005-0000-0000-000077040000}"/>
    <cellStyle name="20% - Accent3 4 2 2 6" xfId="1148" xr:uid="{00000000-0005-0000-0000-000078040000}"/>
    <cellStyle name="20% - Accent3 4 2 3" xfId="1149" xr:uid="{00000000-0005-0000-0000-000079040000}"/>
    <cellStyle name="20% - Accent3 4 2 3 2" xfId="1150" xr:uid="{00000000-0005-0000-0000-00007A040000}"/>
    <cellStyle name="20% - Accent3 4 2 3 2 2" xfId="1151" xr:uid="{00000000-0005-0000-0000-00007B040000}"/>
    <cellStyle name="20% - Accent3 4 2 3 3" xfId="1152" xr:uid="{00000000-0005-0000-0000-00007C040000}"/>
    <cellStyle name="20% - Accent3 4 2 3 4" xfId="1153" xr:uid="{00000000-0005-0000-0000-00007D040000}"/>
    <cellStyle name="20% - Accent3 4 2 3 5" xfId="1154" xr:uid="{00000000-0005-0000-0000-00007E040000}"/>
    <cellStyle name="20% - Accent3 4 2 4" xfId="1155" xr:uid="{00000000-0005-0000-0000-00007F040000}"/>
    <cellStyle name="20% - Accent3 4 2 4 2" xfId="1156" xr:uid="{00000000-0005-0000-0000-000080040000}"/>
    <cellStyle name="20% - Accent3 4 2 4 3" xfId="1157" xr:uid="{00000000-0005-0000-0000-000081040000}"/>
    <cellStyle name="20% - Accent3 4 2 4 4" xfId="1158" xr:uid="{00000000-0005-0000-0000-000082040000}"/>
    <cellStyle name="20% - Accent3 4 2 5" xfId="1159" xr:uid="{00000000-0005-0000-0000-000083040000}"/>
    <cellStyle name="20% - Accent3 4 2 5 2" xfId="1160" xr:uid="{00000000-0005-0000-0000-000084040000}"/>
    <cellStyle name="20% - Accent3 4 2 6" xfId="1161" xr:uid="{00000000-0005-0000-0000-000085040000}"/>
    <cellStyle name="20% - Accent3 4 2 7" xfId="1162" xr:uid="{00000000-0005-0000-0000-000086040000}"/>
    <cellStyle name="20% - Accent3 4 2 8" xfId="1163" xr:uid="{00000000-0005-0000-0000-000087040000}"/>
    <cellStyle name="20% - Accent3 4 2 9" xfId="1164" xr:uid="{00000000-0005-0000-0000-000088040000}"/>
    <cellStyle name="20% - Accent3 4 3" xfId="1165" xr:uid="{00000000-0005-0000-0000-000089040000}"/>
    <cellStyle name="20% - Accent3 4 3 2" xfId="1166" xr:uid="{00000000-0005-0000-0000-00008A040000}"/>
    <cellStyle name="20% - Accent3 4 3 2 2" xfId="1167" xr:uid="{00000000-0005-0000-0000-00008B040000}"/>
    <cellStyle name="20% - Accent3 4 3 2 3" xfId="1168" xr:uid="{00000000-0005-0000-0000-00008C040000}"/>
    <cellStyle name="20% - Accent3 4 3 3" xfId="1169" xr:uid="{00000000-0005-0000-0000-00008D040000}"/>
    <cellStyle name="20% - Accent3 4 3 4" xfId="1170" xr:uid="{00000000-0005-0000-0000-00008E040000}"/>
    <cellStyle name="20% - Accent3 4 3 5" xfId="1171" xr:uid="{00000000-0005-0000-0000-00008F040000}"/>
    <cellStyle name="20% - Accent3 4 3 6" xfId="1172" xr:uid="{00000000-0005-0000-0000-000090040000}"/>
    <cellStyle name="20% - Accent3 4 4" xfId="1173" xr:uid="{00000000-0005-0000-0000-000091040000}"/>
    <cellStyle name="20% - Accent3 4 4 2" xfId="1174" xr:uid="{00000000-0005-0000-0000-000092040000}"/>
    <cellStyle name="20% - Accent3 4 4 2 2" xfId="1175" xr:uid="{00000000-0005-0000-0000-000093040000}"/>
    <cellStyle name="20% - Accent3 4 4 3" xfId="1176" xr:uid="{00000000-0005-0000-0000-000094040000}"/>
    <cellStyle name="20% - Accent3 4 4 4" xfId="1177" xr:uid="{00000000-0005-0000-0000-000095040000}"/>
    <cellStyle name="20% - Accent3 4 4 5" xfId="1178" xr:uid="{00000000-0005-0000-0000-000096040000}"/>
    <cellStyle name="20% - Accent3 4 5" xfId="1179" xr:uid="{00000000-0005-0000-0000-000097040000}"/>
    <cellStyle name="20% - Accent3 4 5 2" xfId="1180" xr:uid="{00000000-0005-0000-0000-000098040000}"/>
    <cellStyle name="20% - Accent3 4 5 2 2" xfId="1181" xr:uid="{00000000-0005-0000-0000-000099040000}"/>
    <cellStyle name="20% - Accent3 4 5 3" xfId="1182" xr:uid="{00000000-0005-0000-0000-00009A040000}"/>
    <cellStyle name="20% - Accent3 4 5 4" xfId="1183" xr:uid="{00000000-0005-0000-0000-00009B040000}"/>
    <cellStyle name="20% - Accent3 4 5 5" xfId="1184" xr:uid="{00000000-0005-0000-0000-00009C040000}"/>
    <cellStyle name="20% - Accent3 4 6" xfId="1185" xr:uid="{00000000-0005-0000-0000-00009D040000}"/>
    <cellStyle name="20% - Accent3 4 6 2" xfId="1186" xr:uid="{00000000-0005-0000-0000-00009E040000}"/>
    <cellStyle name="20% - Accent3 4 7" xfId="1187" xr:uid="{00000000-0005-0000-0000-00009F040000}"/>
    <cellStyle name="20% - Accent3 4 8" xfId="1188" xr:uid="{00000000-0005-0000-0000-0000A0040000}"/>
    <cellStyle name="20% - Accent3 4 9" xfId="1189" xr:uid="{00000000-0005-0000-0000-0000A1040000}"/>
    <cellStyle name="20% - Accent3 5" xfId="1190" xr:uid="{00000000-0005-0000-0000-0000A2040000}"/>
    <cellStyle name="20% - Accent3 5 10" xfId="1191" xr:uid="{00000000-0005-0000-0000-0000A3040000}"/>
    <cellStyle name="20% - Accent3 5 2" xfId="1192" xr:uid="{00000000-0005-0000-0000-0000A4040000}"/>
    <cellStyle name="20% - Accent3 5 2 2" xfId="1193" xr:uid="{00000000-0005-0000-0000-0000A5040000}"/>
    <cellStyle name="20% - Accent3 5 2 2 2" xfId="1194" xr:uid="{00000000-0005-0000-0000-0000A6040000}"/>
    <cellStyle name="20% - Accent3 5 2 2 2 2" xfId="1195" xr:uid="{00000000-0005-0000-0000-0000A7040000}"/>
    <cellStyle name="20% - Accent3 5 2 2 2 3" xfId="1196" xr:uid="{00000000-0005-0000-0000-0000A8040000}"/>
    <cellStyle name="20% - Accent3 5 2 2 3" xfId="1197" xr:uid="{00000000-0005-0000-0000-0000A9040000}"/>
    <cellStyle name="20% - Accent3 5 2 2 4" xfId="1198" xr:uid="{00000000-0005-0000-0000-0000AA040000}"/>
    <cellStyle name="20% - Accent3 5 2 2 5" xfId="1199" xr:uid="{00000000-0005-0000-0000-0000AB040000}"/>
    <cellStyle name="20% - Accent3 5 2 2 6" xfId="1200" xr:uid="{00000000-0005-0000-0000-0000AC040000}"/>
    <cellStyle name="20% - Accent3 5 2 3" xfId="1201" xr:uid="{00000000-0005-0000-0000-0000AD040000}"/>
    <cellStyle name="20% - Accent3 5 2 3 2" xfId="1202" xr:uid="{00000000-0005-0000-0000-0000AE040000}"/>
    <cellStyle name="20% - Accent3 5 2 3 2 2" xfId="1203" xr:uid="{00000000-0005-0000-0000-0000AF040000}"/>
    <cellStyle name="20% - Accent3 5 2 3 3" xfId="1204" xr:uid="{00000000-0005-0000-0000-0000B0040000}"/>
    <cellStyle name="20% - Accent3 5 2 3 4" xfId="1205" xr:uid="{00000000-0005-0000-0000-0000B1040000}"/>
    <cellStyle name="20% - Accent3 5 2 3 5" xfId="1206" xr:uid="{00000000-0005-0000-0000-0000B2040000}"/>
    <cellStyle name="20% - Accent3 5 2 4" xfId="1207" xr:uid="{00000000-0005-0000-0000-0000B3040000}"/>
    <cellStyle name="20% - Accent3 5 2 4 2" xfId="1208" xr:uid="{00000000-0005-0000-0000-0000B4040000}"/>
    <cellStyle name="20% - Accent3 5 2 4 3" xfId="1209" xr:uid="{00000000-0005-0000-0000-0000B5040000}"/>
    <cellStyle name="20% - Accent3 5 2 4 4" xfId="1210" xr:uid="{00000000-0005-0000-0000-0000B6040000}"/>
    <cellStyle name="20% - Accent3 5 2 5" xfId="1211" xr:uid="{00000000-0005-0000-0000-0000B7040000}"/>
    <cellStyle name="20% - Accent3 5 2 5 2" xfId="1212" xr:uid="{00000000-0005-0000-0000-0000B8040000}"/>
    <cellStyle name="20% - Accent3 5 2 6" xfId="1213" xr:uid="{00000000-0005-0000-0000-0000B9040000}"/>
    <cellStyle name="20% - Accent3 5 2 7" xfId="1214" xr:uid="{00000000-0005-0000-0000-0000BA040000}"/>
    <cellStyle name="20% - Accent3 5 2 8" xfId="1215" xr:uid="{00000000-0005-0000-0000-0000BB040000}"/>
    <cellStyle name="20% - Accent3 5 2 9" xfId="1216" xr:uid="{00000000-0005-0000-0000-0000BC040000}"/>
    <cellStyle name="20% - Accent3 5 3" xfId="1217" xr:uid="{00000000-0005-0000-0000-0000BD040000}"/>
    <cellStyle name="20% - Accent3 5 3 2" xfId="1218" xr:uid="{00000000-0005-0000-0000-0000BE040000}"/>
    <cellStyle name="20% - Accent3 5 3 2 2" xfId="1219" xr:uid="{00000000-0005-0000-0000-0000BF040000}"/>
    <cellStyle name="20% - Accent3 5 3 2 3" xfId="1220" xr:uid="{00000000-0005-0000-0000-0000C0040000}"/>
    <cellStyle name="20% - Accent3 5 3 3" xfId="1221" xr:uid="{00000000-0005-0000-0000-0000C1040000}"/>
    <cellStyle name="20% - Accent3 5 3 4" xfId="1222" xr:uid="{00000000-0005-0000-0000-0000C2040000}"/>
    <cellStyle name="20% - Accent3 5 3 5" xfId="1223" xr:uid="{00000000-0005-0000-0000-0000C3040000}"/>
    <cellStyle name="20% - Accent3 5 3 6" xfId="1224" xr:uid="{00000000-0005-0000-0000-0000C4040000}"/>
    <cellStyle name="20% - Accent3 5 4" xfId="1225" xr:uid="{00000000-0005-0000-0000-0000C5040000}"/>
    <cellStyle name="20% - Accent3 5 4 2" xfId="1226" xr:uid="{00000000-0005-0000-0000-0000C6040000}"/>
    <cellStyle name="20% - Accent3 5 4 2 2" xfId="1227" xr:uid="{00000000-0005-0000-0000-0000C7040000}"/>
    <cellStyle name="20% - Accent3 5 4 3" xfId="1228" xr:uid="{00000000-0005-0000-0000-0000C8040000}"/>
    <cellStyle name="20% - Accent3 5 4 4" xfId="1229" xr:uid="{00000000-0005-0000-0000-0000C9040000}"/>
    <cellStyle name="20% - Accent3 5 4 5" xfId="1230" xr:uid="{00000000-0005-0000-0000-0000CA040000}"/>
    <cellStyle name="20% - Accent3 5 5" xfId="1231" xr:uid="{00000000-0005-0000-0000-0000CB040000}"/>
    <cellStyle name="20% - Accent3 5 5 2" xfId="1232" xr:uid="{00000000-0005-0000-0000-0000CC040000}"/>
    <cellStyle name="20% - Accent3 5 5 3" xfId="1233" xr:uid="{00000000-0005-0000-0000-0000CD040000}"/>
    <cellStyle name="20% - Accent3 5 5 4" xfId="1234" xr:uid="{00000000-0005-0000-0000-0000CE040000}"/>
    <cellStyle name="20% - Accent3 5 6" xfId="1235" xr:uid="{00000000-0005-0000-0000-0000CF040000}"/>
    <cellStyle name="20% - Accent3 5 6 2" xfId="1236" xr:uid="{00000000-0005-0000-0000-0000D0040000}"/>
    <cellStyle name="20% - Accent3 5 7" xfId="1237" xr:uid="{00000000-0005-0000-0000-0000D1040000}"/>
    <cellStyle name="20% - Accent3 5 8" xfId="1238" xr:uid="{00000000-0005-0000-0000-0000D2040000}"/>
    <cellStyle name="20% - Accent3 5 9" xfId="1239" xr:uid="{00000000-0005-0000-0000-0000D3040000}"/>
    <cellStyle name="20% - Accent3 6" xfId="1240" xr:uid="{00000000-0005-0000-0000-0000D4040000}"/>
    <cellStyle name="20% - Accent3 6 10" xfId="1241" xr:uid="{00000000-0005-0000-0000-0000D5040000}"/>
    <cellStyle name="20% - Accent3 6 2" xfId="1242" xr:uid="{00000000-0005-0000-0000-0000D6040000}"/>
    <cellStyle name="20% - Accent3 6 2 2" xfId="1243" xr:uid="{00000000-0005-0000-0000-0000D7040000}"/>
    <cellStyle name="20% - Accent3 6 2 2 2" xfId="1244" xr:uid="{00000000-0005-0000-0000-0000D8040000}"/>
    <cellStyle name="20% - Accent3 6 2 2 2 2" xfId="1245" xr:uid="{00000000-0005-0000-0000-0000D9040000}"/>
    <cellStyle name="20% - Accent3 6 2 2 2 3" xfId="1246" xr:uid="{00000000-0005-0000-0000-0000DA040000}"/>
    <cellStyle name="20% - Accent3 6 2 2 3" xfId="1247" xr:uid="{00000000-0005-0000-0000-0000DB040000}"/>
    <cellStyle name="20% - Accent3 6 2 2 4" xfId="1248" xr:uid="{00000000-0005-0000-0000-0000DC040000}"/>
    <cellStyle name="20% - Accent3 6 2 2 5" xfId="1249" xr:uid="{00000000-0005-0000-0000-0000DD040000}"/>
    <cellStyle name="20% - Accent3 6 2 2 6" xfId="1250" xr:uid="{00000000-0005-0000-0000-0000DE040000}"/>
    <cellStyle name="20% - Accent3 6 2 3" xfId="1251" xr:uid="{00000000-0005-0000-0000-0000DF040000}"/>
    <cellStyle name="20% - Accent3 6 2 3 2" xfId="1252" xr:uid="{00000000-0005-0000-0000-0000E0040000}"/>
    <cellStyle name="20% - Accent3 6 2 3 2 2" xfId="1253" xr:uid="{00000000-0005-0000-0000-0000E1040000}"/>
    <cellStyle name="20% - Accent3 6 2 3 3" xfId="1254" xr:uid="{00000000-0005-0000-0000-0000E2040000}"/>
    <cellStyle name="20% - Accent3 6 2 3 4" xfId="1255" xr:uid="{00000000-0005-0000-0000-0000E3040000}"/>
    <cellStyle name="20% - Accent3 6 2 3 5" xfId="1256" xr:uid="{00000000-0005-0000-0000-0000E4040000}"/>
    <cellStyle name="20% - Accent3 6 2 4" xfId="1257" xr:uid="{00000000-0005-0000-0000-0000E5040000}"/>
    <cellStyle name="20% - Accent3 6 2 4 2" xfId="1258" xr:uid="{00000000-0005-0000-0000-0000E6040000}"/>
    <cellStyle name="20% - Accent3 6 2 4 3" xfId="1259" xr:uid="{00000000-0005-0000-0000-0000E7040000}"/>
    <cellStyle name="20% - Accent3 6 2 4 4" xfId="1260" xr:uid="{00000000-0005-0000-0000-0000E8040000}"/>
    <cellStyle name="20% - Accent3 6 2 5" xfId="1261" xr:uid="{00000000-0005-0000-0000-0000E9040000}"/>
    <cellStyle name="20% - Accent3 6 2 5 2" xfId="1262" xr:uid="{00000000-0005-0000-0000-0000EA040000}"/>
    <cellStyle name="20% - Accent3 6 2 6" xfId="1263" xr:uid="{00000000-0005-0000-0000-0000EB040000}"/>
    <cellStyle name="20% - Accent3 6 2 7" xfId="1264" xr:uid="{00000000-0005-0000-0000-0000EC040000}"/>
    <cellStyle name="20% - Accent3 6 2 8" xfId="1265" xr:uid="{00000000-0005-0000-0000-0000ED040000}"/>
    <cellStyle name="20% - Accent3 6 2 9" xfId="1266" xr:uid="{00000000-0005-0000-0000-0000EE040000}"/>
    <cellStyle name="20% - Accent3 6 3" xfId="1267" xr:uid="{00000000-0005-0000-0000-0000EF040000}"/>
    <cellStyle name="20% - Accent3 6 3 2" xfId="1268" xr:uid="{00000000-0005-0000-0000-0000F0040000}"/>
    <cellStyle name="20% - Accent3 6 3 2 2" xfId="1269" xr:uid="{00000000-0005-0000-0000-0000F1040000}"/>
    <cellStyle name="20% - Accent3 6 3 2 3" xfId="1270" xr:uid="{00000000-0005-0000-0000-0000F2040000}"/>
    <cellStyle name="20% - Accent3 6 3 3" xfId="1271" xr:uid="{00000000-0005-0000-0000-0000F3040000}"/>
    <cellStyle name="20% - Accent3 6 3 4" xfId="1272" xr:uid="{00000000-0005-0000-0000-0000F4040000}"/>
    <cellStyle name="20% - Accent3 6 3 5" xfId="1273" xr:uid="{00000000-0005-0000-0000-0000F5040000}"/>
    <cellStyle name="20% - Accent3 6 3 6" xfId="1274" xr:uid="{00000000-0005-0000-0000-0000F6040000}"/>
    <cellStyle name="20% - Accent3 6 4" xfId="1275" xr:uid="{00000000-0005-0000-0000-0000F7040000}"/>
    <cellStyle name="20% - Accent3 6 4 2" xfId="1276" xr:uid="{00000000-0005-0000-0000-0000F8040000}"/>
    <cellStyle name="20% - Accent3 6 4 2 2" xfId="1277" xr:uid="{00000000-0005-0000-0000-0000F9040000}"/>
    <cellStyle name="20% - Accent3 6 4 3" xfId="1278" xr:uid="{00000000-0005-0000-0000-0000FA040000}"/>
    <cellStyle name="20% - Accent3 6 4 4" xfId="1279" xr:uid="{00000000-0005-0000-0000-0000FB040000}"/>
    <cellStyle name="20% - Accent3 6 4 5" xfId="1280" xr:uid="{00000000-0005-0000-0000-0000FC040000}"/>
    <cellStyle name="20% - Accent3 6 5" xfId="1281" xr:uid="{00000000-0005-0000-0000-0000FD040000}"/>
    <cellStyle name="20% - Accent3 6 5 2" xfId="1282" xr:uid="{00000000-0005-0000-0000-0000FE040000}"/>
    <cellStyle name="20% - Accent3 6 5 3" xfId="1283" xr:uid="{00000000-0005-0000-0000-0000FF040000}"/>
    <cellStyle name="20% - Accent3 6 5 4" xfId="1284" xr:uid="{00000000-0005-0000-0000-000000050000}"/>
    <cellStyle name="20% - Accent3 6 6" xfId="1285" xr:uid="{00000000-0005-0000-0000-000001050000}"/>
    <cellStyle name="20% - Accent3 6 6 2" xfId="1286" xr:uid="{00000000-0005-0000-0000-000002050000}"/>
    <cellStyle name="20% - Accent3 6 7" xfId="1287" xr:uid="{00000000-0005-0000-0000-000003050000}"/>
    <cellStyle name="20% - Accent3 6 8" xfId="1288" xr:uid="{00000000-0005-0000-0000-000004050000}"/>
    <cellStyle name="20% - Accent3 6 9" xfId="1289" xr:uid="{00000000-0005-0000-0000-000005050000}"/>
    <cellStyle name="20% - Accent3 7" xfId="1290" xr:uid="{00000000-0005-0000-0000-000006050000}"/>
    <cellStyle name="20% - Accent3 7 2" xfId="1291" xr:uid="{00000000-0005-0000-0000-000007050000}"/>
    <cellStyle name="20% - Accent3 7 2 2" xfId="1292" xr:uid="{00000000-0005-0000-0000-000008050000}"/>
    <cellStyle name="20% - Accent3 7 2 2 2" xfId="1293" xr:uid="{00000000-0005-0000-0000-000009050000}"/>
    <cellStyle name="20% - Accent3 7 2 2 3" xfId="1294" xr:uid="{00000000-0005-0000-0000-00000A050000}"/>
    <cellStyle name="20% - Accent3 7 2 3" xfId="1295" xr:uid="{00000000-0005-0000-0000-00000B050000}"/>
    <cellStyle name="20% - Accent3 7 2 4" xfId="1296" xr:uid="{00000000-0005-0000-0000-00000C050000}"/>
    <cellStyle name="20% - Accent3 7 2 5" xfId="1297" xr:uid="{00000000-0005-0000-0000-00000D050000}"/>
    <cellStyle name="20% - Accent3 7 2 6" xfId="1298" xr:uid="{00000000-0005-0000-0000-00000E050000}"/>
    <cellStyle name="20% - Accent3 7 3" xfId="1299" xr:uid="{00000000-0005-0000-0000-00000F050000}"/>
    <cellStyle name="20% - Accent3 7 3 2" xfId="1300" xr:uid="{00000000-0005-0000-0000-000010050000}"/>
    <cellStyle name="20% - Accent3 7 3 2 2" xfId="1301" xr:uid="{00000000-0005-0000-0000-000011050000}"/>
    <cellStyle name="20% - Accent3 7 3 3" xfId="1302" xr:uid="{00000000-0005-0000-0000-000012050000}"/>
    <cellStyle name="20% - Accent3 7 3 4" xfId="1303" xr:uid="{00000000-0005-0000-0000-000013050000}"/>
    <cellStyle name="20% - Accent3 7 3 5" xfId="1304" xr:uid="{00000000-0005-0000-0000-000014050000}"/>
    <cellStyle name="20% - Accent3 7 4" xfId="1305" xr:uid="{00000000-0005-0000-0000-000015050000}"/>
    <cellStyle name="20% - Accent3 7 4 2" xfId="1306" xr:uid="{00000000-0005-0000-0000-000016050000}"/>
    <cellStyle name="20% - Accent3 7 4 3" xfId="1307" xr:uid="{00000000-0005-0000-0000-000017050000}"/>
    <cellStyle name="20% - Accent3 7 4 4" xfId="1308" xr:uid="{00000000-0005-0000-0000-000018050000}"/>
    <cellStyle name="20% - Accent3 7 5" xfId="1309" xr:uid="{00000000-0005-0000-0000-000019050000}"/>
    <cellStyle name="20% - Accent3 7 5 2" xfId="1310" xr:uid="{00000000-0005-0000-0000-00001A050000}"/>
    <cellStyle name="20% - Accent3 7 6" xfId="1311" xr:uid="{00000000-0005-0000-0000-00001B050000}"/>
    <cellStyle name="20% - Accent3 7 7" xfId="1312" xr:uid="{00000000-0005-0000-0000-00001C050000}"/>
    <cellStyle name="20% - Accent3 7 8" xfId="1313" xr:uid="{00000000-0005-0000-0000-00001D050000}"/>
    <cellStyle name="20% - Accent3 7 9" xfId="1314" xr:uid="{00000000-0005-0000-0000-00001E050000}"/>
    <cellStyle name="20% - Accent3 8" xfId="1315" xr:uid="{00000000-0005-0000-0000-00001F050000}"/>
    <cellStyle name="20% - Accent3 8 2" xfId="1316" xr:uid="{00000000-0005-0000-0000-000020050000}"/>
    <cellStyle name="20% - Accent3 8 2 2" xfId="1317" xr:uid="{00000000-0005-0000-0000-000021050000}"/>
    <cellStyle name="20% - Accent3 8 2 2 2" xfId="1318" xr:uid="{00000000-0005-0000-0000-000022050000}"/>
    <cellStyle name="20% - Accent3 8 2 2 3" xfId="1319" xr:uid="{00000000-0005-0000-0000-000023050000}"/>
    <cellStyle name="20% - Accent3 8 2 3" xfId="1320" xr:uid="{00000000-0005-0000-0000-000024050000}"/>
    <cellStyle name="20% - Accent3 8 2 4" xfId="1321" xr:uid="{00000000-0005-0000-0000-000025050000}"/>
    <cellStyle name="20% - Accent3 8 2 5" xfId="1322" xr:uid="{00000000-0005-0000-0000-000026050000}"/>
    <cellStyle name="20% - Accent3 8 2 6" xfId="1323" xr:uid="{00000000-0005-0000-0000-000027050000}"/>
    <cellStyle name="20% - Accent3 8 3" xfId="1324" xr:uid="{00000000-0005-0000-0000-000028050000}"/>
    <cellStyle name="20% - Accent3 8 3 2" xfId="1325" xr:uid="{00000000-0005-0000-0000-000029050000}"/>
    <cellStyle name="20% - Accent3 8 3 2 2" xfId="1326" xr:uid="{00000000-0005-0000-0000-00002A050000}"/>
    <cellStyle name="20% - Accent3 8 3 3" xfId="1327" xr:uid="{00000000-0005-0000-0000-00002B050000}"/>
    <cellStyle name="20% - Accent3 8 3 4" xfId="1328" xr:uid="{00000000-0005-0000-0000-00002C050000}"/>
    <cellStyle name="20% - Accent3 8 3 5" xfId="1329" xr:uid="{00000000-0005-0000-0000-00002D050000}"/>
    <cellStyle name="20% - Accent3 8 4" xfId="1330" xr:uid="{00000000-0005-0000-0000-00002E050000}"/>
    <cellStyle name="20% - Accent3 8 4 2" xfId="1331" xr:uid="{00000000-0005-0000-0000-00002F050000}"/>
    <cellStyle name="20% - Accent3 8 4 3" xfId="1332" xr:uid="{00000000-0005-0000-0000-000030050000}"/>
    <cellStyle name="20% - Accent3 8 4 4" xfId="1333" xr:uid="{00000000-0005-0000-0000-000031050000}"/>
    <cellStyle name="20% - Accent3 8 5" xfId="1334" xr:uid="{00000000-0005-0000-0000-000032050000}"/>
    <cellStyle name="20% - Accent3 8 5 2" xfId="1335" xr:uid="{00000000-0005-0000-0000-000033050000}"/>
    <cellStyle name="20% - Accent3 8 6" xfId="1336" xr:uid="{00000000-0005-0000-0000-000034050000}"/>
    <cellStyle name="20% - Accent3 8 7" xfId="1337" xr:uid="{00000000-0005-0000-0000-000035050000}"/>
    <cellStyle name="20% - Accent3 8 8" xfId="1338" xr:uid="{00000000-0005-0000-0000-000036050000}"/>
    <cellStyle name="20% - Accent3 8 9" xfId="1339" xr:uid="{00000000-0005-0000-0000-000037050000}"/>
    <cellStyle name="20% - Accent3 9" xfId="1340" xr:uid="{00000000-0005-0000-0000-000038050000}"/>
    <cellStyle name="20% - Accent3 9 2" xfId="1341" xr:uid="{00000000-0005-0000-0000-000039050000}"/>
    <cellStyle name="20% - Accent3 9 2 2" xfId="1342" xr:uid="{00000000-0005-0000-0000-00003A050000}"/>
    <cellStyle name="20% - Accent3 9 2 2 2" xfId="1343" xr:uid="{00000000-0005-0000-0000-00003B050000}"/>
    <cellStyle name="20% - Accent3 9 2 3" xfId="1344" xr:uid="{00000000-0005-0000-0000-00003C050000}"/>
    <cellStyle name="20% - Accent3 9 2 4" xfId="1345" xr:uid="{00000000-0005-0000-0000-00003D050000}"/>
    <cellStyle name="20% - Accent3 9 2 5" xfId="1346" xr:uid="{00000000-0005-0000-0000-00003E050000}"/>
    <cellStyle name="20% - Accent3 9 3" xfId="1347" xr:uid="{00000000-0005-0000-0000-00003F050000}"/>
    <cellStyle name="20% - Accent3 9 3 2" xfId="1348" xr:uid="{00000000-0005-0000-0000-000040050000}"/>
    <cellStyle name="20% - Accent3 9 3 3" xfId="1349" xr:uid="{00000000-0005-0000-0000-000041050000}"/>
    <cellStyle name="20% - Accent3 9 3 4" xfId="1350" xr:uid="{00000000-0005-0000-0000-000042050000}"/>
    <cellStyle name="20% - Accent3 9 4" xfId="1351" xr:uid="{00000000-0005-0000-0000-000043050000}"/>
    <cellStyle name="20% - Accent3 9 4 2" xfId="1352" xr:uid="{00000000-0005-0000-0000-000044050000}"/>
    <cellStyle name="20% - Accent3 9 5" xfId="1353" xr:uid="{00000000-0005-0000-0000-000045050000}"/>
    <cellStyle name="20% - Accent3 9 6" xfId="1354" xr:uid="{00000000-0005-0000-0000-000046050000}"/>
    <cellStyle name="20% - Accent3 9 7" xfId="1355" xr:uid="{00000000-0005-0000-0000-000047050000}"/>
    <cellStyle name="20% - Accent3 9 8" xfId="1356" xr:uid="{00000000-0005-0000-0000-000048050000}"/>
    <cellStyle name="20% - Accent4 10" xfId="1357" xr:uid="{00000000-0005-0000-0000-000049050000}"/>
    <cellStyle name="20% - Accent4 10 2" xfId="1358" xr:uid="{00000000-0005-0000-0000-00004A050000}"/>
    <cellStyle name="20% - Accent4 10 2 2" xfId="1359" xr:uid="{00000000-0005-0000-0000-00004B050000}"/>
    <cellStyle name="20% - Accent4 10 2 2 2" xfId="1360" xr:uid="{00000000-0005-0000-0000-00004C050000}"/>
    <cellStyle name="20% - Accent4 10 2 3" xfId="1361" xr:uid="{00000000-0005-0000-0000-00004D050000}"/>
    <cellStyle name="20% - Accent4 10 2 4" xfId="1362" xr:uid="{00000000-0005-0000-0000-00004E050000}"/>
    <cellStyle name="20% - Accent4 10 2 5" xfId="1363" xr:uid="{00000000-0005-0000-0000-00004F050000}"/>
    <cellStyle name="20% - Accent4 10 3" xfId="1364" xr:uid="{00000000-0005-0000-0000-000050050000}"/>
    <cellStyle name="20% - Accent4 10 3 2" xfId="1365" xr:uid="{00000000-0005-0000-0000-000051050000}"/>
    <cellStyle name="20% - Accent4 10 3 3" xfId="1366" xr:uid="{00000000-0005-0000-0000-000052050000}"/>
    <cellStyle name="20% - Accent4 10 3 4" xfId="1367" xr:uid="{00000000-0005-0000-0000-000053050000}"/>
    <cellStyle name="20% - Accent4 10 4" xfId="1368" xr:uid="{00000000-0005-0000-0000-000054050000}"/>
    <cellStyle name="20% - Accent4 10 4 2" xfId="1369" xr:uid="{00000000-0005-0000-0000-000055050000}"/>
    <cellStyle name="20% - Accent4 10 5" xfId="1370" xr:uid="{00000000-0005-0000-0000-000056050000}"/>
    <cellStyle name="20% - Accent4 10 6" xfId="1371" xr:uid="{00000000-0005-0000-0000-000057050000}"/>
    <cellStyle name="20% - Accent4 10 7" xfId="1372" xr:uid="{00000000-0005-0000-0000-000058050000}"/>
    <cellStyle name="20% - Accent4 10 8" xfId="1373" xr:uid="{00000000-0005-0000-0000-000059050000}"/>
    <cellStyle name="20% - Accent4 11" xfId="1374" xr:uid="{00000000-0005-0000-0000-00005A050000}"/>
    <cellStyle name="20% - Accent4 11 2" xfId="1375" xr:uid="{00000000-0005-0000-0000-00005B050000}"/>
    <cellStyle name="20% - Accent4 11 2 2" xfId="1376" xr:uid="{00000000-0005-0000-0000-00005C050000}"/>
    <cellStyle name="20% - Accent4 11 2 2 2" xfId="1377" xr:uid="{00000000-0005-0000-0000-00005D050000}"/>
    <cellStyle name="20% - Accent4 11 2 3" xfId="1378" xr:uid="{00000000-0005-0000-0000-00005E050000}"/>
    <cellStyle name="20% - Accent4 11 2 4" xfId="1379" xr:uid="{00000000-0005-0000-0000-00005F050000}"/>
    <cellStyle name="20% - Accent4 11 2 5" xfId="1380" xr:uid="{00000000-0005-0000-0000-000060050000}"/>
    <cellStyle name="20% - Accent4 11 3" xfId="1381" xr:uid="{00000000-0005-0000-0000-000061050000}"/>
    <cellStyle name="20% - Accent4 11 3 2" xfId="1382" xr:uid="{00000000-0005-0000-0000-000062050000}"/>
    <cellStyle name="20% - Accent4 11 3 3" xfId="1383" xr:uid="{00000000-0005-0000-0000-000063050000}"/>
    <cellStyle name="20% - Accent4 11 3 4" xfId="1384" xr:uid="{00000000-0005-0000-0000-000064050000}"/>
    <cellStyle name="20% - Accent4 11 4" xfId="1385" xr:uid="{00000000-0005-0000-0000-000065050000}"/>
    <cellStyle name="20% - Accent4 11 4 2" xfId="1386" xr:uid="{00000000-0005-0000-0000-000066050000}"/>
    <cellStyle name="20% - Accent4 11 5" xfId="1387" xr:uid="{00000000-0005-0000-0000-000067050000}"/>
    <cellStyle name="20% - Accent4 11 6" xfId="1388" xr:uid="{00000000-0005-0000-0000-000068050000}"/>
    <cellStyle name="20% - Accent4 11 7" xfId="1389" xr:uid="{00000000-0005-0000-0000-000069050000}"/>
    <cellStyle name="20% - Accent4 11 8" xfId="1390" xr:uid="{00000000-0005-0000-0000-00006A050000}"/>
    <cellStyle name="20% - Accent4 12" xfId="1391" xr:uid="{00000000-0005-0000-0000-00006B050000}"/>
    <cellStyle name="20% - Accent4 12 2" xfId="1392" xr:uid="{00000000-0005-0000-0000-00006C050000}"/>
    <cellStyle name="20% - Accent4 12 2 2" xfId="1393" xr:uid="{00000000-0005-0000-0000-00006D050000}"/>
    <cellStyle name="20% - Accent4 12 2 2 2" xfId="1394" xr:uid="{00000000-0005-0000-0000-00006E050000}"/>
    <cellStyle name="20% - Accent4 12 2 3" xfId="1395" xr:uid="{00000000-0005-0000-0000-00006F050000}"/>
    <cellStyle name="20% - Accent4 12 2 4" xfId="1396" xr:uid="{00000000-0005-0000-0000-000070050000}"/>
    <cellStyle name="20% - Accent4 12 2 5" xfId="1397" xr:uid="{00000000-0005-0000-0000-000071050000}"/>
    <cellStyle name="20% - Accent4 12 3" xfId="1398" xr:uid="{00000000-0005-0000-0000-000072050000}"/>
    <cellStyle name="20% - Accent4 12 3 2" xfId="1399" xr:uid="{00000000-0005-0000-0000-000073050000}"/>
    <cellStyle name="20% - Accent4 12 3 3" xfId="1400" xr:uid="{00000000-0005-0000-0000-000074050000}"/>
    <cellStyle name="20% - Accent4 12 3 4" xfId="1401" xr:uid="{00000000-0005-0000-0000-000075050000}"/>
    <cellStyle name="20% - Accent4 12 4" xfId="1402" xr:uid="{00000000-0005-0000-0000-000076050000}"/>
    <cellStyle name="20% - Accent4 12 4 2" xfId="1403" xr:uid="{00000000-0005-0000-0000-000077050000}"/>
    <cellStyle name="20% - Accent4 12 5" xfId="1404" xr:uid="{00000000-0005-0000-0000-000078050000}"/>
    <cellStyle name="20% - Accent4 12 6" xfId="1405" xr:uid="{00000000-0005-0000-0000-000079050000}"/>
    <cellStyle name="20% - Accent4 12 7" xfId="1406" xr:uid="{00000000-0005-0000-0000-00007A050000}"/>
    <cellStyle name="20% - Accent4 12 8" xfId="1407" xr:uid="{00000000-0005-0000-0000-00007B050000}"/>
    <cellStyle name="20% - Accent4 13" xfId="1408" xr:uid="{00000000-0005-0000-0000-00007C050000}"/>
    <cellStyle name="20% - Accent4 13 2" xfId="1409" xr:uid="{00000000-0005-0000-0000-00007D050000}"/>
    <cellStyle name="20% - Accent4 13 2 2" xfId="1410" xr:uid="{00000000-0005-0000-0000-00007E050000}"/>
    <cellStyle name="20% - Accent4 13 2 3" xfId="1411" xr:uid="{00000000-0005-0000-0000-00007F050000}"/>
    <cellStyle name="20% - Accent4 13 2 4" xfId="1412" xr:uid="{00000000-0005-0000-0000-000080050000}"/>
    <cellStyle name="20% - Accent4 13 3" xfId="1413" xr:uid="{00000000-0005-0000-0000-000081050000}"/>
    <cellStyle name="20% - Accent4 13 3 2" xfId="1414" xr:uid="{00000000-0005-0000-0000-000082050000}"/>
    <cellStyle name="20% - Accent4 13 4" xfId="1415" xr:uid="{00000000-0005-0000-0000-000083050000}"/>
    <cellStyle name="20% - Accent4 13 5" xfId="1416" xr:uid="{00000000-0005-0000-0000-000084050000}"/>
    <cellStyle name="20% - Accent4 13 6" xfId="1417" xr:uid="{00000000-0005-0000-0000-000085050000}"/>
    <cellStyle name="20% - Accent4 14" xfId="1418" xr:uid="{00000000-0005-0000-0000-000086050000}"/>
    <cellStyle name="20% - Accent4 14 2" xfId="1419" xr:uid="{00000000-0005-0000-0000-000087050000}"/>
    <cellStyle name="20% - Accent4 14 2 2" xfId="1420" xr:uid="{00000000-0005-0000-0000-000088050000}"/>
    <cellStyle name="20% - Accent4 14 3" xfId="1421" xr:uid="{00000000-0005-0000-0000-000089050000}"/>
    <cellStyle name="20% - Accent4 14 4" xfId="1422" xr:uid="{00000000-0005-0000-0000-00008A050000}"/>
    <cellStyle name="20% - Accent4 14 5" xfId="1423" xr:uid="{00000000-0005-0000-0000-00008B050000}"/>
    <cellStyle name="20% - Accent4 15" xfId="1424" xr:uid="{00000000-0005-0000-0000-00008C050000}"/>
    <cellStyle name="20% - Accent4 15 2" xfId="1425" xr:uid="{00000000-0005-0000-0000-00008D050000}"/>
    <cellStyle name="20% - Accent4 15 2 2" xfId="1426" xr:uid="{00000000-0005-0000-0000-00008E050000}"/>
    <cellStyle name="20% - Accent4 15 3" xfId="1427" xr:uid="{00000000-0005-0000-0000-00008F050000}"/>
    <cellStyle name="20% - Accent4 15 4" xfId="1428" xr:uid="{00000000-0005-0000-0000-000090050000}"/>
    <cellStyle name="20% - Accent4 15 5" xfId="1429" xr:uid="{00000000-0005-0000-0000-000091050000}"/>
    <cellStyle name="20% - Accent4 16" xfId="1430" xr:uid="{00000000-0005-0000-0000-000092050000}"/>
    <cellStyle name="20% - Accent4 16 2" xfId="1431" xr:uid="{00000000-0005-0000-0000-000093050000}"/>
    <cellStyle name="20% - Accent4 17" xfId="1432" xr:uid="{00000000-0005-0000-0000-000094050000}"/>
    <cellStyle name="20% - Accent4 18" xfId="1433" xr:uid="{00000000-0005-0000-0000-000095050000}"/>
    <cellStyle name="20% - Accent4 19" xfId="1434" xr:uid="{00000000-0005-0000-0000-000096050000}"/>
    <cellStyle name="20% - Accent4 2" xfId="1435" xr:uid="{00000000-0005-0000-0000-000097050000}"/>
    <cellStyle name="20% - Accent4 2 10" xfId="1436" xr:uid="{00000000-0005-0000-0000-000098050000}"/>
    <cellStyle name="20% - Accent4 2 11" xfId="1437" xr:uid="{00000000-0005-0000-0000-000099050000}"/>
    <cellStyle name="20% - Accent4 2 2" xfId="1438" xr:uid="{00000000-0005-0000-0000-00009A050000}"/>
    <cellStyle name="20% - Accent4 2 2 10" xfId="1439" xr:uid="{00000000-0005-0000-0000-00009B050000}"/>
    <cellStyle name="20% - Accent4 2 2 2" xfId="1440" xr:uid="{00000000-0005-0000-0000-00009C050000}"/>
    <cellStyle name="20% - Accent4 2 2 2 2" xfId="1441" xr:uid="{00000000-0005-0000-0000-00009D050000}"/>
    <cellStyle name="20% - Accent4 2 2 2 2 2" xfId="1442" xr:uid="{00000000-0005-0000-0000-00009E050000}"/>
    <cellStyle name="20% - Accent4 2 2 2 2 2 2" xfId="1443" xr:uid="{00000000-0005-0000-0000-00009F050000}"/>
    <cellStyle name="20% - Accent4 2 2 2 2 2 3" xfId="1444" xr:uid="{00000000-0005-0000-0000-0000A0050000}"/>
    <cellStyle name="20% - Accent4 2 2 2 2 3" xfId="1445" xr:uid="{00000000-0005-0000-0000-0000A1050000}"/>
    <cellStyle name="20% - Accent4 2 2 2 2 4" xfId="1446" xr:uid="{00000000-0005-0000-0000-0000A2050000}"/>
    <cellStyle name="20% - Accent4 2 2 2 2 5" xfId="1447" xr:uid="{00000000-0005-0000-0000-0000A3050000}"/>
    <cellStyle name="20% - Accent4 2 2 2 2 6" xfId="1448" xr:uid="{00000000-0005-0000-0000-0000A4050000}"/>
    <cellStyle name="20% - Accent4 2 2 2 3" xfId="1449" xr:uid="{00000000-0005-0000-0000-0000A5050000}"/>
    <cellStyle name="20% - Accent4 2 2 2 3 2" xfId="1450" xr:uid="{00000000-0005-0000-0000-0000A6050000}"/>
    <cellStyle name="20% - Accent4 2 2 2 3 2 2" xfId="1451" xr:uid="{00000000-0005-0000-0000-0000A7050000}"/>
    <cellStyle name="20% - Accent4 2 2 2 3 3" xfId="1452" xr:uid="{00000000-0005-0000-0000-0000A8050000}"/>
    <cellStyle name="20% - Accent4 2 2 2 3 4" xfId="1453" xr:uid="{00000000-0005-0000-0000-0000A9050000}"/>
    <cellStyle name="20% - Accent4 2 2 2 3 5" xfId="1454" xr:uid="{00000000-0005-0000-0000-0000AA050000}"/>
    <cellStyle name="20% - Accent4 2 2 2 4" xfId="1455" xr:uid="{00000000-0005-0000-0000-0000AB050000}"/>
    <cellStyle name="20% - Accent4 2 2 2 4 2" xfId="1456" xr:uid="{00000000-0005-0000-0000-0000AC050000}"/>
    <cellStyle name="20% - Accent4 2 2 2 4 3" xfId="1457" xr:uid="{00000000-0005-0000-0000-0000AD050000}"/>
    <cellStyle name="20% - Accent4 2 2 2 4 4" xfId="1458" xr:uid="{00000000-0005-0000-0000-0000AE050000}"/>
    <cellStyle name="20% - Accent4 2 2 2 5" xfId="1459" xr:uid="{00000000-0005-0000-0000-0000AF050000}"/>
    <cellStyle name="20% - Accent4 2 2 2 5 2" xfId="1460" xr:uid="{00000000-0005-0000-0000-0000B0050000}"/>
    <cellStyle name="20% - Accent4 2 2 2 6" xfId="1461" xr:uid="{00000000-0005-0000-0000-0000B1050000}"/>
    <cellStyle name="20% - Accent4 2 2 2 7" xfId="1462" xr:uid="{00000000-0005-0000-0000-0000B2050000}"/>
    <cellStyle name="20% - Accent4 2 2 2 8" xfId="1463" xr:uid="{00000000-0005-0000-0000-0000B3050000}"/>
    <cellStyle name="20% - Accent4 2 2 2 9" xfId="1464" xr:uid="{00000000-0005-0000-0000-0000B4050000}"/>
    <cellStyle name="20% - Accent4 2 2 3" xfId="1465" xr:uid="{00000000-0005-0000-0000-0000B5050000}"/>
    <cellStyle name="20% - Accent4 2 2 3 2" xfId="1466" xr:uid="{00000000-0005-0000-0000-0000B6050000}"/>
    <cellStyle name="20% - Accent4 2 2 3 2 2" xfId="1467" xr:uid="{00000000-0005-0000-0000-0000B7050000}"/>
    <cellStyle name="20% - Accent4 2 2 3 2 3" xfId="1468" xr:uid="{00000000-0005-0000-0000-0000B8050000}"/>
    <cellStyle name="20% - Accent4 2 2 3 3" xfId="1469" xr:uid="{00000000-0005-0000-0000-0000B9050000}"/>
    <cellStyle name="20% - Accent4 2 2 3 4" xfId="1470" xr:uid="{00000000-0005-0000-0000-0000BA050000}"/>
    <cellStyle name="20% - Accent4 2 2 3 5" xfId="1471" xr:uid="{00000000-0005-0000-0000-0000BB050000}"/>
    <cellStyle name="20% - Accent4 2 2 3 6" xfId="1472" xr:uid="{00000000-0005-0000-0000-0000BC050000}"/>
    <cellStyle name="20% - Accent4 2 2 4" xfId="1473" xr:uid="{00000000-0005-0000-0000-0000BD050000}"/>
    <cellStyle name="20% - Accent4 2 2 4 2" xfId="1474" xr:uid="{00000000-0005-0000-0000-0000BE050000}"/>
    <cellStyle name="20% - Accent4 2 2 4 2 2" xfId="1475" xr:uid="{00000000-0005-0000-0000-0000BF050000}"/>
    <cellStyle name="20% - Accent4 2 2 4 3" xfId="1476" xr:uid="{00000000-0005-0000-0000-0000C0050000}"/>
    <cellStyle name="20% - Accent4 2 2 4 4" xfId="1477" xr:uid="{00000000-0005-0000-0000-0000C1050000}"/>
    <cellStyle name="20% - Accent4 2 2 4 5" xfId="1478" xr:uid="{00000000-0005-0000-0000-0000C2050000}"/>
    <cellStyle name="20% - Accent4 2 2 5" xfId="1479" xr:uid="{00000000-0005-0000-0000-0000C3050000}"/>
    <cellStyle name="20% - Accent4 2 2 5 2" xfId="1480" xr:uid="{00000000-0005-0000-0000-0000C4050000}"/>
    <cellStyle name="20% - Accent4 2 2 5 3" xfId="1481" xr:uid="{00000000-0005-0000-0000-0000C5050000}"/>
    <cellStyle name="20% - Accent4 2 2 5 4" xfId="1482" xr:uid="{00000000-0005-0000-0000-0000C6050000}"/>
    <cellStyle name="20% - Accent4 2 2 6" xfId="1483" xr:uid="{00000000-0005-0000-0000-0000C7050000}"/>
    <cellStyle name="20% - Accent4 2 2 6 2" xfId="1484" xr:uid="{00000000-0005-0000-0000-0000C8050000}"/>
    <cellStyle name="20% - Accent4 2 2 7" xfId="1485" xr:uid="{00000000-0005-0000-0000-0000C9050000}"/>
    <cellStyle name="20% - Accent4 2 2 8" xfId="1486" xr:uid="{00000000-0005-0000-0000-0000CA050000}"/>
    <cellStyle name="20% - Accent4 2 2 9" xfId="1487" xr:uid="{00000000-0005-0000-0000-0000CB050000}"/>
    <cellStyle name="20% - Accent4 2 3" xfId="1488" xr:uid="{00000000-0005-0000-0000-0000CC050000}"/>
    <cellStyle name="20% - Accent4 2 3 2" xfId="1489" xr:uid="{00000000-0005-0000-0000-0000CD050000}"/>
    <cellStyle name="20% - Accent4 2 3 2 2" xfId="1490" xr:uid="{00000000-0005-0000-0000-0000CE050000}"/>
    <cellStyle name="20% - Accent4 2 3 2 2 2" xfId="1491" xr:uid="{00000000-0005-0000-0000-0000CF050000}"/>
    <cellStyle name="20% - Accent4 2 3 2 2 3" xfId="1492" xr:uid="{00000000-0005-0000-0000-0000D0050000}"/>
    <cellStyle name="20% - Accent4 2 3 2 3" xfId="1493" xr:uid="{00000000-0005-0000-0000-0000D1050000}"/>
    <cellStyle name="20% - Accent4 2 3 2 4" xfId="1494" xr:uid="{00000000-0005-0000-0000-0000D2050000}"/>
    <cellStyle name="20% - Accent4 2 3 2 5" xfId="1495" xr:uid="{00000000-0005-0000-0000-0000D3050000}"/>
    <cellStyle name="20% - Accent4 2 3 2 6" xfId="1496" xr:uid="{00000000-0005-0000-0000-0000D4050000}"/>
    <cellStyle name="20% - Accent4 2 3 3" xfId="1497" xr:uid="{00000000-0005-0000-0000-0000D5050000}"/>
    <cellStyle name="20% - Accent4 2 3 3 2" xfId="1498" xr:uid="{00000000-0005-0000-0000-0000D6050000}"/>
    <cellStyle name="20% - Accent4 2 3 3 2 2" xfId="1499" xr:uid="{00000000-0005-0000-0000-0000D7050000}"/>
    <cellStyle name="20% - Accent4 2 3 3 3" xfId="1500" xr:uid="{00000000-0005-0000-0000-0000D8050000}"/>
    <cellStyle name="20% - Accent4 2 3 3 4" xfId="1501" xr:uid="{00000000-0005-0000-0000-0000D9050000}"/>
    <cellStyle name="20% - Accent4 2 3 3 5" xfId="1502" xr:uid="{00000000-0005-0000-0000-0000DA050000}"/>
    <cellStyle name="20% - Accent4 2 3 4" xfId="1503" xr:uid="{00000000-0005-0000-0000-0000DB050000}"/>
    <cellStyle name="20% - Accent4 2 3 4 2" xfId="1504" xr:uid="{00000000-0005-0000-0000-0000DC050000}"/>
    <cellStyle name="20% - Accent4 2 3 4 3" xfId="1505" xr:uid="{00000000-0005-0000-0000-0000DD050000}"/>
    <cellStyle name="20% - Accent4 2 3 4 4" xfId="1506" xr:uid="{00000000-0005-0000-0000-0000DE050000}"/>
    <cellStyle name="20% - Accent4 2 3 5" xfId="1507" xr:uid="{00000000-0005-0000-0000-0000DF050000}"/>
    <cellStyle name="20% - Accent4 2 3 5 2" xfId="1508" xr:uid="{00000000-0005-0000-0000-0000E0050000}"/>
    <cellStyle name="20% - Accent4 2 3 6" xfId="1509" xr:uid="{00000000-0005-0000-0000-0000E1050000}"/>
    <cellStyle name="20% - Accent4 2 3 7" xfId="1510" xr:uid="{00000000-0005-0000-0000-0000E2050000}"/>
    <cellStyle name="20% - Accent4 2 3 8" xfId="1511" xr:uid="{00000000-0005-0000-0000-0000E3050000}"/>
    <cellStyle name="20% - Accent4 2 3 9" xfId="1512" xr:uid="{00000000-0005-0000-0000-0000E4050000}"/>
    <cellStyle name="20% - Accent4 2 4" xfId="1513" xr:uid="{00000000-0005-0000-0000-0000E5050000}"/>
    <cellStyle name="20% - Accent4 2 4 2" xfId="1514" xr:uid="{00000000-0005-0000-0000-0000E6050000}"/>
    <cellStyle name="20% - Accent4 2 4 2 2" xfId="1515" xr:uid="{00000000-0005-0000-0000-0000E7050000}"/>
    <cellStyle name="20% - Accent4 2 4 2 3" xfId="1516" xr:uid="{00000000-0005-0000-0000-0000E8050000}"/>
    <cellStyle name="20% - Accent4 2 4 3" xfId="1517" xr:uid="{00000000-0005-0000-0000-0000E9050000}"/>
    <cellStyle name="20% - Accent4 2 4 4" xfId="1518" xr:uid="{00000000-0005-0000-0000-0000EA050000}"/>
    <cellStyle name="20% - Accent4 2 4 5" xfId="1519" xr:uid="{00000000-0005-0000-0000-0000EB050000}"/>
    <cellStyle name="20% - Accent4 2 4 6" xfId="1520" xr:uid="{00000000-0005-0000-0000-0000EC050000}"/>
    <cellStyle name="20% - Accent4 2 5" xfId="1521" xr:uid="{00000000-0005-0000-0000-0000ED050000}"/>
    <cellStyle name="20% - Accent4 2 5 2" xfId="1522" xr:uid="{00000000-0005-0000-0000-0000EE050000}"/>
    <cellStyle name="20% - Accent4 2 5 2 2" xfId="1523" xr:uid="{00000000-0005-0000-0000-0000EF050000}"/>
    <cellStyle name="20% - Accent4 2 5 3" xfId="1524" xr:uid="{00000000-0005-0000-0000-0000F0050000}"/>
    <cellStyle name="20% - Accent4 2 5 4" xfId="1525" xr:uid="{00000000-0005-0000-0000-0000F1050000}"/>
    <cellStyle name="20% - Accent4 2 5 5" xfId="1526" xr:uid="{00000000-0005-0000-0000-0000F2050000}"/>
    <cellStyle name="20% - Accent4 2 6" xfId="1527" xr:uid="{00000000-0005-0000-0000-0000F3050000}"/>
    <cellStyle name="20% - Accent4 2 6 2" xfId="1528" xr:uid="{00000000-0005-0000-0000-0000F4050000}"/>
    <cellStyle name="20% - Accent4 2 6 2 2" xfId="1529" xr:uid="{00000000-0005-0000-0000-0000F5050000}"/>
    <cellStyle name="20% - Accent4 2 6 3" xfId="1530" xr:uid="{00000000-0005-0000-0000-0000F6050000}"/>
    <cellStyle name="20% - Accent4 2 6 4" xfId="1531" xr:uid="{00000000-0005-0000-0000-0000F7050000}"/>
    <cellStyle name="20% - Accent4 2 6 5" xfId="1532" xr:uid="{00000000-0005-0000-0000-0000F8050000}"/>
    <cellStyle name="20% - Accent4 2 7" xfId="1533" xr:uid="{00000000-0005-0000-0000-0000F9050000}"/>
    <cellStyle name="20% - Accent4 2 7 2" xfId="1534" xr:uid="{00000000-0005-0000-0000-0000FA050000}"/>
    <cellStyle name="20% - Accent4 2 8" xfId="1535" xr:uid="{00000000-0005-0000-0000-0000FB050000}"/>
    <cellStyle name="20% - Accent4 2 9" xfId="1536" xr:uid="{00000000-0005-0000-0000-0000FC050000}"/>
    <cellStyle name="20% - Accent4 3" xfId="1537" xr:uid="{00000000-0005-0000-0000-0000FD050000}"/>
    <cellStyle name="20% - Accent4 3 10" xfId="1538" xr:uid="{00000000-0005-0000-0000-0000FE050000}"/>
    <cellStyle name="20% - Accent4 3 2" xfId="1539" xr:uid="{00000000-0005-0000-0000-0000FF050000}"/>
    <cellStyle name="20% - Accent4 3 2 2" xfId="1540" xr:uid="{00000000-0005-0000-0000-000000060000}"/>
    <cellStyle name="20% - Accent4 3 2 2 2" xfId="1541" xr:uid="{00000000-0005-0000-0000-000001060000}"/>
    <cellStyle name="20% - Accent4 3 2 2 2 2" xfId="1542" xr:uid="{00000000-0005-0000-0000-000002060000}"/>
    <cellStyle name="20% - Accent4 3 2 2 2 3" xfId="1543" xr:uid="{00000000-0005-0000-0000-000003060000}"/>
    <cellStyle name="20% - Accent4 3 2 2 3" xfId="1544" xr:uid="{00000000-0005-0000-0000-000004060000}"/>
    <cellStyle name="20% - Accent4 3 2 2 4" xfId="1545" xr:uid="{00000000-0005-0000-0000-000005060000}"/>
    <cellStyle name="20% - Accent4 3 2 2 5" xfId="1546" xr:uid="{00000000-0005-0000-0000-000006060000}"/>
    <cellStyle name="20% - Accent4 3 2 2 6" xfId="1547" xr:uid="{00000000-0005-0000-0000-000007060000}"/>
    <cellStyle name="20% - Accent4 3 2 3" xfId="1548" xr:uid="{00000000-0005-0000-0000-000008060000}"/>
    <cellStyle name="20% - Accent4 3 2 3 2" xfId="1549" xr:uid="{00000000-0005-0000-0000-000009060000}"/>
    <cellStyle name="20% - Accent4 3 2 3 2 2" xfId="1550" xr:uid="{00000000-0005-0000-0000-00000A060000}"/>
    <cellStyle name="20% - Accent4 3 2 3 3" xfId="1551" xr:uid="{00000000-0005-0000-0000-00000B060000}"/>
    <cellStyle name="20% - Accent4 3 2 3 4" xfId="1552" xr:uid="{00000000-0005-0000-0000-00000C060000}"/>
    <cellStyle name="20% - Accent4 3 2 3 5" xfId="1553" xr:uid="{00000000-0005-0000-0000-00000D060000}"/>
    <cellStyle name="20% - Accent4 3 2 4" xfId="1554" xr:uid="{00000000-0005-0000-0000-00000E060000}"/>
    <cellStyle name="20% - Accent4 3 2 4 2" xfId="1555" xr:uid="{00000000-0005-0000-0000-00000F060000}"/>
    <cellStyle name="20% - Accent4 3 2 4 3" xfId="1556" xr:uid="{00000000-0005-0000-0000-000010060000}"/>
    <cellStyle name="20% - Accent4 3 2 4 4" xfId="1557" xr:uid="{00000000-0005-0000-0000-000011060000}"/>
    <cellStyle name="20% - Accent4 3 2 5" xfId="1558" xr:uid="{00000000-0005-0000-0000-000012060000}"/>
    <cellStyle name="20% - Accent4 3 2 5 2" xfId="1559" xr:uid="{00000000-0005-0000-0000-000013060000}"/>
    <cellStyle name="20% - Accent4 3 2 6" xfId="1560" xr:uid="{00000000-0005-0000-0000-000014060000}"/>
    <cellStyle name="20% - Accent4 3 2 7" xfId="1561" xr:uid="{00000000-0005-0000-0000-000015060000}"/>
    <cellStyle name="20% - Accent4 3 2 8" xfId="1562" xr:uid="{00000000-0005-0000-0000-000016060000}"/>
    <cellStyle name="20% - Accent4 3 2 9" xfId="1563" xr:uid="{00000000-0005-0000-0000-000017060000}"/>
    <cellStyle name="20% - Accent4 3 3" xfId="1564" xr:uid="{00000000-0005-0000-0000-000018060000}"/>
    <cellStyle name="20% - Accent4 3 3 2" xfId="1565" xr:uid="{00000000-0005-0000-0000-000019060000}"/>
    <cellStyle name="20% - Accent4 3 3 2 2" xfId="1566" xr:uid="{00000000-0005-0000-0000-00001A060000}"/>
    <cellStyle name="20% - Accent4 3 3 2 3" xfId="1567" xr:uid="{00000000-0005-0000-0000-00001B060000}"/>
    <cellStyle name="20% - Accent4 3 3 3" xfId="1568" xr:uid="{00000000-0005-0000-0000-00001C060000}"/>
    <cellStyle name="20% - Accent4 3 3 4" xfId="1569" xr:uid="{00000000-0005-0000-0000-00001D060000}"/>
    <cellStyle name="20% - Accent4 3 3 5" xfId="1570" xr:uid="{00000000-0005-0000-0000-00001E060000}"/>
    <cellStyle name="20% - Accent4 3 3 6" xfId="1571" xr:uid="{00000000-0005-0000-0000-00001F060000}"/>
    <cellStyle name="20% - Accent4 3 4" xfId="1572" xr:uid="{00000000-0005-0000-0000-000020060000}"/>
    <cellStyle name="20% - Accent4 3 4 2" xfId="1573" xr:uid="{00000000-0005-0000-0000-000021060000}"/>
    <cellStyle name="20% - Accent4 3 4 2 2" xfId="1574" xr:uid="{00000000-0005-0000-0000-000022060000}"/>
    <cellStyle name="20% - Accent4 3 4 3" xfId="1575" xr:uid="{00000000-0005-0000-0000-000023060000}"/>
    <cellStyle name="20% - Accent4 3 4 4" xfId="1576" xr:uid="{00000000-0005-0000-0000-000024060000}"/>
    <cellStyle name="20% - Accent4 3 4 5" xfId="1577" xr:uid="{00000000-0005-0000-0000-000025060000}"/>
    <cellStyle name="20% - Accent4 3 5" xfId="1578" xr:uid="{00000000-0005-0000-0000-000026060000}"/>
    <cellStyle name="20% - Accent4 3 5 2" xfId="1579" xr:uid="{00000000-0005-0000-0000-000027060000}"/>
    <cellStyle name="20% - Accent4 3 5 2 2" xfId="1580" xr:uid="{00000000-0005-0000-0000-000028060000}"/>
    <cellStyle name="20% - Accent4 3 5 3" xfId="1581" xr:uid="{00000000-0005-0000-0000-000029060000}"/>
    <cellStyle name="20% - Accent4 3 5 4" xfId="1582" xr:uid="{00000000-0005-0000-0000-00002A060000}"/>
    <cellStyle name="20% - Accent4 3 5 5" xfId="1583" xr:uid="{00000000-0005-0000-0000-00002B060000}"/>
    <cellStyle name="20% - Accent4 3 6" xfId="1584" xr:uid="{00000000-0005-0000-0000-00002C060000}"/>
    <cellStyle name="20% - Accent4 3 6 2" xfId="1585" xr:uid="{00000000-0005-0000-0000-00002D060000}"/>
    <cellStyle name="20% - Accent4 3 7" xfId="1586" xr:uid="{00000000-0005-0000-0000-00002E060000}"/>
    <cellStyle name="20% - Accent4 3 8" xfId="1587" xr:uid="{00000000-0005-0000-0000-00002F060000}"/>
    <cellStyle name="20% - Accent4 3 9" xfId="1588" xr:uid="{00000000-0005-0000-0000-000030060000}"/>
    <cellStyle name="20% - Accent4 4" xfId="1589" xr:uid="{00000000-0005-0000-0000-000031060000}"/>
    <cellStyle name="20% - Accent4 4 10" xfId="1590" xr:uid="{00000000-0005-0000-0000-000032060000}"/>
    <cellStyle name="20% - Accent4 4 2" xfId="1591" xr:uid="{00000000-0005-0000-0000-000033060000}"/>
    <cellStyle name="20% - Accent4 4 2 2" xfId="1592" xr:uid="{00000000-0005-0000-0000-000034060000}"/>
    <cellStyle name="20% - Accent4 4 2 2 2" xfId="1593" xr:uid="{00000000-0005-0000-0000-000035060000}"/>
    <cellStyle name="20% - Accent4 4 2 2 2 2" xfId="1594" xr:uid="{00000000-0005-0000-0000-000036060000}"/>
    <cellStyle name="20% - Accent4 4 2 2 2 3" xfId="1595" xr:uid="{00000000-0005-0000-0000-000037060000}"/>
    <cellStyle name="20% - Accent4 4 2 2 3" xfId="1596" xr:uid="{00000000-0005-0000-0000-000038060000}"/>
    <cellStyle name="20% - Accent4 4 2 2 4" xfId="1597" xr:uid="{00000000-0005-0000-0000-000039060000}"/>
    <cellStyle name="20% - Accent4 4 2 2 5" xfId="1598" xr:uid="{00000000-0005-0000-0000-00003A060000}"/>
    <cellStyle name="20% - Accent4 4 2 2 6" xfId="1599" xr:uid="{00000000-0005-0000-0000-00003B060000}"/>
    <cellStyle name="20% - Accent4 4 2 3" xfId="1600" xr:uid="{00000000-0005-0000-0000-00003C060000}"/>
    <cellStyle name="20% - Accent4 4 2 3 2" xfId="1601" xr:uid="{00000000-0005-0000-0000-00003D060000}"/>
    <cellStyle name="20% - Accent4 4 2 3 2 2" xfId="1602" xr:uid="{00000000-0005-0000-0000-00003E060000}"/>
    <cellStyle name="20% - Accent4 4 2 3 3" xfId="1603" xr:uid="{00000000-0005-0000-0000-00003F060000}"/>
    <cellStyle name="20% - Accent4 4 2 3 4" xfId="1604" xr:uid="{00000000-0005-0000-0000-000040060000}"/>
    <cellStyle name="20% - Accent4 4 2 3 5" xfId="1605" xr:uid="{00000000-0005-0000-0000-000041060000}"/>
    <cellStyle name="20% - Accent4 4 2 4" xfId="1606" xr:uid="{00000000-0005-0000-0000-000042060000}"/>
    <cellStyle name="20% - Accent4 4 2 4 2" xfId="1607" xr:uid="{00000000-0005-0000-0000-000043060000}"/>
    <cellStyle name="20% - Accent4 4 2 4 3" xfId="1608" xr:uid="{00000000-0005-0000-0000-000044060000}"/>
    <cellStyle name="20% - Accent4 4 2 4 4" xfId="1609" xr:uid="{00000000-0005-0000-0000-000045060000}"/>
    <cellStyle name="20% - Accent4 4 2 5" xfId="1610" xr:uid="{00000000-0005-0000-0000-000046060000}"/>
    <cellStyle name="20% - Accent4 4 2 5 2" xfId="1611" xr:uid="{00000000-0005-0000-0000-000047060000}"/>
    <cellStyle name="20% - Accent4 4 2 6" xfId="1612" xr:uid="{00000000-0005-0000-0000-000048060000}"/>
    <cellStyle name="20% - Accent4 4 2 7" xfId="1613" xr:uid="{00000000-0005-0000-0000-000049060000}"/>
    <cellStyle name="20% - Accent4 4 2 8" xfId="1614" xr:uid="{00000000-0005-0000-0000-00004A060000}"/>
    <cellStyle name="20% - Accent4 4 2 9" xfId="1615" xr:uid="{00000000-0005-0000-0000-00004B060000}"/>
    <cellStyle name="20% - Accent4 4 3" xfId="1616" xr:uid="{00000000-0005-0000-0000-00004C060000}"/>
    <cellStyle name="20% - Accent4 4 3 2" xfId="1617" xr:uid="{00000000-0005-0000-0000-00004D060000}"/>
    <cellStyle name="20% - Accent4 4 3 2 2" xfId="1618" xr:uid="{00000000-0005-0000-0000-00004E060000}"/>
    <cellStyle name="20% - Accent4 4 3 2 3" xfId="1619" xr:uid="{00000000-0005-0000-0000-00004F060000}"/>
    <cellStyle name="20% - Accent4 4 3 3" xfId="1620" xr:uid="{00000000-0005-0000-0000-000050060000}"/>
    <cellStyle name="20% - Accent4 4 3 4" xfId="1621" xr:uid="{00000000-0005-0000-0000-000051060000}"/>
    <cellStyle name="20% - Accent4 4 3 5" xfId="1622" xr:uid="{00000000-0005-0000-0000-000052060000}"/>
    <cellStyle name="20% - Accent4 4 3 6" xfId="1623" xr:uid="{00000000-0005-0000-0000-000053060000}"/>
    <cellStyle name="20% - Accent4 4 4" xfId="1624" xr:uid="{00000000-0005-0000-0000-000054060000}"/>
    <cellStyle name="20% - Accent4 4 4 2" xfId="1625" xr:uid="{00000000-0005-0000-0000-000055060000}"/>
    <cellStyle name="20% - Accent4 4 4 2 2" xfId="1626" xr:uid="{00000000-0005-0000-0000-000056060000}"/>
    <cellStyle name="20% - Accent4 4 4 3" xfId="1627" xr:uid="{00000000-0005-0000-0000-000057060000}"/>
    <cellStyle name="20% - Accent4 4 4 4" xfId="1628" xr:uid="{00000000-0005-0000-0000-000058060000}"/>
    <cellStyle name="20% - Accent4 4 4 5" xfId="1629" xr:uid="{00000000-0005-0000-0000-000059060000}"/>
    <cellStyle name="20% - Accent4 4 5" xfId="1630" xr:uid="{00000000-0005-0000-0000-00005A060000}"/>
    <cellStyle name="20% - Accent4 4 5 2" xfId="1631" xr:uid="{00000000-0005-0000-0000-00005B060000}"/>
    <cellStyle name="20% - Accent4 4 5 2 2" xfId="1632" xr:uid="{00000000-0005-0000-0000-00005C060000}"/>
    <cellStyle name="20% - Accent4 4 5 3" xfId="1633" xr:uid="{00000000-0005-0000-0000-00005D060000}"/>
    <cellStyle name="20% - Accent4 4 5 4" xfId="1634" xr:uid="{00000000-0005-0000-0000-00005E060000}"/>
    <cellStyle name="20% - Accent4 4 5 5" xfId="1635" xr:uid="{00000000-0005-0000-0000-00005F060000}"/>
    <cellStyle name="20% - Accent4 4 6" xfId="1636" xr:uid="{00000000-0005-0000-0000-000060060000}"/>
    <cellStyle name="20% - Accent4 4 6 2" xfId="1637" xr:uid="{00000000-0005-0000-0000-000061060000}"/>
    <cellStyle name="20% - Accent4 4 7" xfId="1638" xr:uid="{00000000-0005-0000-0000-000062060000}"/>
    <cellStyle name="20% - Accent4 4 8" xfId="1639" xr:uid="{00000000-0005-0000-0000-000063060000}"/>
    <cellStyle name="20% - Accent4 4 9" xfId="1640" xr:uid="{00000000-0005-0000-0000-000064060000}"/>
    <cellStyle name="20% - Accent4 5" xfId="1641" xr:uid="{00000000-0005-0000-0000-000065060000}"/>
    <cellStyle name="20% - Accent4 5 10" xfId="1642" xr:uid="{00000000-0005-0000-0000-000066060000}"/>
    <cellStyle name="20% - Accent4 5 2" xfId="1643" xr:uid="{00000000-0005-0000-0000-000067060000}"/>
    <cellStyle name="20% - Accent4 5 2 2" xfId="1644" xr:uid="{00000000-0005-0000-0000-000068060000}"/>
    <cellStyle name="20% - Accent4 5 2 2 2" xfId="1645" xr:uid="{00000000-0005-0000-0000-000069060000}"/>
    <cellStyle name="20% - Accent4 5 2 2 2 2" xfId="1646" xr:uid="{00000000-0005-0000-0000-00006A060000}"/>
    <cellStyle name="20% - Accent4 5 2 2 2 3" xfId="1647" xr:uid="{00000000-0005-0000-0000-00006B060000}"/>
    <cellStyle name="20% - Accent4 5 2 2 3" xfId="1648" xr:uid="{00000000-0005-0000-0000-00006C060000}"/>
    <cellStyle name="20% - Accent4 5 2 2 4" xfId="1649" xr:uid="{00000000-0005-0000-0000-00006D060000}"/>
    <cellStyle name="20% - Accent4 5 2 2 5" xfId="1650" xr:uid="{00000000-0005-0000-0000-00006E060000}"/>
    <cellStyle name="20% - Accent4 5 2 2 6" xfId="1651" xr:uid="{00000000-0005-0000-0000-00006F060000}"/>
    <cellStyle name="20% - Accent4 5 2 3" xfId="1652" xr:uid="{00000000-0005-0000-0000-000070060000}"/>
    <cellStyle name="20% - Accent4 5 2 3 2" xfId="1653" xr:uid="{00000000-0005-0000-0000-000071060000}"/>
    <cellStyle name="20% - Accent4 5 2 3 2 2" xfId="1654" xr:uid="{00000000-0005-0000-0000-000072060000}"/>
    <cellStyle name="20% - Accent4 5 2 3 3" xfId="1655" xr:uid="{00000000-0005-0000-0000-000073060000}"/>
    <cellStyle name="20% - Accent4 5 2 3 4" xfId="1656" xr:uid="{00000000-0005-0000-0000-000074060000}"/>
    <cellStyle name="20% - Accent4 5 2 3 5" xfId="1657" xr:uid="{00000000-0005-0000-0000-000075060000}"/>
    <cellStyle name="20% - Accent4 5 2 4" xfId="1658" xr:uid="{00000000-0005-0000-0000-000076060000}"/>
    <cellStyle name="20% - Accent4 5 2 4 2" xfId="1659" xr:uid="{00000000-0005-0000-0000-000077060000}"/>
    <cellStyle name="20% - Accent4 5 2 4 3" xfId="1660" xr:uid="{00000000-0005-0000-0000-000078060000}"/>
    <cellStyle name="20% - Accent4 5 2 4 4" xfId="1661" xr:uid="{00000000-0005-0000-0000-000079060000}"/>
    <cellStyle name="20% - Accent4 5 2 5" xfId="1662" xr:uid="{00000000-0005-0000-0000-00007A060000}"/>
    <cellStyle name="20% - Accent4 5 2 5 2" xfId="1663" xr:uid="{00000000-0005-0000-0000-00007B060000}"/>
    <cellStyle name="20% - Accent4 5 2 6" xfId="1664" xr:uid="{00000000-0005-0000-0000-00007C060000}"/>
    <cellStyle name="20% - Accent4 5 2 7" xfId="1665" xr:uid="{00000000-0005-0000-0000-00007D060000}"/>
    <cellStyle name="20% - Accent4 5 2 8" xfId="1666" xr:uid="{00000000-0005-0000-0000-00007E060000}"/>
    <cellStyle name="20% - Accent4 5 2 9" xfId="1667" xr:uid="{00000000-0005-0000-0000-00007F060000}"/>
    <cellStyle name="20% - Accent4 5 3" xfId="1668" xr:uid="{00000000-0005-0000-0000-000080060000}"/>
    <cellStyle name="20% - Accent4 5 3 2" xfId="1669" xr:uid="{00000000-0005-0000-0000-000081060000}"/>
    <cellStyle name="20% - Accent4 5 3 2 2" xfId="1670" xr:uid="{00000000-0005-0000-0000-000082060000}"/>
    <cellStyle name="20% - Accent4 5 3 2 3" xfId="1671" xr:uid="{00000000-0005-0000-0000-000083060000}"/>
    <cellStyle name="20% - Accent4 5 3 3" xfId="1672" xr:uid="{00000000-0005-0000-0000-000084060000}"/>
    <cellStyle name="20% - Accent4 5 3 4" xfId="1673" xr:uid="{00000000-0005-0000-0000-000085060000}"/>
    <cellStyle name="20% - Accent4 5 3 5" xfId="1674" xr:uid="{00000000-0005-0000-0000-000086060000}"/>
    <cellStyle name="20% - Accent4 5 3 6" xfId="1675" xr:uid="{00000000-0005-0000-0000-000087060000}"/>
    <cellStyle name="20% - Accent4 5 4" xfId="1676" xr:uid="{00000000-0005-0000-0000-000088060000}"/>
    <cellStyle name="20% - Accent4 5 4 2" xfId="1677" xr:uid="{00000000-0005-0000-0000-000089060000}"/>
    <cellStyle name="20% - Accent4 5 4 2 2" xfId="1678" xr:uid="{00000000-0005-0000-0000-00008A060000}"/>
    <cellStyle name="20% - Accent4 5 4 3" xfId="1679" xr:uid="{00000000-0005-0000-0000-00008B060000}"/>
    <cellStyle name="20% - Accent4 5 4 4" xfId="1680" xr:uid="{00000000-0005-0000-0000-00008C060000}"/>
    <cellStyle name="20% - Accent4 5 4 5" xfId="1681" xr:uid="{00000000-0005-0000-0000-00008D060000}"/>
    <cellStyle name="20% - Accent4 5 5" xfId="1682" xr:uid="{00000000-0005-0000-0000-00008E060000}"/>
    <cellStyle name="20% - Accent4 5 5 2" xfId="1683" xr:uid="{00000000-0005-0000-0000-00008F060000}"/>
    <cellStyle name="20% - Accent4 5 5 3" xfId="1684" xr:uid="{00000000-0005-0000-0000-000090060000}"/>
    <cellStyle name="20% - Accent4 5 5 4" xfId="1685" xr:uid="{00000000-0005-0000-0000-000091060000}"/>
    <cellStyle name="20% - Accent4 5 6" xfId="1686" xr:uid="{00000000-0005-0000-0000-000092060000}"/>
    <cellStyle name="20% - Accent4 5 6 2" xfId="1687" xr:uid="{00000000-0005-0000-0000-000093060000}"/>
    <cellStyle name="20% - Accent4 5 7" xfId="1688" xr:uid="{00000000-0005-0000-0000-000094060000}"/>
    <cellStyle name="20% - Accent4 5 8" xfId="1689" xr:uid="{00000000-0005-0000-0000-000095060000}"/>
    <cellStyle name="20% - Accent4 5 9" xfId="1690" xr:uid="{00000000-0005-0000-0000-000096060000}"/>
    <cellStyle name="20% - Accent4 6" xfId="1691" xr:uid="{00000000-0005-0000-0000-000097060000}"/>
    <cellStyle name="20% - Accent4 6 10" xfId="1692" xr:uid="{00000000-0005-0000-0000-000098060000}"/>
    <cellStyle name="20% - Accent4 6 2" xfId="1693" xr:uid="{00000000-0005-0000-0000-000099060000}"/>
    <cellStyle name="20% - Accent4 6 2 2" xfId="1694" xr:uid="{00000000-0005-0000-0000-00009A060000}"/>
    <cellStyle name="20% - Accent4 6 2 2 2" xfId="1695" xr:uid="{00000000-0005-0000-0000-00009B060000}"/>
    <cellStyle name="20% - Accent4 6 2 2 2 2" xfId="1696" xr:uid="{00000000-0005-0000-0000-00009C060000}"/>
    <cellStyle name="20% - Accent4 6 2 2 2 3" xfId="1697" xr:uid="{00000000-0005-0000-0000-00009D060000}"/>
    <cellStyle name="20% - Accent4 6 2 2 3" xfId="1698" xr:uid="{00000000-0005-0000-0000-00009E060000}"/>
    <cellStyle name="20% - Accent4 6 2 2 4" xfId="1699" xr:uid="{00000000-0005-0000-0000-00009F060000}"/>
    <cellStyle name="20% - Accent4 6 2 2 5" xfId="1700" xr:uid="{00000000-0005-0000-0000-0000A0060000}"/>
    <cellStyle name="20% - Accent4 6 2 2 6" xfId="1701" xr:uid="{00000000-0005-0000-0000-0000A1060000}"/>
    <cellStyle name="20% - Accent4 6 2 3" xfId="1702" xr:uid="{00000000-0005-0000-0000-0000A2060000}"/>
    <cellStyle name="20% - Accent4 6 2 3 2" xfId="1703" xr:uid="{00000000-0005-0000-0000-0000A3060000}"/>
    <cellStyle name="20% - Accent4 6 2 3 2 2" xfId="1704" xr:uid="{00000000-0005-0000-0000-0000A4060000}"/>
    <cellStyle name="20% - Accent4 6 2 3 3" xfId="1705" xr:uid="{00000000-0005-0000-0000-0000A5060000}"/>
    <cellStyle name="20% - Accent4 6 2 3 4" xfId="1706" xr:uid="{00000000-0005-0000-0000-0000A6060000}"/>
    <cellStyle name="20% - Accent4 6 2 3 5" xfId="1707" xr:uid="{00000000-0005-0000-0000-0000A7060000}"/>
    <cellStyle name="20% - Accent4 6 2 4" xfId="1708" xr:uid="{00000000-0005-0000-0000-0000A8060000}"/>
    <cellStyle name="20% - Accent4 6 2 4 2" xfId="1709" xr:uid="{00000000-0005-0000-0000-0000A9060000}"/>
    <cellStyle name="20% - Accent4 6 2 4 3" xfId="1710" xr:uid="{00000000-0005-0000-0000-0000AA060000}"/>
    <cellStyle name="20% - Accent4 6 2 4 4" xfId="1711" xr:uid="{00000000-0005-0000-0000-0000AB060000}"/>
    <cellStyle name="20% - Accent4 6 2 5" xfId="1712" xr:uid="{00000000-0005-0000-0000-0000AC060000}"/>
    <cellStyle name="20% - Accent4 6 2 5 2" xfId="1713" xr:uid="{00000000-0005-0000-0000-0000AD060000}"/>
    <cellStyle name="20% - Accent4 6 2 6" xfId="1714" xr:uid="{00000000-0005-0000-0000-0000AE060000}"/>
    <cellStyle name="20% - Accent4 6 2 7" xfId="1715" xr:uid="{00000000-0005-0000-0000-0000AF060000}"/>
    <cellStyle name="20% - Accent4 6 2 8" xfId="1716" xr:uid="{00000000-0005-0000-0000-0000B0060000}"/>
    <cellStyle name="20% - Accent4 6 2 9" xfId="1717" xr:uid="{00000000-0005-0000-0000-0000B1060000}"/>
    <cellStyle name="20% - Accent4 6 3" xfId="1718" xr:uid="{00000000-0005-0000-0000-0000B2060000}"/>
    <cellStyle name="20% - Accent4 6 3 2" xfId="1719" xr:uid="{00000000-0005-0000-0000-0000B3060000}"/>
    <cellStyle name="20% - Accent4 6 3 2 2" xfId="1720" xr:uid="{00000000-0005-0000-0000-0000B4060000}"/>
    <cellStyle name="20% - Accent4 6 3 2 3" xfId="1721" xr:uid="{00000000-0005-0000-0000-0000B5060000}"/>
    <cellStyle name="20% - Accent4 6 3 3" xfId="1722" xr:uid="{00000000-0005-0000-0000-0000B6060000}"/>
    <cellStyle name="20% - Accent4 6 3 4" xfId="1723" xr:uid="{00000000-0005-0000-0000-0000B7060000}"/>
    <cellStyle name="20% - Accent4 6 3 5" xfId="1724" xr:uid="{00000000-0005-0000-0000-0000B8060000}"/>
    <cellStyle name="20% - Accent4 6 3 6" xfId="1725" xr:uid="{00000000-0005-0000-0000-0000B9060000}"/>
    <cellStyle name="20% - Accent4 6 4" xfId="1726" xr:uid="{00000000-0005-0000-0000-0000BA060000}"/>
    <cellStyle name="20% - Accent4 6 4 2" xfId="1727" xr:uid="{00000000-0005-0000-0000-0000BB060000}"/>
    <cellStyle name="20% - Accent4 6 4 2 2" xfId="1728" xr:uid="{00000000-0005-0000-0000-0000BC060000}"/>
    <cellStyle name="20% - Accent4 6 4 3" xfId="1729" xr:uid="{00000000-0005-0000-0000-0000BD060000}"/>
    <cellStyle name="20% - Accent4 6 4 4" xfId="1730" xr:uid="{00000000-0005-0000-0000-0000BE060000}"/>
    <cellStyle name="20% - Accent4 6 4 5" xfId="1731" xr:uid="{00000000-0005-0000-0000-0000BF060000}"/>
    <cellStyle name="20% - Accent4 6 5" xfId="1732" xr:uid="{00000000-0005-0000-0000-0000C0060000}"/>
    <cellStyle name="20% - Accent4 6 5 2" xfId="1733" xr:uid="{00000000-0005-0000-0000-0000C1060000}"/>
    <cellStyle name="20% - Accent4 6 5 3" xfId="1734" xr:uid="{00000000-0005-0000-0000-0000C2060000}"/>
    <cellStyle name="20% - Accent4 6 5 4" xfId="1735" xr:uid="{00000000-0005-0000-0000-0000C3060000}"/>
    <cellStyle name="20% - Accent4 6 6" xfId="1736" xr:uid="{00000000-0005-0000-0000-0000C4060000}"/>
    <cellStyle name="20% - Accent4 6 6 2" xfId="1737" xr:uid="{00000000-0005-0000-0000-0000C5060000}"/>
    <cellStyle name="20% - Accent4 6 7" xfId="1738" xr:uid="{00000000-0005-0000-0000-0000C6060000}"/>
    <cellStyle name="20% - Accent4 6 8" xfId="1739" xr:uid="{00000000-0005-0000-0000-0000C7060000}"/>
    <cellStyle name="20% - Accent4 6 9" xfId="1740" xr:uid="{00000000-0005-0000-0000-0000C8060000}"/>
    <cellStyle name="20% - Accent4 7" xfId="1741" xr:uid="{00000000-0005-0000-0000-0000C9060000}"/>
    <cellStyle name="20% - Accent4 7 2" xfId="1742" xr:uid="{00000000-0005-0000-0000-0000CA060000}"/>
    <cellStyle name="20% - Accent4 7 2 2" xfId="1743" xr:uid="{00000000-0005-0000-0000-0000CB060000}"/>
    <cellStyle name="20% - Accent4 7 2 2 2" xfId="1744" xr:uid="{00000000-0005-0000-0000-0000CC060000}"/>
    <cellStyle name="20% - Accent4 7 2 2 3" xfId="1745" xr:uid="{00000000-0005-0000-0000-0000CD060000}"/>
    <cellStyle name="20% - Accent4 7 2 3" xfId="1746" xr:uid="{00000000-0005-0000-0000-0000CE060000}"/>
    <cellStyle name="20% - Accent4 7 2 4" xfId="1747" xr:uid="{00000000-0005-0000-0000-0000CF060000}"/>
    <cellStyle name="20% - Accent4 7 2 5" xfId="1748" xr:uid="{00000000-0005-0000-0000-0000D0060000}"/>
    <cellStyle name="20% - Accent4 7 2 6" xfId="1749" xr:uid="{00000000-0005-0000-0000-0000D1060000}"/>
    <cellStyle name="20% - Accent4 7 3" xfId="1750" xr:uid="{00000000-0005-0000-0000-0000D2060000}"/>
    <cellStyle name="20% - Accent4 7 3 2" xfId="1751" xr:uid="{00000000-0005-0000-0000-0000D3060000}"/>
    <cellStyle name="20% - Accent4 7 3 2 2" xfId="1752" xr:uid="{00000000-0005-0000-0000-0000D4060000}"/>
    <cellStyle name="20% - Accent4 7 3 3" xfId="1753" xr:uid="{00000000-0005-0000-0000-0000D5060000}"/>
    <cellStyle name="20% - Accent4 7 3 4" xfId="1754" xr:uid="{00000000-0005-0000-0000-0000D6060000}"/>
    <cellStyle name="20% - Accent4 7 3 5" xfId="1755" xr:uid="{00000000-0005-0000-0000-0000D7060000}"/>
    <cellStyle name="20% - Accent4 7 4" xfId="1756" xr:uid="{00000000-0005-0000-0000-0000D8060000}"/>
    <cellStyle name="20% - Accent4 7 4 2" xfId="1757" xr:uid="{00000000-0005-0000-0000-0000D9060000}"/>
    <cellStyle name="20% - Accent4 7 4 3" xfId="1758" xr:uid="{00000000-0005-0000-0000-0000DA060000}"/>
    <cellStyle name="20% - Accent4 7 4 4" xfId="1759" xr:uid="{00000000-0005-0000-0000-0000DB060000}"/>
    <cellStyle name="20% - Accent4 7 5" xfId="1760" xr:uid="{00000000-0005-0000-0000-0000DC060000}"/>
    <cellStyle name="20% - Accent4 7 5 2" xfId="1761" xr:uid="{00000000-0005-0000-0000-0000DD060000}"/>
    <cellStyle name="20% - Accent4 7 6" xfId="1762" xr:uid="{00000000-0005-0000-0000-0000DE060000}"/>
    <cellStyle name="20% - Accent4 7 7" xfId="1763" xr:uid="{00000000-0005-0000-0000-0000DF060000}"/>
    <cellStyle name="20% - Accent4 7 8" xfId="1764" xr:uid="{00000000-0005-0000-0000-0000E0060000}"/>
    <cellStyle name="20% - Accent4 7 9" xfId="1765" xr:uid="{00000000-0005-0000-0000-0000E1060000}"/>
    <cellStyle name="20% - Accent4 8" xfId="1766" xr:uid="{00000000-0005-0000-0000-0000E2060000}"/>
    <cellStyle name="20% - Accent4 8 2" xfId="1767" xr:uid="{00000000-0005-0000-0000-0000E3060000}"/>
    <cellStyle name="20% - Accent4 8 2 2" xfId="1768" xr:uid="{00000000-0005-0000-0000-0000E4060000}"/>
    <cellStyle name="20% - Accent4 8 2 2 2" xfId="1769" xr:uid="{00000000-0005-0000-0000-0000E5060000}"/>
    <cellStyle name="20% - Accent4 8 2 2 3" xfId="1770" xr:uid="{00000000-0005-0000-0000-0000E6060000}"/>
    <cellStyle name="20% - Accent4 8 2 3" xfId="1771" xr:uid="{00000000-0005-0000-0000-0000E7060000}"/>
    <cellStyle name="20% - Accent4 8 2 4" xfId="1772" xr:uid="{00000000-0005-0000-0000-0000E8060000}"/>
    <cellStyle name="20% - Accent4 8 2 5" xfId="1773" xr:uid="{00000000-0005-0000-0000-0000E9060000}"/>
    <cellStyle name="20% - Accent4 8 2 6" xfId="1774" xr:uid="{00000000-0005-0000-0000-0000EA060000}"/>
    <cellStyle name="20% - Accent4 8 3" xfId="1775" xr:uid="{00000000-0005-0000-0000-0000EB060000}"/>
    <cellStyle name="20% - Accent4 8 3 2" xfId="1776" xr:uid="{00000000-0005-0000-0000-0000EC060000}"/>
    <cellStyle name="20% - Accent4 8 3 2 2" xfId="1777" xr:uid="{00000000-0005-0000-0000-0000ED060000}"/>
    <cellStyle name="20% - Accent4 8 3 3" xfId="1778" xr:uid="{00000000-0005-0000-0000-0000EE060000}"/>
    <cellStyle name="20% - Accent4 8 3 4" xfId="1779" xr:uid="{00000000-0005-0000-0000-0000EF060000}"/>
    <cellStyle name="20% - Accent4 8 3 5" xfId="1780" xr:uid="{00000000-0005-0000-0000-0000F0060000}"/>
    <cellStyle name="20% - Accent4 8 4" xfId="1781" xr:uid="{00000000-0005-0000-0000-0000F1060000}"/>
    <cellStyle name="20% - Accent4 8 4 2" xfId="1782" xr:uid="{00000000-0005-0000-0000-0000F2060000}"/>
    <cellStyle name="20% - Accent4 8 4 3" xfId="1783" xr:uid="{00000000-0005-0000-0000-0000F3060000}"/>
    <cellStyle name="20% - Accent4 8 4 4" xfId="1784" xr:uid="{00000000-0005-0000-0000-0000F4060000}"/>
    <cellStyle name="20% - Accent4 8 5" xfId="1785" xr:uid="{00000000-0005-0000-0000-0000F5060000}"/>
    <cellStyle name="20% - Accent4 8 5 2" xfId="1786" xr:uid="{00000000-0005-0000-0000-0000F6060000}"/>
    <cellStyle name="20% - Accent4 8 6" xfId="1787" xr:uid="{00000000-0005-0000-0000-0000F7060000}"/>
    <cellStyle name="20% - Accent4 8 7" xfId="1788" xr:uid="{00000000-0005-0000-0000-0000F8060000}"/>
    <cellStyle name="20% - Accent4 8 8" xfId="1789" xr:uid="{00000000-0005-0000-0000-0000F9060000}"/>
    <cellStyle name="20% - Accent4 8 9" xfId="1790" xr:uid="{00000000-0005-0000-0000-0000FA060000}"/>
    <cellStyle name="20% - Accent4 9" xfId="1791" xr:uid="{00000000-0005-0000-0000-0000FB060000}"/>
    <cellStyle name="20% - Accent4 9 2" xfId="1792" xr:uid="{00000000-0005-0000-0000-0000FC060000}"/>
    <cellStyle name="20% - Accent4 9 2 2" xfId="1793" xr:uid="{00000000-0005-0000-0000-0000FD060000}"/>
    <cellStyle name="20% - Accent4 9 2 2 2" xfId="1794" xr:uid="{00000000-0005-0000-0000-0000FE060000}"/>
    <cellStyle name="20% - Accent4 9 2 3" xfId="1795" xr:uid="{00000000-0005-0000-0000-0000FF060000}"/>
    <cellStyle name="20% - Accent4 9 2 4" xfId="1796" xr:uid="{00000000-0005-0000-0000-000000070000}"/>
    <cellStyle name="20% - Accent4 9 2 5" xfId="1797" xr:uid="{00000000-0005-0000-0000-000001070000}"/>
    <cellStyle name="20% - Accent4 9 3" xfId="1798" xr:uid="{00000000-0005-0000-0000-000002070000}"/>
    <cellStyle name="20% - Accent4 9 3 2" xfId="1799" xr:uid="{00000000-0005-0000-0000-000003070000}"/>
    <cellStyle name="20% - Accent4 9 3 3" xfId="1800" xr:uid="{00000000-0005-0000-0000-000004070000}"/>
    <cellStyle name="20% - Accent4 9 3 4" xfId="1801" xr:uid="{00000000-0005-0000-0000-000005070000}"/>
    <cellStyle name="20% - Accent4 9 4" xfId="1802" xr:uid="{00000000-0005-0000-0000-000006070000}"/>
    <cellStyle name="20% - Accent4 9 4 2" xfId="1803" xr:uid="{00000000-0005-0000-0000-000007070000}"/>
    <cellStyle name="20% - Accent4 9 5" xfId="1804" xr:uid="{00000000-0005-0000-0000-000008070000}"/>
    <cellStyle name="20% - Accent4 9 6" xfId="1805" xr:uid="{00000000-0005-0000-0000-000009070000}"/>
    <cellStyle name="20% - Accent4 9 7" xfId="1806" xr:uid="{00000000-0005-0000-0000-00000A070000}"/>
    <cellStyle name="20% - Accent4 9 8" xfId="1807" xr:uid="{00000000-0005-0000-0000-00000B070000}"/>
    <cellStyle name="20% - Accent5 10" xfId="1808" xr:uid="{00000000-0005-0000-0000-00000C070000}"/>
    <cellStyle name="20% - Accent5 10 2" xfId="1809" xr:uid="{00000000-0005-0000-0000-00000D070000}"/>
    <cellStyle name="20% - Accent5 10 2 2" xfId="1810" xr:uid="{00000000-0005-0000-0000-00000E070000}"/>
    <cellStyle name="20% - Accent5 10 2 2 2" xfId="1811" xr:uid="{00000000-0005-0000-0000-00000F070000}"/>
    <cellStyle name="20% - Accent5 10 2 3" xfId="1812" xr:uid="{00000000-0005-0000-0000-000010070000}"/>
    <cellStyle name="20% - Accent5 10 2 4" xfId="1813" xr:uid="{00000000-0005-0000-0000-000011070000}"/>
    <cellStyle name="20% - Accent5 10 2 5" xfId="1814" xr:uid="{00000000-0005-0000-0000-000012070000}"/>
    <cellStyle name="20% - Accent5 10 3" xfId="1815" xr:uid="{00000000-0005-0000-0000-000013070000}"/>
    <cellStyle name="20% - Accent5 10 3 2" xfId="1816" xr:uid="{00000000-0005-0000-0000-000014070000}"/>
    <cellStyle name="20% - Accent5 10 3 3" xfId="1817" xr:uid="{00000000-0005-0000-0000-000015070000}"/>
    <cellStyle name="20% - Accent5 10 3 4" xfId="1818" xr:uid="{00000000-0005-0000-0000-000016070000}"/>
    <cellStyle name="20% - Accent5 10 4" xfId="1819" xr:uid="{00000000-0005-0000-0000-000017070000}"/>
    <cellStyle name="20% - Accent5 10 4 2" xfId="1820" xr:uid="{00000000-0005-0000-0000-000018070000}"/>
    <cellStyle name="20% - Accent5 10 5" xfId="1821" xr:uid="{00000000-0005-0000-0000-000019070000}"/>
    <cellStyle name="20% - Accent5 10 6" xfId="1822" xr:uid="{00000000-0005-0000-0000-00001A070000}"/>
    <cellStyle name="20% - Accent5 10 7" xfId="1823" xr:uid="{00000000-0005-0000-0000-00001B070000}"/>
    <cellStyle name="20% - Accent5 10 8" xfId="1824" xr:uid="{00000000-0005-0000-0000-00001C070000}"/>
    <cellStyle name="20% - Accent5 11" xfId="1825" xr:uid="{00000000-0005-0000-0000-00001D070000}"/>
    <cellStyle name="20% - Accent5 11 2" xfId="1826" xr:uid="{00000000-0005-0000-0000-00001E070000}"/>
    <cellStyle name="20% - Accent5 11 2 2" xfId="1827" xr:uid="{00000000-0005-0000-0000-00001F070000}"/>
    <cellStyle name="20% - Accent5 11 2 2 2" xfId="1828" xr:uid="{00000000-0005-0000-0000-000020070000}"/>
    <cellStyle name="20% - Accent5 11 2 3" xfId="1829" xr:uid="{00000000-0005-0000-0000-000021070000}"/>
    <cellStyle name="20% - Accent5 11 2 4" xfId="1830" xr:uid="{00000000-0005-0000-0000-000022070000}"/>
    <cellStyle name="20% - Accent5 11 2 5" xfId="1831" xr:uid="{00000000-0005-0000-0000-000023070000}"/>
    <cellStyle name="20% - Accent5 11 3" xfId="1832" xr:uid="{00000000-0005-0000-0000-000024070000}"/>
    <cellStyle name="20% - Accent5 11 3 2" xfId="1833" xr:uid="{00000000-0005-0000-0000-000025070000}"/>
    <cellStyle name="20% - Accent5 11 3 3" xfId="1834" xr:uid="{00000000-0005-0000-0000-000026070000}"/>
    <cellStyle name="20% - Accent5 11 3 4" xfId="1835" xr:uid="{00000000-0005-0000-0000-000027070000}"/>
    <cellStyle name="20% - Accent5 11 4" xfId="1836" xr:uid="{00000000-0005-0000-0000-000028070000}"/>
    <cellStyle name="20% - Accent5 11 4 2" xfId="1837" xr:uid="{00000000-0005-0000-0000-000029070000}"/>
    <cellStyle name="20% - Accent5 11 5" xfId="1838" xr:uid="{00000000-0005-0000-0000-00002A070000}"/>
    <cellStyle name="20% - Accent5 11 6" xfId="1839" xr:uid="{00000000-0005-0000-0000-00002B070000}"/>
    <cellStyle name="20% - Accent5 11 7" xfId="1840" xr:uid="{00000000-0005-0000-0000-00002C070000}"/>
    <cellStyle name="20% - Accent5 11 8" xfId="1841" xr:uid="{00000000-0005-0000-0000-00002D070000}"/>
    <cellStyle name="20% - Accent5 12" xfId="1842" xr:uid="{00000000-0005-0000-0000-00002E070000}"/>
    <cellStyle name="20% - Accent5 12 2" xfId="1843" xr:uid="{00000000-0005-0000-0000-00002F070000}"/>
    <cellStyle name="20% - Accent5 12 2 2" xfId="1844" xr:uid="{00000000-0005-0000-0000-000030070000}"/>
    <cellStyle name="20% - Accent5 12 2 2 2" xfId="1845" xr:uid="{00000000-0005-0000-0000-000031070000}"/>
    <cellStyle name="20% - Accent5 12 2 3" xfId="1846" xr:uid="{00000000-0005-0000-0000-000032070000}"/>
    <cellStyle name="20% - Accent5 12 2 4" xfId="1847" xr:uid="{00000000-0005-0000-0000-000033070000}"/>
    <cellStyle name="20% - Accent5 12 2 5" xfId="1848" xr:uid="{00000000-0005-0000-0000-000034070000}"/>
    <cellStyle name="20% - Accent5 12 3" xfId="1849" xr:uid="{00000000-0005-0000-0000-000035070000}"/>
    <cellStyle name="20% - Accent5 12 3 2" xfId="1850" xr:uid="{00000000-0005-0000-0000-000036070000}"/>
    <cellStyle name="20% - Accent5 12 3 3" xfId="1851" xr:uid="{00000000-0005-0000-0000-000037070000}"/>
    <cellStyle name="20% - Accent5 12 3 4" xfId="1852" xr:uid="{00000000-0005-0000-0000-000038070000}"/>
    <cellStyle name="20% - Accent5 12 4" xfId="1853" xr:uid="{00000000-0005-0000-0000-000039070000}"/>
    <cellStyle name="20% - Accent5 12 4 2" xfId="1854" xr:uid="{00000000-0005-0000-0000-00003A070000}"/>
    <cellStyle name="20% - Accent5 12 5" xfId="1855" xr:uid="{00000000-0005-0000-0000-00003B070000}"/>
    <cellStyle name="20% - Accent5 12 6" xfId="1856" xr:uid="{00000000-0005-0000-0000-00003C070000}"/>
    <cellStyle name="20% - Accent5 12 7" xfId="1857" xr:uid="{00000000-0005-0000-0000-00003D070000}"/>
    <cellStyle name="20% - Accent5 12 8" xfId="1858" xr:uid="{00000000-0005-0000-0000-00003E070000}"/>
    <cellStyle name="20% - Accent5 13" xfId="1859" xr:uid="{00000000-0005-0000-0000-00003F070000}"/>
    <cellStyle name="20% - Accent5 13 2" xfId="1860" xr:uid="{00000000-0005-0000-0000-000040070000}"/>
    <cellStyle name="20% - Accent5 13 2 2" xfId="1861" xr:uid="{00000000-0005-0000-0000-000041070000}"/>
    <cellStyle name="20% - Accent5 13 2 3" xfId="1862" xr:uid="{00000000-0005-0000-0000-000042070000}"/>
    <cellStyle name="20% - Accent5 13 2 4" xfId="1863" xr:uid="{00000000-0005-0000-0000-000043070000}"/>
    <cellStyle name="20% - Accent5 13 3" xfId="1864" xr:uid="{00000000-0005-0000-0000-000044070000}"/>
    <cellStyle name="20% - Accent5 13 3 2" xfId="1865" xr:uid="{00000000-0005-0000-0000-000045070000}"/>
    <cellStyle name="20% - Accent5 13 4" xfId="1866" xr:uid="{00000000-0005-0000-0000-000046070000}"/>
    <cellStyle name="20% - Accent5 13 5" xfId="1867" xr:uid="{00000000-0005-0000-0000-000047070000}"/>
    <cellStyle name="20% - Accent5 13 6" xfId="1868" xr:uid="{00000000-0005-0000-0000-000048070000}"/>
    <cellStyle name="20% - Accent5 14" xfId="1869" xr:uid="{00000000-0005-0000-0000-000049070000}"/>
    <cellStyle name="20% - Accent5 14 2" xfId="1870" xr:uid="{00000000-0005-0000-0000-00004A070000}"/>
    <cellStyle name="20% - Accent5 14 2 2" xfId="1871" xr:uid="{00000000-0005-0000-0000-00004B070000}"/>
    <cellStyle name="20% - Accent5 14 3" xfId="1872" xr:uid="{00000000-0005-0000-0000-00004C070000}"/>
    <cellStyle name="20% - Accent5 14 4" xfId="1873" xr:uid="{00000000-0005-0000-0000-00004D070000}"/>
    <cellStyle name="20% - Accent5 14 5" xfId="1874" xr:uid="{00000000-0005-0000-0000-00004E070000}"/>
    <cellStyle name="20% - Accent5 15" xfId="1875" xr:uid="{00000000-0005-0000-0000-00004F070000}"/>
    <cellStyle name="20% - Accent5 15 2" xfId="1876" xr:uid="{00000000-0005-0000-0000-000050070000}"/>
    <cellStyle name="20% - Accent5 15 2 2" xfId="1877" xr:uid="{00000000-0005-0000-0000-000051070000}"/>
    <cellStyle name="20% - Accent5 15 3" xfId="1878" xr:uid="{00000000-0005-0000-0000-000052070000}"/>
    <cellStyle name="20% - Accent5 15 4" xfId="1879" xr:uid="{00000000-0005-0000-0000-000053070000}"/>
    <cellStyle name="20% - Accent5 15 5" xfId="1880" xr:uid="{00000000-0005-0000-0000-000054070000}"/>
    <cellStyle name="20% - Accent5 16" xfId="1881" xr:uid="{00000000-0005-0000-0000-000055070000}"/>
    <cellStyle name="20% - Accent5 16 2" xfId="1882" xr:uid="{00000000-0005-0000-0000-000056070000}"/>
    <cellStyle name="20% - Accent5 17" xfId="1883" xr:uid="{00000000-0005-0000-0000-000057070000}"/>
    <cellStyle name="20% - Accent5 18" xfId="1884" xr:uid="{00000000-0005-0000-0000-000058070000}"/>
    <cellStyle name="20% - Accent5 19" xfId="1885" xr:uid="{00000000-0005-0000-0000-000059070000}"/>
    <cellStyle name="20% - Accent5 2" xfId="1886" xr:uid="{00000000-0005-0000-0000-00005A070000}"/>
    <cellStyle name="20% - Accent5 2 10" xfId="1887" xr:uid="{00000000-0005-0000-0000-00005B070000}"/>
    <cellStyle name="20% - Accent5 2 11" xfId="1888" xr:uid="{00000000-0005-0000-0000-00005C070000}"/>
    <cellStyle name="20% - Accent5 2 2" xfId="1889" xr:uid="{00000000-0005-0000-0000-00005D070000}"/>
    <cellStyle name="20% - Accent5 2 2 10" xfId="1890" xr:uid="{00000000-0005-0000-0000-00005E070000}"/>
    <cellStyle name="20% - Accent5 2 2 2" xfId="1891" xr:uid="{00000000-0005-0000-0000-00005F070000}"/>
    <cellStyle name="20% - Accent5 2 2 2 2" xfId="1892" xr:uid="{00000000-0005-0000-0000-000060070000}"/>
    <cellStyle name="20% - Accent5 2 2 2 2 2" xfId="1893" xr:uid="{00000000-0005-0000-0000-000061070000}"/>
    <cellStyle name="20% - Accent5 2 2 2 2 2 2" xfId="1894" xr:uid="{00000000-0005-0000-0000-000062070000}"/>
    <cellStyle name="20% - Accent5 2 2 2 2 2 3" xfId="1895" xr:uid="{00000000-0005-0000-0000-000063070000}"/>
    <cellStyle name="20% - Accent5 2 2 2 2 3" xfId="1896" xr:uid="{00000000-0005-0000-0000-000064070000}"/>
    <cellStyle name="20% - Accent5 2 2 2 2 4" xfId="1897" xr:uid="{00000000-0005-0000-0000-000065070000}"/>
    <cellStyle name="20% - Accent5 2 2 2 2 5" xfId="1898" xr:uid="{00000000-0005-0000-0000-000066070000}"/>
    <cellStyle name="20% - Accent5 2 2 2 2 6" xfId="1899" xr:uid="{00000000-0005-0000-0000-000067070000}"/>
    <cellStyle name="20% - Accent5 2 2 2 3" xfId="1900" xr:uid="{00000000-0005-0000-0000-000068070000}"/>
    <cellStyle name="20% - Accent5 2 2 2 3 2" xfId="1901" xr:uid="{00000000-0005-0000-0000-000069070000}"/>
    <cellStyle name="20% - Accent5 2 2 2 3 2 2" xfId="1902" xr:uid="{00000000-0005-0000-0000-00006A070000}"/>
    <cellStyle name="20% - Accent5 2 2 2 3 3" xfId="1903" xr:uid="{00000000-0005-0000-0000-00006B070000}"/>
    <cellStyle name="20% - Accent5 2 2 2 3 4" xfId="1904" xr:uid="{00000000-0005-0000-0000-00006C070000}"/>
    <cellStyle name="20% - Accent5 2 2 2 3 5" xfId="1905" xr:uid="{00000000-0005-0000-0000-00006D070000}"/>
    <cellStyle name="20% - Accent5 2 2 2 4" xfId="1906" xr:uid="{00000000-0005-0000-0000-00006E070000}"/>
    <cellStyle name="20% - Accent5 2 2 2 4 2" xfId="1907" xr:uid="{00000000-0005-0000-0000-00006F070000}"/>
    <cellStyle name="20% - Accent5 2 2 2 4 3" xfId="1908" xr:uid="{00000000-0005-0000-0000-000070070000}"/>
    <cellStyle name="20% - Accent5 2 2 2 4 4" xfId="1909" xr:uid="{00000000-0005-0000-0000-000071070000}"/>
    <cellStyle name="20% - Accent5 2 2 2 5" xfId="1910" xr:uid="{00000000-0005-0000-0000-000072070000}"/>
    <cellStyle name="20% - Accent5 2 2 2 5 2" xfId="1911" xr:uid="{00000000-0005-0000-0000-000073070000}"/>
    <cellStyle name="20% - Accent5 2 2 2 6" xfId="1912" xr:uid="{00000000-0005-0000-0000-000074070000}"/>
    <cellStyle name="20% - Accent5 2 2 2 7" xfId="1913" xr:uid="{00000000-0005-0000-0000-000075070000}"/>
    <cellStyle name="20% - Accent5 2 2 2 8" xfId="1914" xr:uid="{00000000-0005-0000-0000-000076070000}"/>
    <cellStyle name="20% - Accent5 2 2 2 9" xfId="1915" xr:uid="{00000000-0005-0000-0000-000077070000}"/>
    <cellStyle name="20% - Accent5 2 2 3" xfId="1916" xr:uid="{00000000-0005-0000-0000-000078070000}"/>
    <cellStyle name="20% - Accent5 2 2 3 2" xfId="1917" xr:uid="{00000000-0005-0000-0000-000079070000}"/>
    <cellStyle name="20% - Accent5 2 2 3 2 2" xfId="1918" xr:uid="{00000000-0005-0000-0000-00007A070000}"/>
    <cellStyle name="20% - Accent5 2 2 3 2 3" xfId="1919" xr:uid="{00000000-0005-0000-0000-00007B070000}"/>
    <cellStyle name="20% - Accent5 2 2 3 3" xfId="1920" xr:uid="{00000000-0005-0000-0000-00007C070000}"/>
    <cellStyle name="20% - Accent5 2 2 3 4" xfId="1921" xr:uid="{00000000-0005-0000-0000-00007D070000}"/>
    <cellStyle name="20% - Accent5 2 2 3 5" xfId="1922" xr:uid="{00000000-0005-0000-0000-00007E070000}"/>
    <cellStyle name="20% - Accent5 2 2 3 6" xfId="1923" xr:uid="{00000000-0005-0000-0000-00007F070000}"/>
    <cellStyle name="20% - Accent5 2 2 4" xfId="1924" xr:uid="{00000000-0005-0000-0000-000080070000}"/>
    <cellStyle name="20% - Accent5 2 2 4 2" xfId="1925" xr:uid="{00000000-0005-0000-0000-000081070000}"/>
    <cellStyle name="20% - Accent5 2 2 4 2 2" xfId="1926" xr:uid="{00000000-0005-0000-0000-000082070000}"/>
    <cellStyle name="20% - Accent5 2 2 4 3" xfId="1927" xr:uid="{00000000-0005-0000-0000-000083070000}"/>
    <cellStyle name="20% - Accent5 2 2 4 4" xfId="1928" xr:uid="{00000000-0005-0000-0000-000084070000}"/>
    <cellStyle name="20% - Accent5 2 2 4 5" xfId="1929" xr:uid="{00000000-0005-0000-0000-000085070000}"/>
    <cellStyle name="20% - Accent5 2 2 5" xfId="1930" xr:uid="{00000000-0005-0000-0000-000086070000}"/>
    <cellStyle name="20% - Accent5 2 2 5 2" xfId="1931" xr:uid="{00000000-0005-0000-0000-000087070000}"/>
    <cellStyle name="20% - Accent5 2 2 5 3" xfId="1932" xr:uid="{00000000-0005-0000-0000-000088070000}"/>
    <cellStyle name="20% - Accent5 2 2 5 4" xfId="1933" xr:uid="{00000000-0005-0000-0000-000089070000}"/>
    <cellStyle name="20% - Accent5 2 2 6" xfId="1934" xr:uid="{00000000-0005-0000-0000-00008A070000}"/>
    <cellStyle name="20% - Accent5 2 2 6 2" xfId="1935" xr:uid="{00000000-0005-0000-0000-00008B070000}"/>
    <cellStyle name="20% - Accent5 2 2 7" xfId="1936" xr:uid="{00000000-0005-0000-0000-00008C070000}"/>
    <cellStyle name="20% - Accent5 2 2 8" xfId="1937" xr:uid="{00000000-0005-0000-0000-00008D070000}"/>
    <cellStyle name="20% - Accent5 2 2 9" xfId="1938" xr:uid="{00000000-0005-0000-0000-00008E070000}"/>
    <cellStyle name="20% - Accent5 2 3" xfId="1939" xr:uid="{00000000-0005-0000-0000-00008F070000}"/>
    <cellStyle name="20% - Accent5 2 3 2" xfId="1940" xr:uid="{00000000-0005-0000-0000-000090070000}"/>
    <cellStyle name="20% - Accent5 2 3 2 2" xfId="1941" xr:uid="{00000000-0005-0000-0000-000091070000}"/>
    <cellStyle name="20% - Accent5 2 3 2 2 2" xfId="1942" xr:uid="{00000000-0005-0000-0000-000092070000}"/>
    <cellStyle name="20% - Accent5 2 3 2 2 3" xfId="1943" xr:uid="{00000000-0005-0000-0000-000093070000}"/>
    <cellStyle name="20% - Accent5 2 3 2 3" xfId="1944" xr:uid="{00000000-0005-0000-0000-000094070000}"/>
    <cellStyle name="20% - Accent5 2 3 2 4" xfId="1945" xr:uid="{00000000-0005-0000-0000-000095070000}"/>
    <cellStyle name="20% - Accent5 2 3 2 5" xfId="1946" xr:uid="{00000000-0005-0000-0000-000096070000}"/>
    <cellStyle name="20% - Accent5 2 3 2 6" xfId="1947" xr:uid="{00000000-0005-0000-0000-000097070000}"/>
    <cellStyle name="20% - Accent5 2 3 3" xfId="1948" xr:uid="{00000000-0005-0000-0000-000098070000}"/>
    <cellStyle name="20% - Accent5 2 3 3 2" xfId="1949" xr:uid="{00000000-0005-0000-0000-000099070000}"/>
    <cellStyle name="20% - Accent5 2 3 3 2 2" xfId="1950" xr:uid="{00000000-0005-0000-0000-00009A070000}"/>
    <cellStyle name="20% - Accent5 2 3 3 3" xfId="1951" xr:uid="{00000000-0005-0000-0000-00009B070000}"/>
    <cellStyle name="20% - Accent5 2 3 3 4" xfId="1952" xr:uid="{00000000-0005-0000-0000-00009C070000}"/>
    <cellStyle name="20% - Accent5 2 3 3 5" xfId="1953" xr:uid="{00000000-0005-0000-0000-00009D070000}"/>
    <cellStyle name="20% - Accent5 2 3 4" xfId="1954" xr:uid="{00000000-0005-0000-0000-00009E070000}"/>
    <cellStyle name="20% - Accent5 2 3 4 2" xfId="1955" xr:uid="{00000000-0005-0000-0000-00009F070000}"/>
    <cellStyle name="20% - Accent5 2 3 4 3" xfId="1956" xr:uid="{00000000-0005-0000-0000-0000A0070000}"/>
    <cellStyle name="20% - Accent5 2 3 4 4" xfId="1957" xr:uid="{00000000-0005-0000-0000-0000A1070000}"/>
    <cellStyle name="20% - Accent5 2 3 5" xfId="1958" xr:uid="{00000000-0005-0000-0000-0000A2070000}"/>
    <cellStyle name="20% - Accent5 2 3 5 2" xfId="1959" xr:uid="{00000000-0005-0000-0000-0000A3070000}"/>
    <cellStyle name="20% - Accent5 2 3 6" xfId="1960" xr:uid="{00000000-0005-0000-0000-0000A4070000}"/>
    <cellStyle name="20% - Accent5 2 3 7" xfId="1961" xr:uid="{00000000-0005-0000-0000-0000A5070000}"/>
    <cellStyle name="20% - Accent5 2 3 8" xfId="1962" xr:uid="{00000000-0005-0000-0000-0000A6070000}"/>
    <cellStyle name="20% - Accent5 2 3 9" xfId="1963" xr:uid="{00000000-0005-0000-0000-0000A7070000}"/>
    <cellStyle name="20% - Accent5 2 4" xfId="1964" xr:uid="{00000000-0005-0000-0000-0000A8070000}"/>
    <cellStyle name="20% - Accent5 2 4 2" xfId="1965" xr:uid="{00000000-0005-0000-0000-0000A9070000}"/>
    <cellStyle name="20% - Accent5 2 4 2 2" xfId="1966" xr:uid="{00000000-0005-0000-0000-0000AA070000}"/>
    <cellStyle name="20% - Accent5 2 4 2 3" xfId="1967" xr:uid="{00000000-0005-0000-0000-0000AB070000}"/>
    <cellStyle name="20% - Accent5 2 4 3" xfId="1968" xr:uid="{00000000-0005-0000-0000-0000AC070000}"/>
    <cellStyle name="20% - Accent5 2 4 4" xfId="1969" xr:uid="{00000000-0005-0000-0000-0000AD070000}"/>
    <cellStyle name="20% - Accent5 2 4 5" xfId="1970" xr:uid="{00000000-0005-0000-0000-0000AE070000}"/>
    <cellStyle name="20% - Accent5 2 4 6" xfId="1971" xr:uid="{00000000-0005-0000-0000-0000AF070000}"/>
    <cellStyle name="20% - Accent5 2 5" xfId="1972" xr:uid="{00000000-0005-0000-0000-0000B0070000}"/>
    <cellStyle name="20% - Accent5 2 5 2" xfId="1973" xr:uid="{00000000-0005-0000-0000-0000B1070000}"/>
    <cellStyle name="20% - Accent5 2 5 2 2" xfId="1974" xr:uid="{00000000-0005-0000-0000-0000B2070000}"/>
    <cellStyle name="20% - Accent5 2 5 3" xfId="1975" xr:uid="{00000000-0005-0000-0000-0000B3070000}"/>
    <cellStyle name="20% - Accent5 2 5 4" xfId="1976" xr:uid="{00000000-0005-0000-0000-0000B4070000}"/>
    <cellStyle name="20% - Accent5 2 5 5" xfId="1977" xr:uid="{00000000-0005-0000-0000-0000B5070000}"/>
    <cellStyle name="20% - Accent5 2 6" xfId="1978" xr:uid="{00000000-0005-0000-0000-0000B6070000}"/>
    <cellStyle name="20% - Accent5 2 6 2" xfId="1979" xr:uid="{00000000-0005-0000-0000-0000B7070000}"/>
    <cellStyle name="20% - Accent5 2 6 2 2" xfId="1980" xr:uid="{00000000-0005-0000-0000-0000B8070000}"/>
    <cellStyle name="20% - Accent5 2 6 3" xfId="1981" xr:uid="{00000000-0005-0000-0000-0000B9070000}"/>
    <cellStyle name="20% - Accent5 2 6 4" xfId="1982" xr:uid="{00000000-0005-0000-0000-0000BA070000}"/>
    <cellStyle name="20% - Accent5 2 6 5" xfId="1983" xr:uid="{00000000-0005-0000-0000-0000BB070000}"/>
    <cellStyle name="20% - Accent5 2 7" xfId="1984" xr:uid="{00000000-0005-0000-0000-0000BC070000}"/>
    <cellStyle name="20% - Accent5 2 7 2" xfId="1985" xr:uid="{00000000-0005-0000-0000-0000BD070000}"/>
    <cellStyle name="20% - Accent5 2 8" xfId="1986" xr:uid="{00000000-0005-0000-0000-0000BE070000}"/>
    <cellStyle name="20% - Accent5 2 9" xfId="1987" xr:uid="{00000000-0005-0000-0000-0000BF070000}"/>
    <cellStyle name="20% - Accent5 3" xfId="1988" xr:uid="{00000000-0005-0000-0000-0000C0070000}"/>
    <cellStyle name="20% - Accent5 3 10" xfId="1989" xr:uid="{00000000-0005-0000-0000-0000C1070000}"/>
    <cellStyle name="20% - Accent5 3 2" xfId="1990" xr:uid="{00000000-0005-0000-0000-0000C2070000}"/>
    <cellStyle name="20% - Accent5 3 2 2" xfId="1991" xr:uid="{00000000-0005-0000-0000-0000C3070000}"/>
    <cellStyle name="20% - Accent5 3 2 2 2" xfId="1992" xr:uid="{00000000-0005-0000-0000-0000C4070000}"/>
    <cellStyle name="20% - Accent5 3 2 2 2 2" xfId="1993" xr:uid="{00000000-0005-0000-0000-0000C5070000}"/>
    <cellStyle name="20% - Accent5 3 2 2 2 3" xfId="1994" xr:uid="{00000000-0005-0000-0000-0000C6070000}"/>
    <cellStyle name="20% - Accent5 3 2 2 3" xfId="1995" xr:uid="{00000000-0005-0000-0000-0000C7070000}"/>
    <cellStyle name="20% - Accent5 3 2 2 4" xfId="1996" xr:uid="{00000000-0005-0000-0000-0000C8070000}"/>
    <cellStyle name="20% - Accent5 3 2 2 5" xfId="1997" xr:uid="{00000000-0005-0000-0000-0000C9070000}"/>
    <cellStyle name="20% - Accent5 3 2 2 6" xfId="1998" xr:uid="{00000000-0005-0000-0000-0000CA070000}"/>
    <cellStyle name="20% - Accent5 3 2 3" xfId="1999" xr:uid="{00000000-0005-0000-0000-0000CB070000}"/>
    <cellStyle name="20% - Accent5 3 2 3 2" xfId="2000" xr:uid="{00000000-0005-0000-0000-0000CC070000}"/>
    <cellStyle name="20% - Accent5 3 2 3 2 2" xfId="2001" xr:uid="{00000000-0005-0000-0000-0000CD070000}"/>
    <cellStyle name="20% - Accent5 3 2 3 3" xfId="2002" xr:uid="{00000000-0005-0000-0000-0000CE070000}"/>
    <cellStyle name="20% - Accent5 3 2 3 4" xfId="2003" xr:uid="{00000000-0005-0000-0000-0000CF070000}"/>
    <cellStyle name="20% - Accent5 3 2 3 5" xfId="2004" xr:uid="{00000000-0005-0000-0000-0000D0070000}"/>
    <cellStyle name="20% - Accent5 3 2 4" xfId="2005" xr:uid="{00000000-0005-0000-0000-0000D1070000}"/>
    <cellStyle name="20% - Accent5 3 2 4 2" xfId="2006" xr:uid="{00000000-0005-0000-0000-0000D2070000}"/>
    <cellStyle name="20% - Accent5 3 2 4 3" xfId="2007" xr:uid="{00000000-0005-0000-0000-0000D3070000}"/>
    <cellStyle name="20% - Accent5 3 2 4 4" xfId="2008" xr:uid="{00000000-0005-0000-0000-0000D4070000}"/>
    <cellStyle name="20% - Accent5 3 2 5" xfId="2009" xr:uid="{00000000-0005-0000-0000-0000D5070000}"/>
    <cellStyle name="20% - Accent5 3 2 5 2" xfId="2010" xr:uid="{00000000-0005-0000-0000-0000D6070000}"/>
    <cellStyle name="20% - Accent5 3 2 6" xfId="2011" xr:uid="{00000000-0005-0000-0000-0000D7070000}"/>
    <cellStyle name="20% - Accent5 3 2 7" xfId="2012" xr:uid="{00000000-0005-0000-0000-0000D8070000}"/>
    <cellStyle name="20% - Accent5 3 2 8" xfId="2013" xr:uid="{00000000-0005-0000-0000-0000D9070000}"/>
    <cellStyle name="20% - Accent5 3 2 9" xfId="2014" xr:uid="{00000000-0005-0000-0000-0000DA070000}"/>
    <cellStyle name="20% - Accent5 3 3" xfId="2015" xr:uid="{00000000-0005-0000-0000-0000DB070000}"/>
    <cellStyle name="20% - Accent5 3 3 2" xfId="2016" xr:uid="{00000000-0005-0000-0000-0000DC070000}"/>
    <cellStyle name="20% - Accent5 3 3 2 2" xfId="2017" xr:uid="{00000000-0005-0000-0000-0000DD070000}"/>
    <cellStyle name="20% - Accent5 3 3 2 3" xfId="2018" xr:uid="{00000000-0005-0000-0000-0000DE070000}"/>
    <cellStyle name="20% - Accent5 3 3 3" xfId="2019" xr:uid="{00000000-0005-0000-0000-0000DF070000}"/>
    <cellStyle name="20% - Accent5 3 3 4" xfId="2020" xr:uid="{00000000-0005-0000-0000-0000E0070000}"/>
    <cellStyle name="20% - Accent5 3 3 5" xfId="2021" xr:uid="{00000000-0005-0000-0000-0000E1070000}"/>
    <cellStyle name="20% - Accent5 3 3 6" xfId="2022" xr:uid="{00000000-0005-0000-0000-0000E2070000}"/>
    <cellStyle name="20% - Accent5 3 4" xfId="2023" xr:uid="{00000000-0005-0000-0000-0000E3070000}"/>
    <cellStyle name="20% - Accent5 3 4 2" xfId="2024" xr:uid="{00000000-0005-0000-0000-0000E4070000}"/>
    <cellStyle name="20% - Accent5 3 4 2 2" xfId="2025" xr:uid="{00000000-0005-0000-0000-0000E5070000}"/>
    <cellStyle name="20% - Accent5 3 4 3" xfId="2026" xr:uid="{00000000-0005-0000-0000-0000E6070000}"/>
    <cellStyle name="20% - Accent5 3 4 4" xfId="2027" xr:uid="{00000000-0005-0000-0000-0000E7070000}"/>
    <cellStyle name="20% - Accent5 3 4 5" xfId="2028" xr:uid="{00000000-0005-0000-0000-0000E8070000}"/>
    <cellStyle name="20% - Accent5 3 5" xfId="2029" xr:uid="{00000000-0005-0000-0000-0000E9070000}"/>
    <cellStyle name="20% - Accent5 3 5 2" xfId="2030" xr:uid="{00000000-0005-0000-0000-0000EA070000}"/>
    <cellStyle name="20% - Accent5 3 5 2 2" xfId="2031" xr:uid="{00000000-0005-0000-0000-0000EB070000}"/>
    <cellStyle name="20% - Accent5 3 5 3" xfId="2032" xr:uid="{00000000-0005-0000-0000-0000EC070000}"/>
    <cellStyle name="20% - Accent5 3 5 4" xfId="2033" xr:uid="{00000000-0005-0000-0000-0000ED070000}"/>
    <cellStyle name="20% - Accent5 3 5 5" xfId="2034" xr:uid="{00000000-0005-0000-0000-0000EE070000}"/>
    <cellStyle name="20% - Accent5 3 6" xfId="2035" xr:uid="{00000000-0005-0000-0000-0000EF070000}"/>
    <cellStyle name="20% - Accent5 3 6 2" xfId="2036" xr:uid="{00000000-0005-0000-0000-0000F0070000}"/>
    <cellStyle name="20% - Accent5 3 7" xfId="2037" xr:uid="{00000000-0005-0000-0000-0000F1070000}"/>
    <cellStyle name="20% - Accent5 3 8" xfId="2038" xr:uid="{00000000-0005-0000-0000-0000F2070000}"/>
    <cellStyle name="20% - Accent5 3 9" xfId="2039" xr:uid="{00000000-0005-0000-0000-0000F3070000}"/>
    <cellStyle name="20% - Accent5 4" xfId="2040" xr:uid="{00000000-0005-0000-0000-0000F4070000}"/>
    <cellStyle name="20% - Accent5 4 10" xfId="2041" xr:uid="{00000000-0005-0000-0000-0000F5070000}"/>
    <cellStyle name="20% - Accent5 4 2" xfId="2042" xr:uid="{00000000-0005-0000-0000-0000F6070000}"/>
    <cellStyle name="20% - Accent5 4 2 2" xfId="2043" xr:uid="{00000000-0005-0000-0000-0000F7070000}"/>
    <cellStyle name="20% - Accent5 4 2 2 2" xfId="2044" xr:uid="{00000000-0005-0000-0000-0000F8070000}"/>
    <cellStyle name="20% - Accent5 4 2 2 2 2" xfId="2045" xr:uid="{00000000-0005-0000-0000-0000F9070000}"/>
    <cellStyle name="20% - Accent5 4 2 2 2 3" xfId="2046" xr:uid="{00000000-0005-0000-0000-0000FA070000}"/>
    <cellStyle name="20% - Accent5 4 2 2 3" xfId="2047" xr:uid="{00000000-0005-0000-0000-0000FB070000}"/>
    <cellStyle name="20% - Accent5 4 2 2 4" xfId="2048" xr:uid="{00000000-0005-0000-0000-0000FC070000}"/>
    <cellStyle name="20% - Accent5 4 2 2 5" xfId="2049" xr:uid="{00000000-0005-0000-0000-0000FD070000}"/>
    <cellStyle name="20% - Accent5 4 2 2 6" xfId="2050" xr:uid="{00000000-0005-0000-0000-0000FE070000}"/>
    <cellStyle name="20% - Accent5 4 2 3" xfId="2051" xr:uid="{00000000-0005-0000-0000-0000FF070000}"/>
    <cellStyle name="20% - Accent5 4 2 3 2" xfId="2052" xr:uid="{00000000-0005-0000-0000-000000080000}"/>
    <cellStyle name="20% - Accent5 4 2 3 2 2" xfId="2053" xr:uid="{00000000-0005-0000-0000-000001080000}"/>
    <cellStyle name="20% - Accent5 4 2 3 3" xfId="2054" xr:uid="{00000000-0005-0000-0000-000002080000}"/>
    <cellStyle name="20% - Accent5 4 2 3 4" xfId="2055" xr:uid="{00000000-0005-0000-0000-000003080000}"/>
    <cellStyle name="20% - Accent5 4 2 3 5" xfId="2056" xr:uid="{00000000-0005-0000-0000-000004080000}"/>
    <cellStyle name="20% - Accent5 4 2 4" xfId="2057" xr:uid="{00000000-0005-0000-0000-000005080000}"/>
    <cellStyle name="20% - Accent5 4 2 4 2" xfId="2058" xr:uid="{00000000-0005-0000-0000-000006080000}"/>
    <cellStyle name="20% - Accent5 4 2 4 3" xfId="2059" xr:uid="{00000000-0005-0000-0000-000007080000}"/>
    <cellStyle name="20% - Accent5 4 2 4 4" xfId="2060" xr:uid="{00000000-0005-0000-0000-000008080000}"/>
    <cellStyle name="20% - Accent5 4 2 5" xfId="2061" xr:uid="{00000000-0005-0000-0000-000009080000}"/>
    <cellStyle name="20% - Accent5 4 2 5 2" xfId="2062" xr:uid="{00000000-0005-0000-0000-00000A080000}"/>
    <cellStyle name="20% - Accent5 4 2 6" xfId="2063" xr:uid="{00000000-0005-0000-0000-00000B080000}"/>
    <cellStyle name="20% - Accent5 4 2 7" xfId="2064" xr:uid="{00000000-0005-0000-0000-00000C080000}"/>
    <cellStyle name="20% - Accent5 4 2 8" xfId="2065" xr:uid="{00000000-0005-0000-0000-00000D080000}"/>
    <cellStyle name="20% - Accent5 4 2 9" xfId="2066" xr:uid="{00000000-0005-0000-0000-00000E080000}"/>
    <cellStyle name="20% - Accent5 4 3" xfId="2067" xr:uid="{00000000-0005-0000-0000-00000F080000}"/>
    <cellStyle name="20% - Accent5 4 3 2" xfId="2068" xr:uid="{00000000-0005-0000-0000-000010080000}"/>
    <cellStyle name="20% - Accent5 4 3 2 2" xfId="2069" xr:uid="{00000000-0005-0000-0000-000011080000}"/>
    <cellStyle name="20% - Accent5 4 3 2 3" xfId="2070" xr:uid="{00000000-0005-0000-0000-000012080000}"/>
    <cellStyle name="20% - Accent5 4 3 3" xfId="2071" xr:uid="{00000000-0005-0000-0000-000013080000}"/>
    <cellStyle name="20% - Accent5 4 3 4" xfId="2072" xr:uid="{00000000-0005-0000-0000-000014080000}"/>
    <cellStyle name="20% - Accent5 4 3 5" xfId="2073" xr:uid="{00000000-0005-0000-0000-000015080000}"/>
    <cellStyle name="20% - Accent5 4 3 6" xfId="2074" xr:uid="{00000000-0005-0000-0000-000016080000}"/>
    <cellStyle name="20% - Accent5 4 4" xfId="2075" xr:uid="{00000000-0005-0000-0000-000017080000}"/>
    <cellStyle name="20% - Accent5 4 4 2" xfId="2076" xr:uid="{00000000-0005-0000-0000-000018080000}"/>
    <cellStyle name="20% - Accent5 4 4 2 2" xfId="2077" xr:uid="{00000000-0005-0000-0000-000019080000}"/>
    <cellStyle name="20% - Accent5 4 4 3" xfId="2078" xr:uid="{00000000-0005-0000-0000-00001A080000}"/>
    <cellStyle name="20% - Accent5 4 4 4" xfId="2079" xr:uid="{00000000-0005-0000-0000-00001B080000}"/>
    <cellStyle name="20% - Accent5 4 4 5" xfId="2080" xr:uid="{00000000-0005-0000-0000-00001C080000}"/>
    <cellStyle name="20% - Accent5 4 5" xfId="2081" xr:uid="{00000000-0005-0000-0000-00001D080000}"/>
    <cellStyle name="20% - Accent5 4 5 2" xfId="2082" xr:uid="{00000000-0005-0000-0000-00001E080000}"/>
    <cellStyle name="20% - Accent5 4 5 2 2" xfId="2083" xr:uid="{00000000-0005-0000-0000-00001F080000}"/>
    <cellStyle name="20% - Accent5 4 5 3" xfId="2084" xr:uid="{00000000-0005-0000-0000-000020080000}"/>
    <cellStyle name="20% - Accent5 4 5 4" xfId="2085" xr:uid="{00000000-0005-0000-0000-000021080000}"/>
    <cellStyle name="20% - Accent5 4 5 5" xfId="2086" xr:uid="{00000000-0005-0000-0000-000022080000}"/>
    <cellStyle name="20% - Accent5 4 6" xfId="2087" xr:uid="{00000000-0005-0000-0000-000023080000}"/>
    <cellStyle name="20% - Accent5 4 6 2" xfId="2088" xr:uid="{00000000-0005-0000-0000-000024080000}"/>
    <cellStyle name="20% - Accent5 4 7" xfId="2089" xr:uid="{00000000-0005-0000-0000-000025080000}"/>
    <cellStyle name="20% - Accent5 4 8" xfId="2090" xr:uid="{00000000-0005-0000-0000-000026080000}"/>
    <cellStyle name="20% - Accent5 4 9" xfId="2091" xr:uid="{00000000-0005-0000-0000-000027080000}"/>
    <cellStyle name="20% - Accent5 5" xfId="2092" xr:uid="{00000000-0005-0000-0000-000028080000}"/>
    <cellStyle name="20% - Accent5 5 10" xfId="2093" xr:uid="{00000000-0005-0000-0000-000029080000}"/>
    <cellStyle name="20% - Accent5 5 2" xfId="2094" xr:uid="{00000000-0005-0000-0000-00002A080000}"/>
    <cellStyle name="20% - Accent5 5 2 2" xfId="2095" xr:uid="{00000000-0005-0000-0000-00002B080000}"/>
    <cellStyle name="20% - Accent5 5 2 2 2" xfId="2096" xr:uid="{00000000-0005-0000-0000-00002C080000}"/>
    <cellStyle name="20% - Accent5 5 2 2 2 2" xfId="2097" xr:uid="{00000000-0005-0000-0000-00002D080000}"/>
    <cellStyle name="20% - Accent5 5 2 2 2 3" xfId="2098" xr:uid="{00000000-0005-0000-0000-00002E080000}"/>
    <cellStyle name="20% - Accent5 5 2 2 3" xfId="2099" xr:uid="{00000000-0005-0000-0000-00002F080000}"/>
    <cellStyle name="20% - Accent5 5 2 2 4" xfId="2100" xr:uid="{00000000-0005-0000-0000-000030080000}"/>
    <cellStyle name="20% - Accent5 5 2 2 5" xfId="2101" xr:uid="{00000000-0005-0000-0000-000031080000}"/>
    <cellStyle name="20% - Accent5 5 2 2 6" xfId="2102" xr:uid="{00000000-0005-0000-0000-000032080000}"/>
    <cellStyle name="20% - Accent5 5 2 3" xfId="2103" xr:uid="{00000000-0005-0000-0000-000033080000}"/>
    <cellStyle name="20% - Accent5 5 2 3 2" xfId="2104" xr:uid="{00000000-0005-0000-0000-000034080000}"/>
    <cellStyle name="20% - Accent5 5 2 3 2 2" xfId="2105" xr:uid="{00000000-0005-0000-0000-000035080000}"/>
    <cellStyle name="20% - Accent5 5 2 3 3" xfId="2106" xr:uid="{00000000-0005-0000-0000-000036080000}"/>
    <cellStyle name="20% - Accent5 5 2 3 4" xfId="2107" xr:uid="{00000000-0005-0000-0000-000037080000}"/>
    <cellStyle name="20% - Accent5 5 2 3 5" xfId="2108" xr:uid="{00000000-0005-0000-0000-000038080000}"/>
    <cellStyle name="20% - Accent5 5 2 4" xfId="2109" xr:uid="{00000000-0005-0000-0000-000039080000}"/>
    <cellStyle name="20% - Accent5 5 2 4 2" xfId="2110" xr:uid="{00000000-0005-0000-0000-00003A080000}"/>
    <cellStyle name="20% - Accent5 5 2 4 3" xfId="2111" xr:uid="{00000000-0005-0000-0000-00003B080000}"/>
    <cellStyle name="20% - Accent5 5 2 4 4" xfId="2112" xr:uid="{00000000-0005-0000-0000-00003C080000}"/>
    <cellStyle name="20% - Accent5 5 2 5" xfId="2113" xr:uid="{00000000-0005-0000-0000-00003D080000}"/>
    <cellStyle name="20% - Accent5 5 2 5 2" xfId="2114" xr:uid="{00000000-0005-0000-0000-00003E080000}"/>
    <cellStyle name="20% - Accent5 5 2 6" xfId="2115" xr:uid="{00000000-0005-0000-0000-00003F080000}"/>
    <cellStyle name="20% - Accent5 5 2 7" xfId="2116" xr:uid="{00000000-0005-0000-0000-000040080000}"/>
    <cellStyle name="20% - Accent5 5 2 8" xfId="2117" xr:uid="{00000000-0005-0000-0000-000041080000}"/>
    <cellStyle name="20% - Accent5 5 2 9" xfId="2118" xr:uid="{00000000-0005-0000-0000-000042080000}"/>
    <cellStyle name="20% - Accent5 5 3" xfId="2119" xr:uid="{00000000-0005-0000-0000-000043080000}"/>
    <cellStyle name="20% - Accent5 5 3 2" xfId="2120" xr:uid="{00000000-0005-0000-0000-000044080000}"/>
    <cellStyle name="20% - Accent5 5 3 2 2" xfId="2121" xr:uid="{00000000-0005-0000-0000-000045080000}"/>
    <cellStyle name="20% - Accent5 5 3 2 3" xfId="2122" xr:uid="{00000000-0005-0000-0000-000046080000}"/>
    <cellStyle name="20% - Accent5 5 3 3" xfId="2123" xr:uid="{00000000-0005-0000-0000-000047080000}"/>
    <cellStyle name="20% - Accent5 5 3 4" xfId="2124" xr:uid="{00000000-0005-0000-0000-000048080000}"/>
    <cellStyle name="20% - Accent5 5 3 5" xfId="2125" xr:uid="{00000000-0005-0000-0000-000049080000}"/>
    <cellStyle name="20% - Accent5 5 3 6" xfId="2126" xr:uid="{00000000-0005-0000-0000-00004A080000}"/>
    <cellStyle name="20% - Accent5 5 4" xfId="2127" xr:uid="{00000000-0005-0000-0000-00004B080000}"/>
    <cellStyle name="20% - Accent5 5 4 2" xfId="2128" xr:uid="{00000000-0005-0000-0000-00004C080000}"/>
    <cellStyle name="20% - Accent5 5 4 2 2" xfId="2129" xr:uid="{00000000-0005-0000-0000-00004D080000}"/>
    <cellStyle name="20% - Accent5 5 4 3" xfId="2130" xr:uid="{00000000-0005-0000-0000-00004E080000}"/>
    <cellStyle name="20% - Accent5 5 4 4" xfId="2131" xr:uid="{00000000-0005-0000-0000-00004F080000}"/>
    <cellStyle name="20% - Accent5 5 4 5" xfId="2132" xr:uid="{00000000-0005-0000-0000-000050080000}"/>
    <cellStyle name="20% - Accent5 5 5" xfId="2133" xr:uid="{00000000-0005-0000-0000-000051080000}"/>
    <cellStyle name="20% - Accent5 5 5 2" xfId="2134" xr:uid="{00000000-0005-0000-0000-000052080000}"/>
    <cellStyle name="20% - Accent5 5 5 3" xfId="2135" xr:uid="{00000000-0005-0000-0000-000053080000}"/>
    <cellStyle name="20% - Accent5 5 5 4" xfId="2136" xr:uid="{00000000-0005-0000-0000-000054080000}"/>
    <cellStyle name="20% - Accent5 5 6" xfId="2137" xr:uid="{00000000-0005-0000-0000-000055080000}"/>
    <cellStyle name="20% - Accent5 5 6 2" xfId="2138" xr:uid="{00000000-0005-0000-0000-000056080000}"/>
    <cellStyle name="20% - Accent5 5 7" xfId="2139" xr:uid="{00000000-0005-0000-0000-000057080000}"/>
    <cellStyle name="20% - Accent5 5 8" xfId="2140" xr:uid="{00000000-0005-0000-0000-000058080000}"/>
    <cellStyle name="20% - Accent5 5 9" xfId="2141" xr:uid="{00000000-0005-0000-0000-000059080000}"/>
    <cellStyle name="20% - Accent5 6" xfId="2142" xr:uid="{00000000-0005-0000-0000-00005A080000}"/>
    <cellStyle name="20% - Accent5 6 10" xfId="2143" xr:uid="{00000000-0005-0000-0000-00005B080000}"/>
    <cellStyle name="20% - Accent5 6 2" xfId="2144" xr:uid="{00000000-0005-0000-0000-00005C080000}"/>
    <cellStyle name="20% - Accent5 6 2 2" xfId="2145" xr:uid="{00000000-0005-0000-0000-00005D080000}"/>
    <cellStyle name="20% - Accent5 6 2 2 2" xfId="2146" xr:uid="{00000000-0005-0000-0000-00005E080000}"/>
    <cellStyle name="20% - Accent5 6 2 2 2 2" xfId="2147" xr:uid="{00000000-0005-0000-0000-00005F080000}"/>
    <cellStyle name="20% - Accent5 6 2 2 2 3" xfId="2148" xr:uid="{00000000-0005-0000-0000-000060080000}"/>
    <cellStyle name="20% - Accent5 6 2 2 3" xfId="2149" xr:uid="{00000000-0005-0000-0000-000061080000}"/>
    <cellStyle name="20% - Accent5 6 2 2 4" xfId="2150" xr:uid="{00000000-0005-0000-0000-000062080000}"/>
    <cellStyle name="20% - Accent5 6 2 2 5" xfId="2151" xr:uid="{00000000-0005-0000-0000-000063080000}"/>
    <cellStyle name="20% - Accent5 6 2 2 6" xfId="2152" xr:uid="{00000000-0005-0000-0000-000064080000}"/>
    <cellStyle name="20% - Accent5 6 2 3" xfId="2153" xr:uid="{00000000-0005-0000-0000-000065080000}"/>
    <cellStyle name="20% - Accent5 6 2 3 2" xfId="2154" xr:uid="{00000000-0005-0000-0000-000066080000}"/>
    <cellStyle name="20% - Accent5 6 2 3 2 2" xfId="2155" xr:uid="{00000000-0005-0000-0000-000067080000}"/>
    <cellStyle name="20% - Accent5 6 2 3 3" xfId="2156" xr:uid="{00000000-0005-0000-0000-000068080000}"/>
    <cellStyle name="20% - Accent5 6 2 3 4" xfId="2157" xr:uid="{00000000-0005-0000-0000-000069080000}"/>
    <cellStyle name="20% - Accent5 6 2 3 5" xfId="2158" xr:uid="{00000000-0005-0000-0000-00006A080000}"/>
    <cellStyle name="20% - Accent5 6 2 4" xfId="2159" xr:uid="{00000000-0005-0000-0000-00006B080000}"/>
    <cellStyle name="20% - Accent5 6 2 4 2" xfId="2160" xr:uid="{00000000-0005-0000-0000-00006C080000}"/>
    <cellStyle name="20% - Accent5 6 2 4 3" xfId="2161" xr:uid="{00000000-0005-0000-0000-00006D080000}"/>
    <cellStyle name="20% - Accent5 6 2 4 4" xfId="2162" xr:uid="{00000000-0005-0000-0000-00006E080000}"/>
    <cellStyle name="20% - Accent5 6 2 5" xfId="2163" xr:uid="{00000000-0005-0000-0000-00006F080000}"/>
    <cellStyle name="20% - Accent5 6 2 5 2" xfId="2164" xr:uid="{00000000-0005-0000-0000-000070080000}"/>
    <cellStyle name="20% - Accent5 6 2 6" xfId="2165" xr:uid="{00000000-0005-0000-0000-000071080000}"/>
    <cellStyle name="20% - Accent5 6 2 7" xfId="2166" xr:uid="{00000000-0005-0000-0000-000072080000}"/>
    <cellStyle name="20% - Accent5 6 2 8" xfId="2167" xr:uid="{00000000-0005-0000-0000-000073080000}"/>
    <cellStyle name="20% - Accent5 6 2 9" xfId="2168" xr:uid="{00000000-0005-0000-0000-000074080000}"/>
    <cellStyle name="20% - Accent5 6 3" xfId="2169" xr:uid="{00000000-0005-0000-0000-000075080000}"/>
    <cellStyle name="20% - Accent5 6 3 2" xfId="2170" xr:uid="{00000000-0005-0000-0000-000076080000}"/>
    <cellStyle name="20% - Accent5 6 3 2 2" xfId="2171" xr:uid="{00000000-0005-0000-0000-000077080000}"/>
    <cellStyle name="20% - Accent5 6 3 2 3" xfId="2172" xr:uid="{00000000-0005-0000-0000-000078080000}"/>
    <cellStyle name="20% - Accent5 6 3 3" xfId="2173" xr:uid="{00000000-0005-0000-0000-000079080000}"/>
    <cellStyle name="20% - Accent5 6 3 4" xfId="2174" xr:uid="{00000000-0005-0000-0000-00007A080000}"/>
    <cellStyle name="20% - Accent5 6 3 5" xfId="2175" xr:uid="{00000000-0005-0000-0000-00007B080000}"/>
    <cellStyle name="20% - Accent5 6 3 6" xfId="2176" xr:uid="{00000000-0005-0000-0000-00007C080000}"/>
    <cellStyle name="20% - Accent5 6 4" xfId="2177" xr:uid="{00000000-0005-0000-0000-00007D080000}"/>
    <cellStyle name="20% - Accent5 6 4 2" xfId="2178" xr:uid="{00000000-0005-0000-0000-00007E080000}"/>
    <cellStyle name="20% - Accent5 6 4 2 2" xfId="2179" xr:uid="{00000000-0005-0000-0000-00007F080000}"/>
    <cellStyle name="20% - Accent5 6 4 3" xfId="2180" xr:uid="{00000000-0005-0000-0000-000080080000}"/>
    <cellStyle name="20% - Accent5 6 4 4" xfId="2181" xr:uid="{00000000-0005-0000-0000-000081080000}"/>
    <cellStyle name="20% - Accent5 6 4 5" xfId="2182" xr:uid="{00000000-0005-0000-0000-000082080000}"/>
    <cellStyle name="20% - Accent5 6 5" xfId="2183" xr:uid="{00000000-0005-0000-0000-000083080000}"/>
    <cellStyle name="20% - Accent5 6 5 2" xfId="2184" xr:uid="{00000000-0005-0000-0000-000084080000}"/>
    <cellStyle name="20% - Accent5 6 5 3" xfId="2185" xr:uid="{00000000-0005-0000-0000-000085080000}"/>
    <cellStyle name="20% - Accent5 6 5 4" xfId="2186" xr:uid="{00000000-0005-0000-0000-000086080000}"/>
    <cellStyle name="20% - Accent5 6 6" xfId="2187" xr:uid="{00000000-0005-0000-0000-000087080000}"/>
    <cellStyle name="20% - Accent5 6 6 2" xfId="2188" xr:uid="{00000000-0005-0000-0000-000088080000}"/>
    <cellStyle name="20% - Accent5 6 7" xfId="2189" xr:uid="{00000000-0005-0000-0000-000089080000}"/>
    <cellStyle name="20% - Accent5 6 8" xfId="2190" xr:uid="{00000000-0005-0000-0000-00008A080000}"/>
    <cellStyle name="20% - Accent5 6 9" xfId="2191" xr:uid="{00000000-0005-0000-0000-00008B080000}"/>
    <cellStyle name="20% - Accent5 7" xfId="2192" xr:uid="{00000000-0005-0000-0000-00008C080000}"/>
    <cellStyle name="20% - Accent5 7 2" xfId="2193" xr:uid="{00000000-0005-0000-0000-00008D080000}"/>
    <cellStyle name="20% - Accent5 7 2 2" xfId="2194" xr:uid="{00000000-0005-0000-0000-00008E080000}"/>
    <cellStyle name="20% - Accent5 7 2 2 2" xfId="2195" xr:uid="{00000000-0005-0000-0000-00008F080000}"/>
    <cellStyle name="20% - Accent5 7 2 2 3" xfId="2196" xr:uid="{00000000-0005-0000-0000-000090080000}"/>
    <cellStyle name="20% - Accent5 7 2 3" xfId="2197" xr:uid="{00000000-0005-0000-0000-000091080000}"/>
    <cellStyle name="20% - Accent5 7 2 4" xfId="2198" xr:uid="{00000000-0005-0000-0000-000092080000}"/>
    <cellStyle name="20% - Accent5 7 2 5" xfId="2199" xr:uid="{00000000-0005-0000-0000-000093080000}"/>
    <cellStyle name="20% - Accent5 7 2 6" xfId="2200" xr:uid="{00000000-0005-0000-0000-000094080000}"/>
    <cellStyle name="20% - Accent5 7 3" xfId="2201" xr:uid="{00000000-0005-0000-0000-000095080000}"/>
    <cellStyle name="20% - Accent5 7 3 2" xfId="2202" xr:uid="{00000000-0005-0000-0000-000096080000}"/>
    <cellStyle name="20% - Accent5 7 3 2 2" xfId="2203" xr:uid="{00000000-0005-0000-0000-000097080000}"/>
    <cellStyle name="20% - Accent5 7 3 3" xfId="2204" xr:uid="{00000000-0005-0000-0000-000098080000}"/>
    <cellStyle name="20% - Accent5 7 3 4" xfId="2205" xr:uid="{00000000-0005-0000-0000-000099080000}"/>
    <cellStyle name="20% - Accent5 7 3 5" xfId="2206" xr:uid="{00000000-0005-0000-0000-00009A080000}"/>
    <cellStyle name="20% - Accent5 7 4" xfId="2207" xr:uid="{00000000-0005-0000-0000-00009B080000}"/>
    <cellStyle name="20% - Accent5 7 4 2" xfId="2208" xr:uid="{00000000-0005-0000-0000-00009C080000}"/>
    <cellStyle name="20% - Accent5 7 4 3" xfId="2209" xr:uid="{00000000-0005-0000-0000-00009D080000}"/>
    <cellStyle name="20% - Accent5 7 4 4" xfId="2210" xr:uid="{00000000-0005-0000-0000-00009E080000}"/>
    <cellStyle name="20% - Accent5 7 5" xfId="2211" xr:uid="{00000000-0005-0000-0000-00009F080000}"/>
    <cellStyle name="20% - Accent5 7 5 2" xfId="2212" xr:uid="{00000000-0005-0000-0000-0000A0080000}"/>
    <cellStyle name="20% - Accent5 7 6" xfId="2213" xr:uid="{00000000-0005-0000-0000-0000A1080000}"/>
    <cellStyle name="20% - Accent5 7 7" xfId="2214" xr:uid="{00000000-0005-0000-0000-0000A2080000}"/>
    <cellStyle name="20% - Accent5 7 8" xfId="2215" xr:uid="{00000000-0005-0000-0000-0000A3080000}"/>
    <cellStyle name="20% - Accent5 7 9" xfId="2216" xr:uid="{00000000-0005-0000-0000-0000A4080000}"/>
    <cellStyle name="20% - Accent5 8" xfId="2217" xr:uid="{00000000-0005-0000-0000-0000A5080000}"/>
    <cellStyle name="20% - Accent5 8 2" xfId="2218" xr:uid="{00000000-0005-0000-0000-0000A6080000}"/>
    <cellStyle name="20% - Accent5 8 2 2" xfId="2219" xr:uid="{00000000-0005-0000-0000-0000A7080000}"/>
    <cellStyle name="20% - Accent5 8 2 2 2" xfId="2220" xr:uid="{00000000-0005-0000-0000-0000A8080000}"/>
    <cellStyle name="20% - Accent5 8 2 2 3" xfId="2221" xr:uid="{00000000-0005-0000-0000-0000A9080000}"/>
    <cellStyle name="20% - Accent5 8 2 3" xfId="2222" xr:uid="{00000000-0005-0000-0000-0000AA080000}"/>
    <cellStyle name="20% - Accent5 8 2 4" xfId="2223" xr:uid="{00000000-0005-0000-0000-0000AB080000}"/>
    <cellStyle name="20% - Accent5 8 2 5" xfId="2224" xr:uid="{00000000-0005-0000-0000-0000AC080000}"/>
    <cellStyle name="20% - Accent5 8 2 6" xfId="2225" xr:uid="{00000000-0005-0000-0000-0000AD080000}"/>
    <cellStyle name="20% - Accent5 8 3" xfId="2226" xr:uid="{00000000-0005-0000-0000-0000AE080000}"/>
    <cellStyle name="20% - Accent5 8 3 2" xfId="2227" xr:uid="{00000000-0005-0000-0000-0000AF080000}"/>
    <cellStyle name="20% - Accent5 8 3 2 2" xfId="2228" xr:uid="{00000000-0005-0000-0000-0000B0080000}"/>
    <cellStyle name="20% - Accent5 8 3 3" xfId="2229" xr:uid="{00000000-0005-0000-0000-0000B1080000}"/>
    <cellStyle name="20% - Accent5 8 3 4" xfId="2230" xr:uid="{00000000-0005-0000-0000-0000B2080000}"/>
    <cellStyle name="20% - Accent5 8 3 5" xfId="2231" xr:uid="{00000000-0005-0000-0000-0000B3080000}"/>
    <cellStyle name="20% - Accent5 8 4" xfId="2232" xr:uid="{00000000-0005-0000-0000-0000B4080000}"/>
    <cellStyle name="20% - Accent5 8 4 2" xfId="2233" xr:uid="{00000000-0005-0000-0000-0000B5080000}"/>
    <cellStyle name="20% - Accent5 8 4 3" xfId="2234" xr:uid="{00000000-0005-0000-0000-0000B6080000}"/>
    <cellStyle name="20% - Accent5 8 4 4" xfId="2235" xr:uid="{00000000-0005-0000-0000-0000B7080000}"/>
    <cellStyle name="20% - Accent5 8 5" xfId="2236" xr:uid="{00000000-0005-0000-0000-0000B8080000}"/>
    <cellStyle name="20% - Accent5 8 5 2" xfId="2237" xr:uid="{00000000-0005-0000-0000-0000B9080000}"/>
    <cellStyle name="20% - Accent5 8 6" xfId="2238" xr:uid="{00000000-0005-0000-0000-0000BA080000}"/>
    <cellStyle name="20% - Accent5 8 7" xfId="2239" xr:uid="{00000000-0005-0000-0000-0000BB080000}"/>
    <cellStyle name="20% - Accent5 8 8" xfId="2240" xr:uid="{00000000-0005-0000-0000-0000BC080000}"/>
    <cellStyle name="20% - Accent5 8 9" xfId="2241" xr:uid="{00000000-0005-0000-0000-0000BD080000}"/>
    <cellStyle name="20% - Accent5 9" xfId="2242" xr:uid="{00000000-0005-0000-0000-0000BE080000}"/>
    <cellStyle name="20% - Accent5 9 2" xfId="2243" xr:uid="{00000000-0005-0000-0000-0000BF080000}"/>
    <cellStyle name="20% - Accent5 9 2 2" xfId="2244" xr:uid="{00000000-0005-0000-0000-0000C0080000}"/>
    <cellStyle name="20% - Accent5 9 2 2 2" xfId="2245" xr:uid="{00000000-0005-0000-0000-0000C1080000}"/>
    <cellStyle name="20% - Accent5 9 2 3" xfId="2246" xr:uid="{00000000-0005-0000-0000-0000C2080000}"/>
    <cellStyle name="20% - Accent5 9 2 4" xfId="2247" xr:uid="{00000000-0005-0000-0000-0000C3080000}"/>
    <cellStyle name="20% - Accent5 9 2 5" xfId="2248" xr:uid="{00000000-0005-0000-0000-0000C4080000}"/>
    <cellStyle name="20% - Accent5 9 3" xfId="2249" xr:uid="{00000000-0005-0000-0000-0000C5080000}"/>
    <cellStyle name="20% - Accent5 9 3 2" xfId="2250" xr:uid="{00000000-0005-0000-0000-0000C6080000}"/>
    <cellStyle name="20% - Accent5 9 3 3" xfId="2251" xr:uid="{00000000-0005-0000-0000-0000C7080000}"/>
    <cellStyle name="20% - Accent5 9 3 4" xfId="2252" xr:uid="{00000000-0005-0000-0000-0000C8080000}"/>
    <cellStyle name="20% - Accent5 9 4" xfId="2253" xr:uid="{00000000-0005-0000-0000-0000C9080000}"/>
    <cellStyle name="20% - Accent5 9 4 2" xfId="2254" xr:uid="{00000000-0005-0000-0000-0000CA080000}"/>
    <cellStyle name="20% - Accent5 9 5" xfId="2255" xr:uid="{00000000-0005-0000-0000-0000CB080000}"/>
    <cellStyle name="20% - Accent5 9 6" xfId="2256" xr:uid="{00000000-0005-0000-0000-0000CC080000}"/>
    <cellStyle name="20% - Accent5 9 7" xfId="2257" xr:uid="{00000000-0005-0000-0000-0000CD080000}"/>
    <cellStyle name="20% - Accent5 9 8" xfId="2258" xr:uid="{00000000-0005-0000-0000-0000CE080000}"/>
    <cellStyle name="20% - Accent6 10" xfId="2259" xr:uid="{00000000-0005-0000-0000-0000CF080000}"/>
    <cellStyle name="20% - Accent6 10 2" xfId="2260" xr:uid="{00000000-0005-0000-0000-0000D0080000}"/>
    <cellStyle name="20% - Accent6 10 2 2" xfId="2261" xr:uid="{00000000-0005-0000-0000-0000D1080000}"/>
    <cellStyle name="20% - Accent6 10 2 2 2" xfId="2262" xr:uid="{00000000-0005-0000-0000-0000D2080000}"/>
    <cellStyle name="20% - Accent6 10 2 3" xfId="2263" xr:uid="{00000000-0005-0000-0000-0000D3080000}"/>
    <cellStyle name="20% - Accent6 10 2 4" xfId="2264" xr:uid="{00000000-0005-0000-0000-0000D4080000}"/>
    <cellStyle name="20% - Accent6 10 2 5" xfId="2265" xr:uid="{00000000-0005-0000-0000-0000D5080000}"/>
    <cellStyle name="20% - Accent6 10 3" xfId="2266" xr:uid="{00000000-0005-0000-0000-0000D6080000}"/>
    <cellStyle name="20% - Accent6 10 3 2" xfId="2267" xr:uid="{00000000-0005-0000-0000-0000D7080000}"/>
    <cellStyle name="20% - Accent6 10 3 3" xfId="2268" xr:uid="{00000000-0005-0000-0000-0000D8080000}"/>
    <cellStyle name="20% - Accent6 10 3 4" xfId="2269" xr:uid="{00000000-0005-0000-0000-0000D9080000}"/>
    <cellStyle name="20% - Accent6 10 4" xfId="2270" xr:uid="{00000000-0005-0000-0000-0000DA080000}"/>
    <cellStyle name="20% - Accent6 10 4 2" xfId="2271" xr:uid="{00000000-0005-0000-0000-0000DB080000}"/>
    <cellStyle name="20% - Accent6 10 5" xfId="2272" xr:uid="{00000000-0005-0000-0000-0000DC080000}"/>
    <cellStyle name="20% - Accent6 10 6" xfId="2273" xr:uid="{00000000-0005-0000-0000-0000DD080000}"/>
    <cellStyle name="20% - Accent6 10 7" xfId="2274" xr:uid="{00000000-0005-0000-0000-0000DE080000}"/>
    <cellStyle name="20% - Accent6 10 8" xfId="2275" xr:uid="{00000000-0005-0000-0000-0000DF080000}"/>
    <cellStyle name="20% - Accent6 11" xfId="2276" xr:uid="{00000000-0005-0000-0000-0000E0080000}"/>
    <cellStyle name="20% - Accent6 11 2" xfId="2277" xr:uid="{00000000-0005-0000-0000-0000E1080000}"/>
    <cellStyle name="20% - Accent6 11 2 2" xfId="2278" xr:uid="{00000000-0005-0000-0000-0000E2080000}"/>
    <cellStyle name="20% - Accent6 11 2 2 2" xfId="2279" xr:uid="{00000000-0005-0000-0000-0000E3080000}"/>
    <cellStyle name="20% - Accent6 11 2 3" xfId="2280" xr:uid="{00000000-0005-0000-0000-0000E4080000}"/>
    <cellStyle name="20% - Accent6 11 2 4" xfId="2281" xr:uid="{00000000-0005-0000-0000-0000E5080000}"/>
    <cellStyle name="20% - Accent6 11 2 5" xfId="2282" xr:uid="{00000000-0005-0000-0000-0000E6080000}"/>
    <cellStyle name="20% - Accent6 11 3" xfId="2283" xr:uid="{00000000-0005-0000-0000-0000E7080000}"/>
    <cellStyle name="20% - Accent6 11 3 2" xfId="2284" xr:uid="{00000000-0005-0000-0000-0000E8080000}"/>
    <cellStyle name="20% - Accent6 11 3 3" xfId="2285" xr:uid="{00000000-0005-0000-0000-0000E9080000}"/>
    <cellStyle name="20% - Accent6 11 3 4" xfId="2286" xr:uid="{00000000-0005-0000-0000-0000EA080000}"/>
    <cellStyle name="20% - Accent6 11 4" xfId="2287" xr:uid="{00000000-0005-0000-0000-0000EB080000}"/>
    <cellStyle name="20% - Accent6 11 4 2" xfId="2288" xr:uid="{00000000-0005-0000-0000-0000EC080000}"/>
    <cellStyle name="20% - Accent6 11 5" xfId="2289" xr:uid="{00000000-0005-0000-0000-0000ED080000}"/>
    <cellStyle name="20% - Accent6 11 6" xfId="2290" xr:uid="{00000000-0005-0000-0000-0000EE080000}"/>
    <cellStyle name="20% - Accent6 11 7" xfId="2291" xr:uid="{00000000-0005-0000-0000-0000EF080000}"/>
    <cellStyle name="20% - Accent6 11 8" xfId="2292" xr:uid="{00000000-0005-0000-0000-0000F0080000}"/>
    <cellStyle name="20% - Accent6 12" xfId="2293" xr:uid="{00000000-0005-0000-0000-0000F1080000}"/>
    <cellStyle name="20% - Accent6 12 2" xfId="2294" xr:uid="{00000000-0005-0000-0000-0000F2080000}"/>
    <cellStyle name="20% - Accent6 12 2 2" xfId="2295" xr:uid="{00000000-0005-0000-0000-0000F3080000}"/>
    <cellStyle name="20% - Accent6 12 2 2 2" xfId="2296" xr:uid="{00000000-0005-0000-0000-0000F4080000}"/>
    <cellStyle name="20% - Accent6 12 2 3" xfId="2297" xr:uid="{00000000-0005-0000-0000-0000F5080000}"/>
    <cellStyle name="20% - Accent6 12 2 4" xfId="2298" xr:uid="{00000000-0005-0000-0000-0000F6080000}"/>
    <cellStyle name="20% - Accent6 12 2 5" xfId="2299" xr:uid="{00000000-0005-0000-0000-0000F7080000}"/>
    <cellStyle name="20% - Accent6 12 3" xfId="2300" xr:uid="{00000000-0005-0000-0000-0000F8080000}"/>
    <cellStyle name="20% - Accent6 12 3 2" xfId="2301" xr:uid="{00000000-0005-0000-0000-0000F9080000}"/>
    <cellStyle name="20% - Accent6 12 3 3" xfId="2302" xr:uid="{00000000-0005-0000-0000-0000FA080000}"/>
    <cellStyle name="20% - Accent6 12 3 4" xfId="2303" xr:uid="{00000000-0005-0000-0000-0000FB080000}"/>
    <cellStyle name="20% - Accent6 12 4" xfId="2304" xr:uid="{00000000-0005-0000-0000-0000FC080000}"/>
    <cellStyle name="20% - Accent6 12 4 2" xfId="2305" xr:uid="{00000000-0005-0000-0000-0000FD080000}"/>
    <cellStyle name="20% - Accent6 12 5" xfId="2306" xr:uid="{00000000-0005-0000-0000-0000FE080000}"/>
    <cellStyle name="20% - Accent6 12 6" xfId="2307" xr:uid="{00000000-0005-0000-0000-0000FF080000}"/>
    <cellStyle name="20% - Accent6 12 7" xfId="2308" xr:uid="{00000000-0005-0000-0000-000000090000}"/>
    <cellStyle name="20% - Accent6 12 8" xfId="2309" xr:uid="{00000000-0005-0000-0000-000001090000}"/>
    <cellStyle name="20% - Accent6 13" xfId="2310" xr:uid="{00000000-0005-0000-0000-000002090000}"/>
    <cellStyle name="20% - Accent6 13 2" xfId="2311" xr:uid="{00000000-0005-0000-0000-000003090000}"/>
    <cellStyle name="20% - Accent6 13 2 2" xfId="2312" xr:uid="{00000000-0005-0000-0000-000004090000}"/>
    <cellStyle name="20% - Accent6 13 2 3" xfId="2313" xr:uid="{00000000-0005-0000-0000-000005090000}"/>
    <cellStyle name="20% - Accent6 13 2 4" xfId="2314" xr:uid="{00000000-0005-0000-0000-000006090000}"/>
    <cellStyle name="20% - Accent6 13 3" xfId="2315" xr:uid="{00000000-0005-0000-0000-000007090000}"/>
    <cellStyle name="20% - Accent6 13 3 2" xfId="2316" xr:uid="{00000000-0005-0000-0000-000008090000}"/>
    <cellStyle name="20% - Accent6 13 4" xfId="2317" xr:uid="{00000000-0005-0000-0000-000009090000}"/>
    <cellStyle name="20% - Accent6 13 5" xfId="2318" xr:uid="{00000000-0005-0000-0000-00000A090000}"/>
    <cellStyle name="20% - Accent6 13 6" xfId="2319" xr:uid="{00000000-0005-0000-0000-00000B090000}"/>
    <cellStyle name="20% - Accent6 14" xfId="2320" xr:uid="{00000000-0005-0000-0000-00000C090000}"/>
    <cellStyle name="20% - Accent6 14 2" xfId="2321" xr:uid="{00000000-0005-0000-0000-00000D090000}"/>
    <cellStyle name="20% - Accent6 14 2 2" xfId="2322" xr:uid="{00000000-0005-0000-0000-00000E090000}"/>
    <cellStyle name="20% - Accent6 14 3" xfId="2323" xr:uid="{00000000-0005-0000-0000-00000F090000}"/>
    <cellStyle name="20% - Accent6 14 4" xfId="2324" xr:uid="{00000000-0005-0000-0000-000010090000}"/>
    <cellStyle name="20% - Accent6 14 5" xfId="2325" xr:uid="{00000000-0005-0000-0000-000011090000}"/>
    <cellStyle name="20% - Accent6 15" xfId="2326" xr:uid="{00000000-0005-0000-0000-000012090000}"/>
    <cellStyle name="20% - Accent6 15 2" xfId="2327" xr:uid="{00000000-0005-0000-0000-000013090000}"/>
    <cellStyle name="20% - Accent6 15 2 2" xfId="2328" xr:uid="{00000000-0005-0000-0000-000014090000}"/>
    <cellStyle name="20% - Accent6 15 3" xfId="2329" xr:uid="{00000000-0005-0000-0000-000015090000}"/>
    <cellStyle name="20% - Accent6 15 4" xfId="2330" xr:uid="{00000000-0005-0000-0000-000016090000}"/>
    <cellStyle name="20% - Accent6 15 5" xfId="2331" xr:uid="{00000000-0005-0000-0000-000017090000}"/>
    <cellStyle name="20% - Accent6 16" xfId="2332" xr:uid="{00000000-0005-0000-0000-000018090000}"/>
    <cellStyle name="20% - Accent6 16 2" xfId="2333" xr:uid="{00000000-0005-0000-0000-000019090000}"/>
    <cellStyle name="20% - Accent6 17" xfId="2334" xr:uid="{00000000-0005-0000-0000-00001A090000}"/>
    <cellStyle name="20% - Accent6 18" xfId="2335" xr:uid="{00000000-0005-0000-0000-00001B090000}"/>
    <cellStyle name="20% - Accent6 19" xfId="2336" xr:uid="{00000000-0005-0000-0000-00001C090000}"/>
    <cellStyle name="20% - Accent6 2" xfId="2337" xr:uid="{00000000-0005-0000-0000-00001D090000}"/>
    <cellStyle name="20% - Accent6 2 10" xfId="2338" xr:uid="{00000000-0005-0000-0000-00001E090000}"/>
    <cellStyle name="20% - Accent6 2 11" xfId="2339" xr:uid="{00000000-0005-0000-0000-00001F090000}"/>
    <cellStyle name="20% - Accent6 2 2" xfId="2340" xr:uid="{00000000-0005-0000-0000-000020090000}"/>
    <cellStyle name="20% - Accent6 2 2 10" xfId="2341" xr:uid="{00000000-0005-0000-0000-000021090000}"/>
    <cellStyle name="20% - Accent6 2 2 2" xfId="2342" xr:uid="{00000000-0005-0000-0000-000022090000}"/>
    <cellStyle name="20% - Accent6 2 2 2 2" xfId="2343" xr:uid="{00000000-0005-0000-0000-000023090000}"/>
    <cellStyle name="20% - Accent6 2 2 2 2 2" xfId="2344" xr:uid="{00000000-0005-0000-0000-000024090000}"/>
    <cellStyle name="20% - Accent6 2 2 2 2 2 2" xfId="2345" xr:uid="{00000000-0005-0000-0000-000025090000}"/>
    <cellStyle name="20% - Accent6 2 2 2 2 2 3" xfId="2346" xr:uid="{00000000-0005-0000-0000-000026090000}"/>
    <cellStyle name="20% - Accent6 2 2 2 2 3" xfId="2347" xr:uid="{00000000-0005-0000-0000-000027090000}"/>
    <cellStyle name="20% - Accent6 2 2 2 2 4" xfId="2348" xr:uid="{00000000-0005-0000-0000-000028090000}"/>
    <cellStyle name="20% - Accent6 2 2 2 2 5" xfId="2349" xr:uid="{00000000-0005-0000-0000-000029090000}"/>
    <cellStyle name="20% - Accent6 2 2 2 2 6" xfId="2350" xr:uid="{00000000-0005-0000-0000-00002A090000}"/>
    <cellStyle name="20% - Accent6 2 2 2 3" xfId="2351" xr:uid="{00000000-0005-0000-0000-00002B090000}"/>
    <cellStyle name="20% - Accent6 2 2 2 3 2" xfId="2352" xr:uid="{00000000-0005-0000-0000-00002C090000}"/>
    <cellStyle name="20% - Accent6 2 2 2 3 2 2" xfId="2353" xr:uid="{00000000-0005-0000-0000-00002D090000}"/>
    <cellStyle name="20% - Accent6 2 2 2 3 3" xfId="2354" xr:uid="{00000000-0005-0000-0000-00002E090000}"/>
    <cellStyle name="20% - Accent6 2 2 2 3 4" xfId="2355" xr:uid="{00000000-0005-0000-0000-00002F090000}"/>
    <cellStyle name="20% - Accent6 2 2 2 3 5" xfId="2356" xr:uid="{00000000-0005-0000-0000-000030090000}"/>
    <cellStyle name="20% - Accent6 2 2 2 4" xfId="2357" xr:uid="{00000000-0005-0000-0000-000031090000}"/>
    <cellStyle name="20% - Accent6 2 2 2 4 2" xfId="2358" xr:uid="{00000000-0005-0000-0000-000032090000}"/>
    <cellStyle name="20% - Accent6 2 2 2 4 3" xfId="2359" xr:uid="{00000000-0005-0000-0000-000033090000}"/>
    <cellStyle name="20% - Accent6 2 2 2 4 4" xfId="2360" xr:uid="{00000000-0005-0000-0000-000034090000}"/>
    <cellStyle name="20% - Accent6 2 2 2 5" xfId="2361" xr:uid="{00000000-0005-0000-0000-000035090000}"/>
    <cellStyle name="20% - Accent6 2 2 2 5 2" xfId="2362" xr:uid="{00000000-0005-0000-0000-000036090000}"/>
    <cellStyle name="20% - Accent6 2 2 2 6" xfId="2363" xr:uid="{00000000-0005-0000-0000-000037090000}"/>
    <cellStyle name="20% - Accent6 2 2 2 7" xfId="2364" xr:uid="{00000000-0005-0000-0000-000038090000}"/>
    <cellStyle name="20% - Accent6 2 2 2 8" xfId="2365" xr:uid="{00000000-0005-0000-0000-000039090000}"/>
    <cellStyle name="20% - Accent6 2 2 2 9" xfId="2366" xr:uid="{00000000-0005-0000-0000-00003A090000}"/>
    <cellStyle name="20% - Accent6 2 2 3" xfId="2367" xr:uid="{00000000-0005-0000-0000-00003B090000}"/>
    <cellStyle name="20% - Accent6 2 2 3 2" xfId="2368" xr:uid="{00000000-0005-0000-0000-00003C090000}"/>
    <cellStyle name="20% - Accent6 2 2 3 2 2" xfId="2369" xr:uid="{00000000-0005-0000-0000-00003D090000}"/>
    <cellStyle name="20% - Accent6 2 2 3 2 3" xfId="2370" xr:uid="{00000000-0005-0000-0000-00003E090000}"/>
    <cellStyle name="20% - Accent6 2 2 3 3" xfId="2371" xr:uid="{00000000-0005-0000-0000-00003F090000}"/>
    <cellStyle name="20% - Accent6 2 2 3 4" xfId="2372" xr:uid="{00000000-0005-0000-0000-000040090000}"/>
    <cellStyle name="20% - Accent6 2 2 3 5" xfId="2373" xr:uid="{00000000-0005-0000-0000-000041090000}"/>
    <cellStyle name="20% - Accent6 2 2 3 6" xfId="2374" xr:uid="{00000000-0005-0000-0000-000042090000}"/>
    <cellStyle name="20% - Accent6 2 2 4" xfId="2375" xr:uid="{00000000-0005-0000-0000-000043090000}"/>
    <cellStyle name="20% - Accent6 2 2 4 2" xfId="2376" xr:uid="{00000000-0005-0000-0000-000044090000}"/>
    <cellStyle name="20% - Accent6 2 2 4 2 2" xfId="2377" xr:uid="{00000000-0005-0000-0000-000045090000}"/>
    <cellStyle name="20% - Accent6 2 2 4 3" xfId="2378" xr:uid="{00000000-0005-0000-0000-000046090000}"/>
    <cellStyle name="20% - Accent6 2 2 4 4" xfId="2379" xr:uid="{00000000-0005-0000-0000-000047090000}"/>
    <cellStyle name="20% - Accent6 2 2 4 5" xfId="2380" xr:uid="{00000000-0005-0000-0000-000048090000}"/>
    <cellStyle name="20% - Accent6 2 2 5" xfId="2381" xr:uid="{00000000-0005-0000-0000-000049090000}"/>
    <cellStyle name="20% - Accent6 2 2 5 2" xfId="2382" xr:uid="{00000000-0005-0000-0000-00004A090000}"/>
    <cellStyle name="20% - Accent6 2 2 5 3" xfId="2383" xr:uid="{00000000-0005-0000-0000-00004B090000}"/>
    <cellStyle name="20% - Accent6 2 2 5 4" xfId="2384" xr:uid="{00000000-0005-0000-0000-00004C090000}"/>
    <cellStyle name="20% - Accent6 2 2 6" xfId="2385" xr:uid="{00000000-0005-0000-0000-00004D090000}"/>
    <cellStyle name="20% - Accent6 2 2 6 2" xfId="2386" xr:uid="{00000000-0005-0000-0000-00004E090000}"/>
    <cellStyle name="20% - Accent6 2 2 7" xfId="2387" xr:uid="{00000000-0005-0000-0000-00004F090000}"/>
    <cellStyle name="20% - Accent6 2 2 8" xfId="2388" xr:uid="{00000000-0005-0000-0000-000050090000}"/>
    <cellStyle name="20% - Accent6 2 2 9" xfId="2389" xr:uid="{00000000-0005-0000-0000-000051090000}"/>
    <cellStyle name="20% - Accent6 2 3" xfId="2390" xr:uid="{00000000-0005-0000-0000-000052090000}"/>
    <cellStyle name="20% - Accent6 2 3 2" xfId="2391" xr:uid="{00000000-0005-0000-0000-000053090000}"/>
    <cellStyle name="20% - Accent6 2 3 2 2" xfId="2392" xr:uid="{00000000-0005-0000-0000-000054090000}"/>
    <cellStyle name="20% - Accent6 2 3 2 2 2" xfId="2393" xr:uid="{00000000-0005-0000-0000-000055090000}"/>
    <cellStyle name="20% - Accent6 2 3 2 2 3" xfId="2394" xr:uid="{00000000-0005-0000-0000-000056090000}"/>
    <cellStyle name="20% - Accent6 2 3 2 3" xfId="2395" xr:uid="{00000000-0005-0000-0000-000057090000}"/>
    <cellStyle name="20% - Accent6 2 3 2 4" xfId="2396" xr:uid="{00000000-0005-0000-0000-000058090000}"/>
    <cellStyle name="20% - Accent6 2 3 2 5" xfId="2397" xr:uid="{00000000-0005-0000-0000-000059090000}"/>
    <cellStyle name="20% - Accent6 2 3 2 6" xfId="2398" xr:uid="{00000000-0005-0000-0000-00005A090000}"/>
    <cellStyle name="20% - Accent6 2 3 3" xfId="2399" xr:uid="{00000000-0005-0000-0000-00005B090000}"/>
    <cellStyle name="20% - Accent6 2 3 3 2" xfId="2400" xr:uid="{00000000-0005-0000-0000-00005C090000}"/>
    <cellStyle name="20% - Accent6 2 3 3 2 2" xfId="2401" xr:uid="{00000000-0005-0000-0000-00005D090000}"/>
    <cellStyle name="20% - Accent6 2 3 3 3" xfId="2402" xr:uid="{00000000-0005-0000-0000-00005E090000}"/>
    <cellStyle name="20% - Accent6 2 3 3 4" xfId="2403" xr:uid="{00000000-0005-0000-0000-00005F090000}"/>
    <cellStyle name="20% - Accent6 2 3 3 5" xfId="2404" xr:uid="{00000000-0005-0000-0000-000060090000}"/>
    <cellStyle name="20% - Accent6 2 3 4" xfId="2405" xr:uid="{00000000-0005-0000-0000-000061090000}"/>
    <cellStyle name="20% - Accent6 2 3 4 2" xfId="2406" xr:uid="{00000000-0005-0000-0000-000062090000}"/>
    <cellStyle name="20% - Accent6 2 3 4 3" xfId="2407" xr:uid="{00000000-0005-0000-0000-000063090000}"/>
    <cellStyle name="20% - Accent6 2 3 4 4" xfId="2408" xr:uid="{00000000-0005-0000-0000-000064090000}"/>
    <cellStyle name="20% - Accent6 2 3 5" xfId="2409" xr:uid="{00000000-0005-0000-0000-000065090000}"/>
    <cellStyle name="20% - Accent6 2 3 5 2" xfId="2410" xr:uid="{00000000-0005-0000-0000-000066090000}"/>
    <cellStyle name="20% - Accent6 2 3 6" xfId="2411" xr:uid="{00000000-0005-0000-0000-000067090000}"/>
    <cellStyle name="20% - Accent6 2 3 7" xfId="2412" xr:uid="{00000000-0005-0000-0000-000068090000}"/>
    <cellStyle name="20% - Accent6 2 3 8" xfId="2413" xr:uid="{00000000-0005-0000-0000-000069090000}"/>
    <cellStyle name="20% - Accent6 2 3 9" xfId="2414" xr:uid="{00000000-0005-0000-0000-00006A090000}"/>
    <cellStyle name="20% - Accent6 2 4" xfId="2415" xr:uid="{00000000-0005-0000-0000-00006B090000}"/>
    <cellStyle name="20% - Accent6 2 4 2" xfId="2416" xr:uid="{00000000-0005-0000-0000-00006C090000}"/>
    <cellStyle name="20% - Accent6 2 4 2 2" xfId="2417" xr:uid="{00000000-0005-0000-0000-00006D090000}"/>
    <cellStyle name="20% - Accent6 2 4 2 3" xfId="2418" xr:uid="{00000000-0005-0000-0000-00006E090000}"/>
    <cellStyle name="20% - Accent6 2 4 3" xfId="2419" xr:uid="{00000000-0005-0000-0000-00006F090000}"/>
    <cellStyle name="20% - Accent6 2 4 4" xfId="2420" xr:uid="{00000000-0005-0000-0000-000070090000}"/>
    <cellStyle name="20% - Accent6 2 4 5" xfId="2421" xr:uid="{00000000-0005-0000-0000-000071090000}"/>
    <cellStyle name="20% - Accent6 2 4 6" xfId="2422" xr:uid="{00000000-0005-0000-0000-000072090000}"/>
    <cellStyle name="20% - Accent6 2 5" xfId="2423" xr:uid="{00000000-0005-0000-0000-000073090000}"/>
    <cellStyle name="20% - Accent6 2 5 2" xfId="2424" xr:uid="{00000000-0005-0000-0000-000074090000}"/>
    <cellStyle name="20% - Accent6 2 5 2 2" xfId="2425" xr:uid="{00000000-0005-0000-0000-000075090000}"/>
    <cellStyle name="20% - Accent6 2 5 3" xfId="2426" xr:uid="{00000000-0005-0000-0000-000076090000}"/>
    <cellStyle name="20% - Accent6 2 5 4" xfId="2427" xr:uid="{00000000-0005-0000-0000-000077090000}"/>
    <cellStyle name="20% - Accent6 2 5 5" xfId="2428" xr:uid="{00000000-0005-0000-0000-000078090000}"/>
    <cellStyle name="20% - Accent6 2 6" xfId="2429" xr:uid="{00000000-0005-0000-0000-000079090000}"/>
    <cellStyle name="20% - Accent6 2 6 2" xfId="2430" xr:uid="{00000000-0005-0000-0000-00007A090000}"/>
    <cellStyle name="20% - Accent6 2 6 2 2" xfId="2431" xr:uid="{00000000-0005-0000-0000-00007B090000}"/>
    <cellStyle name="20% - Accent6 2 6 3" xfId="2432" xr:uid="{00000000-0005-0000-0000-00007C090000}"/>
    <cellStyle name="20% - Accent6 2 6 4" xfId="2433" xr:uid="{00000000-0005-0000-0000-00007D090000}"/>
    <cellStyle name="20% - Accent6 2 6 5" xfId="2434" xr:uid="{00000000-0005-0000-0000-00007E090000}"/>
    <cellStyle name="20% - Accent6 2 7" xfId="2435" xr:uid="{00000000-0005-0000-0000-00007F090000}"/>
    <cellStyle name="20% - Accent6 2 7 2" xfId="2436" xr:uid="{00000000-0005-0000-0000-000080090000}"/>
    <cellStyle name="20% - Accent6 2 8" xfId="2437" xr:uid="{00000000-0005-0000-0000-000081090000}"/>
    <cellStyle name="20% - Accent6 2 9" xfId="2438" xr:uid="{00000000-0005-0000-0000-000082090000}"/>
    <cellStyle name="20% - Accent6 3" xfId="2439" xr:uid="{00000000-0005-0000-0000-000083090000}"/>
    <cellStyle name="20% - Accent6 3 10" xfId="2440" xr:uid="{00000000-0005-0000-0000-000084090000}"/>
    <cellStyle name="20% - Accent6 3 2" xfId="2441" xr:uid="{00000000-0005-0000-0000-000085090000}"/>
    <cellStyle name="20% - Accent6 3 2 2" xfId="2442" xr:uid="{00000000-0005-0000-0000-000086090000}"/>
    <cellStyle name="20% - Accent6 3 2 2 2" xfId="2443" xr:uid="{00000000-0005-0000-0000-000087090000}"/>
    <cellStyle name="20% - Accent6 3 2 2 2 2" xfId="2444" xr:uid="{00000000-0005-0000-0000-000088090000}"/>
    <cellStyle name="20% - Accent6 3 2 2 2 3" xfId="2445" xr:uid="{00000000-0005-0000-0000-000089090000}"/>
    <cellStyle name="20% - Accent6 3 2 2 3" xfId="2446" xr:uid="{00000000-0005-0000-0000-00008A090000}"/>
    <cellStyle name="20% - Accent6 3 2 2 4" xfId="2447" xr:uid="{00000000-0005-0000-0000-00008B090000}"/>
    <cellStyle name="20% - Accent6 3 2 2 5" xfId="2448" xr:uid="{00000000-0005-0000-0000-00008C090000}"/>
    <cellStyle name="20% - Accent6 3 2 2 6" xfId="2449" xr:uid="{00000000-0005-0000-0000-00008D090000}"/>
    <cellStyle name="20% - Accent6 3 2 3" xfId="2450" xr:uid="{00000000-0005-0000-0000-00008E090000}"/>
    <cellStyle name="20% - Accent6 3 2 3 2" xfId="2451" xr:uid="{00000000-0005-0000-0000-00008F090000}"/>
    <cellStyle name="20% - Accent6 3 2 3 2 2" xfId="2452" xr:uid="{00000000-0005-0000-0000-000090090000}"/>
    <cellStyle name="20% - Accent6 3 2 3 3" xfId="2453" xr:uid="{00000000-0005-0000-0000-000091090000}"/>
    <cellStyle name="20% - Accent6 3 2 3 4" xfId="2454" xr:uid="{00000000-0005-0000-0000-000092090000}"/>
    <cellStyle name="20% - Accent6 3 2 3 5" xfId="2455" xr:uid="{00000000-0005-0000-0000-000093090000}"/>
    <cellStyle name="20% - Accent6 3 2 4" xfId="2456" xr:uid="{00000000-0005-0000-0000-000094090000}"/>
    <cellStyle name="20% - Accent6 3 2 4 2" xfId="2457" xr:uid="{00000000-0005-0000-0000-000095090000}"/>
    <cellStyle name="20% - Accent6 3 2 4 3" xfId="2458" xr:uid="{00000000-0005-0000-0000-000096090000}"/>
    <cellStyle name="20% - Accent6 3 2 4 4" xfId="2459" xr:uid="{00000000-0005-0000-0000-000097090000}"/>
    <cellStyle name="20% - Accent6 3 2 5" xfId="2460" xr:uid="{00000000-0005-0000-0000-000098090000}"/>
    <cellStyle name="20% - Accent6 3 2 5 2" xfId="2461" xr:uid="{00000000-0005-0000-0000-000099090000}"/>
    <cellStyle name="20% - Accent6 3 2 6" xfId="2462" xr:uid="{00000000-0005-0000-0000-00009A090000}"/>
    <cellStyle name="20% - Accent6 3 2 7" xfId="2463" xr:uid="{00000000-0005-0000-0000-00009B090000}"/>
    <cellStyle name="20% - Accent6 3 2 8" xfId="2464" xr:uid="{00000000-0005-0000-0000-00009C090000}"/>
    <cellStyle name="20% - Accent6 3 2 9" xfId="2465" xr:uid="{00000000-0005-0000-0000-00009D090000}"/>
    <cellStyle name="20% - Accent6 3 3" xfId="2466" xr:uid="{00000000-0005-0000-0000-00009E090000}"/>
    <cellStyle name="20% - Accent6 3 3 2" xfId="2467" xr:uid="{00000000-0005-0000-0000-00009F090000}"/>
    <cellStyle name="20% - Accent6 3 3 2 2" xfId="2468" xr:uid="{00000000-0005-0000-0000-0000A0090000}"/>
    <cellStyle name="20% - Accent6 3 3 2 3" xfId="2469" xr:uid="{00000000-0005-0000-0000-0000A1090000}"/>
    <cellStyle name="20% - Accent6 3 3 3" xfId="2470" xr:uid="{00000000-0005-0000-0000-0000A2090000}"/>
    <cellStyle name="20% - Accent6 3 3 4" xfId="2471" xr:uid="{00000000-0005-0000-0000-0000A3090000}"/>
    <cellStyle name="20% - Accent6 3 3 5" xfId="2472" xr:uid="{00000000-0005-0000-0000-0000A4090000}"/>
    <cellStyle name="20% - Accent6 3 3 6" xfId="2473" xr:uid="{00000000-0005-0000-0000-0000A5090000}"/>
    <cellStyle name="20% - Accent6 3 4" xfId="2474" xr:uid="{00000000-0005-0000-0000-0000A6090000}"/>
    <cellStyle name="20% - Accent6 3 4 2" xfId="2475" xr:uid="{00000000-0005-0000-0000-0000A7090000}"/>
    <cellStyle name="20% - Accent6 3 4 2 2" xfId="2476" xr:uid="{00000000-0005-0000-0000-0000A8090000}"/>
    <cellStyle name="20% - Accent6 3 4 3" xfId="2477" xr:uid="{00000000-0005-0000-0000-0000A9090000}"/>
    <cellStyle name="20% - Accent6 3 4 4" xfId="2478" xr:uid="{00000000-0005-0000-0000-0000AA090000}"/>
    <cellStyle name="20% - Accent6 3 4 5" xfId="2479" xr:uid="{00000000-0005-0000-0000-0000AB090000}"/>
    <cellStyle name="20% - Accent6 3 5" xfId="2480" xr:uid="{00000000-0005-0000-0000-0000AC090000}"/>
    <cellStyle name="20% - Accent6 3 5 2" xfId="2481" xr:uid="{00000000-0005-0000-0000-0000AD090000}"/>
    <cellStyle name="20% - Accent6 3 5 2 2" xfId="2482" xr:uid="{00000000-0005-0000-0000-0000AE090000}"/>
    <cellStyle name="20% - Accent6 3 5 3" xfId="2483" xr:uid="{00000000-0005-0000-0000-0000AF090000}"/>
    <cellStyle name="20% - Accent6 3 5 4" xfId="2484" xr:uid="{00000000-0005-0000-0000-0000B0090000}"/>
    <cellStyle name="20% - Accent6 3 5 5" xfId="2485" xr:uid="{00000000-0005-0000-0000-0000B1090000}"/>
    <cellStyle name="20% - Accent6 3 6" xfId="2486" xr:uid="{00000000-0005-0000-0000-0000B2090000}"/>
    <cellStyle name="20% - Accent6 3 6 2" xfId="2487" xr:uid="{00000000-0005-0000-0000-0000B3090000}"/>
    <cellStyle name="20% - Accent6 3 7" xfId="2488" xr:uid="{00000000-0005-0000-0000-0000B4090000}"/>
    <cellStyle name="20% - Accent6 3 8" xfId="2489" xr:uid="{00000000-0005-0000-0000-0000B5090000}"/>
    <cellStyle name="20% - Accent6 3 9" xfId="2490" xr:uid="{00000000-0005-0000-0000-0000B6090000}"/>
    <cellStyle name="20% - Accent6 4" xfId="2491" xr:uid="{00000000-0005-0000-0000-0000B7090000}"/>
    <cellStyle name="20% - Accent6 4 10" xfId="2492" xr:uid="{00000000-0005-0000-0000-0000B8090000}"/>
    <cellStyle name="20% - Accent6 4 2" xfId="2493" xr:uid="{00000000-0005-0000-0000-0000B9090000}"/>
    <cellStyle name="20% - Accent6 4 2 2" xfId="2494" xr:uid="{00000000-0005-0000-0000-0000BA090000}"/>
    <cellStyle name="20% - Accent6 4 2 2 2" xfId="2495" xr:uid="{00000000-0005-0000-0000-0000BB090000}"/>
    <cellStyle name="20% - Accent6 4 2 2 2 2" xfId="2496" xr:uid="{00000000-0005-0000-0000-0000BC090000}"/>
    <cellStyle name="20% - Accent6 4 2 2 2 3" xfId="2497" xr:uid="{00000000-0005-0000-0000-0000BD090000}"/>
    <cellStyle name="20% - Accent6 4 2 2 3" xfId="2498" xr:uid="{00000000-0005-0000-0000-0000BE090000}"/>
    <cellStyle name="20% - Accent6 4 2 2 4" xfId="2499" xr:uid="{00000000-0005-0000-0000-0000BF090000}"/>
    <cellStyle name="20% - Accent6 4 2 2 5" xfId="2500" xr:uid="{00000000-0005-0000-0000-0000C0090000}"/>
    <cellStyle name="20% - Accent6 4 2 2 6" xfId="2501" xr:uid="{00000000-0005-0000-0000-0000C1090000}"/>
    <cellStyle name="20% - Accent6 4 2 3" xfId="2502" xr:uid="{00000000-0005-0000-0000-0000C2090000}"/>
    <cellStyle name="20% - Accent6 4 2 3 2" xfId="2503" xr:uid="{00000000-0005-0000-0000-0000C3090000}"/>
    <cellStyle name="20% - Accent6 4 2 3 2 2" xfId="2504" xr:uid="{00000000-0005-0000-0000-0000C4090000}"/>
    <cellStyle name="20% - Accent6 4 2 3 3" xfId="2505" xr:uid="{00000000-0005-0000-0000-0000C5090000}"/>
    <cellStyle name="20% - Accent6 4 2 3 4" xfId="2506" xr:uid="{00000000-0005-0000-0000-0000C6090000}"/>
    <cellStyle name="20% - Accent6 4 2 3 5" xfId="2507" xr:uid="{00000000-0005-0000-0000-0000C7090000}"/>
    <cellStyle name="20% - Accent6 4 2 4" xfId="2508" xr:uid="{00000000-0005-0000-0000-0000C8090000}"/>
    <cellStyle name="20% - Accent6 4 2 4 2" xfId="2509" xr:uid="{00000000-0005-0000-0000-0000C9090000}"/>
    <cellStyle name="20% - Accent6 4 2 4 3" xfId="2510" xr:uid="{00000000-0005-0000-0000-0000CA090000}"/>
    <cellStyle name="20% - Accent6 4 2 4 4" xfId="2511" xr:uid="{00000000-0005-0000-0000-0000CB090000}"/>
    <cellStyle name="20% - Accent6 4 2 5" xfId="2512" xr:uid="{00000000-0005-0000-0000-0000CC090000}"/>
    <cellStyle name="20% - Accent6 4 2 5 2" xfId="2513" xr:uid="{00000000-0005-0000-0000-0000CD090000}"/>
    <cellStyle name="20% - Accent6 4 2 6" xfId="2514" xr:uid="{00000000-0005-0000-0000-0000CE090000}"/>
    <cellStyle name="20% - Accent6 4 2 7" xfId="2515" xr:uid="{00000000-0005-0000-0000-0000CF090000}"/>
    <cellStyle name="20% - Accent6 4 2 8" xfId="2516" xr:uid="{00000000-0005-0000-0000-0000D0090000}"/>
    <cellStyle name="20% - Accent6 4 2 9" xfId="2517" xr:uid="{00000000-0005-0000-0000-0000D1090000}"/>
    <cellStyle name="20% - Accent6 4 3" xfId="2518" xr:uid="{00000000-0005-0000-0000-0000D2090000}"/>
    <cellStyle name="20% - Accent6 4 3 2" xfId="2519" xr:uid="{00000000-0005-0000-0000-0000D3090000}"/>
    <cellStyle name="20% - Accent6 4 3 2 2" xfId="2520" xr:uid="{00000000-0005-0000-0000-0000D4090000}"/>
    <cellStyle name="20% - Accent6 4 3 2 3" xfId="2521" xr:uid="{00000000-0005-0000-0000-0000D5090000}"/>
    <cellStyle name="20% - Accent6 4 3 3" xfId="2522" xr:uid="{00000000-0005-0000-0000-0000D6090000}"/>
    <cellStyle name="20% - Accent6 4 3 4" xfId="2523" xr:uid="{00000000-0005-0000-0000-0000D7090000}"/>
    <cellStyle name="20% - Accent6 4 3 5" xfId="2524" xr:uid="{00000000-0005-0000-0000-0000D8090000}"/>
    <cellStyle name="20% - Accent6 4 3 6" xfId="2525" xr:uid="{00000000-0005-0000-0000-0000D9090000}"/>
    <cellStyle name="20% - Accent6 4 4" xfId="2526" xr:uid="{00000000-0005-0000-0000-0000DA090000}"/>
    <cellStyle name="20% - Accent6 4 4 2" xfId="2527" xr:uid="{00000000-0005-0000-0000-0000DB090000}"/>
    <cellStyle name="20% - Accent6 4 4 2 2" xfId="2528" xr:uid="{00000000-0005-0000-0000-0000DC090000}"/>
    <cellStyle name="20% - Accent6 4 4 3" xfId="2529" xr:uid="{00000000-0005-0000-0000-0000DD090000}"/>
    <cellStyle name="20% - Accent6 4 4 4" xfId="2530" xr:uid="{00000000-0005-0000-0000-0000DE090000}"/>
    <cellStyle name="20% - Accent6 4 4 5" xfId="2531" xr:uid="{00000000-0005-0000-0000-0000DF090000}"/>
    <cellStyle name="20% - Accent6 4 5" xfId="2532" xr:uid="{00000000-0005-0000-0000-0000E0090000}"/>
    <cellStyle name="20% - Accent6 4 5 2" xfId="2533" xr:uid="{00000000-0005-0000-0000-0000E1090000}"/>
    <cellStyle name="20% - Accent6 4 5 2 2" xfId="2534" xr:uid="{00000000-0005-0000-0000-0000E2090000}"/>
    <cellStyle name="20% - Accent6 4 5 3" xfId="2535" xr:uid="{00000000-0005-0000-0000-0000E3090000}"/>
    <cellStyle name="20% - Accent6 4 5 4" xfId="2536" xr:uid="{00000000-0005-0000-0000-0000E4090000}"/>
    <cellStyle name="20% - Accent6 4 5 5" xfId="2537" xr:uid="{00000000-0005-0000-0000-0000E5090000}"/>
    <cellStyle name="20% - Accent6 4 6" xfId="2538" xr:uid="{00000000-0005-0000-0000-0000E6090000}"/>
    <cellStyle name="20% - Accent6 4 6 2" xfId="2539" xr:uid="{00000000-0005-0000-0000-0000E7090000}"/>
    <cellStyle name="20% - Accent6 4 7" xfId="2540" xr:uid="{00000000-0005-0000-0000-0000E8090000}"/>
    <cellStyle name="20% - Accent6 4 8" xfId="2541" xr:uid="{00000000-0005-0000-0000-0000E9090000}"/>
    <cellStyle name="20% - Accent6 4 9" xfId="2542" xr:uid="{00000000-0005-0000-0000-0000EA090000}"/>
    <cellStyle name="20% - Accent6 5" xfId="2543" xr:uid="{00000000-0005-0000-0000-0000EB090000}"/>
    <cellStyle name="20% - Accent6 5 10" xfId="2544" xr:uid="{00000000-0005-0000-0000-0000EC090000}"/>
    <cellStyle name="20% - Accent6 5 2" xfId="2545" xr:uid="{00000000-0005-0000-0000-0000ED090000}"/>
    <cellStyle name="20% - Accent6 5 2 2" xfId="2546" xr:uid="{00000000-0005-0000-0000-0000EE090000}"/>
    <cellStyle name="20% - Accent6 5 2 2 2" xfId="2547" xr:uid="{00000000-0005-0000-0000-0000EF090000}"/>
    <cellStyle name="20% - Accent6 5 2 2 2 2" xfId="2548" xr:uid="{00000000-0005-0000-0000-0000F0090000}"/>
    <cellStyle name="20% - Accent6 5 2 2 2 3" xfId="2549" xr:uid="{00000000-0005-0000-0000-0000F1090000}"/>
    <cellStyle name="20% - Accent6 5 2 2 3" xfId="2550" xr:uid="{00000000-0005-0000-0000-0000F2090000}"/>
    <cellStyle name="20% - Accent6 5 2 2 4" xfId="2551" xr:uid="{00000000-0005-0000-0000-0000F3090000}"/>
    <cellStyle name="20% - Accent6 5 2 2 5" xfId="2552" xr:uid="{00000000-0005-0000-0000-0000F4090000}"/>
    <cellStyle name="20% - Accent6 5 2 2 6" xfId="2553" xr:uid="{00000000-0005-0000-0000-0000F5090000}"/>
    <cellStyle name="20% - Accent6 5 2 3" xfId="2554" xr:uid="{00000000-0005-0000-0000-0000F6090000}"/>
    <cellStyle name="20% - Accent6 5 2 3 2" xfId="2555" xr:uid="{00000000-0005-0000-0000-0000F7090000}"/>
    <cellStyle name="20% - Accent6 5 2 3 2 2" xfId="2556" xr:uid="{00000000-0005-0000-0000-0000F8090000}"/>
    <cellStyle name="20% - Accent6 5 2 3 3" xfId="2557" xr:uid="{00000000-0005-0000-0000-0000F9090000}"/>
    <cellStyle name="20% - Accent6 5 2 3 4" xfId="2558" xr:uid="{00000000-0005-0000-0000-0000FA090000}"/>
    <cellStyle name="20% - Accent6 5 2 3 5" xfId="2559" xr:uid="{00000000-0005-0000-0000-0000FB090000}"/>
    <cellStyle name="20% - Accent6 5 2 4" xfId="2560" xr:uid="{00000000-0005-0000-0000-0000FC090000}"/>
    <cellStyle name="20% - Accent6 5 2 4 2" xfId="2561" xr:uid="{00000000-0005-0000-0000-0000FD090000}"/>
    <cellStyle name="20% - Accent6 5 2 4 3" xfId="2562" xr:uid="{00000000-0005-0000-0000-0000FE090000}"/>
    <cellStyle name="20% - Accent6 5 2 4 4" xfId="2563" xr:uid="{00000000-0005-0000-0000-0000FF090000}"/>
    <cellStyle name="20% - Accent6 5 2 5" xfId="2564" xr:uid="{00000000-0005-0000-0000-0000000A0000}"/>
    <cellStyle name="20% - Accent6 5 2 5 2" xfId="2565" xr:uid="{00000000-0005-0000-0000-0000010A0000}"/>
    <cellStyle name="20% - Accent6 5 2 6" xfId="2566" xr:uid="{00000000-0005-0000-0000-0000020A0000}"/>
    <cellStyle name="20% - Accent6 5 2 7" xfId="2567" xr:uid="{00000000-0005-0000-0000-0000030A0000}"/>
    <cellStyle name="20% - Accent6 5 2 8" xfId="2568" xr:uid="{00000000-0005-0000-0000-0000040A0000}"/>
    <cellStyle name="20% - Accent6 5 2 9" xfId="2569" xr:uid="{00000000-0005-0000-0000-0000050A0000}"/>
    <cellStyle name="20% - Accent6 5 3" xfId="2570" xr:uid="{00000000-0005-0000-0000-0000060A0000}"/>
    <cellStyle name="20% - Accent6 5 3 2" xfId="2571" xr:uid="{00000000-0005-0000-0000-0000070A0000}"/>
    <cellStyle name="20% - Accent6 5 3 2 2" xfId="2572" xr:uid="{00000000-0005-0000-0000-0000080A0000}"/>
    <cellStyle name="20% - Accent6 5 3 2 3" xfId="2573" xr:uid="{00000000-0005-0000-0000-0000090A0000}"/>
    <cellStyle name="20% - Accent6 5 3 3" xfId="2574" xr:uid="{00000000-0005-0000-0000-00000A0A0000}"/>
    <cellStyle name="20% - Accent6 5 3 4" xfId="2575" xr:uid="{00000000-0005-0000-0000-00000B0A0000}"/>
    <cellStyle name="20% - Accent6 5 3 5" xfId="2576" xr:uid="{00000000-0005-0000-0000-00000C0A0000}"/>
    <cellStyle name="20% - Accent6 5 3 6" xfId="2577" xr:uid="{00000000-0005-0000-0000-00000D0A0000}"/>
    <cellStyle name="20% - Accent6 5 4" xfId="2578" xr:uid="{00000000-0005-0000-0000-00000E0A0000}"/>
    <cellStyle name="20% - Accent6 5 4 2" xfId="2579" xr:uid="{00000000-0005-0000-0000-00000F0A0000}"/>
    <cellStyle name="20% - Accent6 5 4 2 2" xfId="2580" xr:uid="{00000000-0005-0000-0000-0000100A0000}"/>
    <cellStyle name="20% - Accent6 5 4 3" xfId="2581" xr:uid="{00000000-0005-0000-0000-0000110A0000}"/>
    <cellStyle name="20% - Accent6 5 4 4" xfId="2582" xr:uid="{00000000-0005-0000-0000-0000120A0000}"/>
    <cellStyle name="20% - Accent6 5 4 5" xfId="2583" xr:uid="{00000000-0005-0000-0000-0000130A0000}"/>
    <cellStyle name="20% - Accent6 5 5" xfId="2584" xr:uid="{00000000-0005-0000-0000-0000140A0000}"/>
    <cellStyle name="20% - Accent6 5 5 2" xfId="2585" xr:uid="{00000000-0005-0000-0000-0000150A0000}"/>
    <cellStyle name="20% - Accent6 5 5 3" xfId="2586" xr:uid="{00000000-0005-0000-0000-0000160A0000}"/>
    <cellStyle name="20% - Accent6 5 5 4" xfId="2587" xr:uid="{00000000-0005-0000-0000-0000170A0000}"/>
    <cellStyle name="20% - Accent6 5 6" xfId="2588" xr:uid="{00000000-0005-0000-0000-0000180A0000}"/>
    <cellStyle name="20% - Accent6 5 6 2" xfId="2589" xr:uid="{00000000-0005-0000-0000-0000190A0000}"/>
    <cellStyle name="20% - Accent6 5 7" xfId="2590" xr:uid="{00000000-0005-0000-0000-00001A0A0000}"/>
    <cellStyle name="20% - Accent6 5 8" xfId="2591" xr:uid="{00000000-0005-0000-0000-00001B0A0000}"/>
    <cellStyle name="20% - Accent6 5 9" xfId="2592" xr:uid="{00000000-0005-0000-0000-00001C0A0000}"/>
    <cellStyle name="20% - Accent6 6" xfId="2593" xr:uid="{00000000-0005-0000-0000-00001D0A0000}"/>
    <cellStyle name="20% - Accent6 6 10" xfId="2594" xr:uid="{00000000-0005-0000-0000-00001E0A0000}"/>
    <cellStyle name="20% - Accent6 6 2" xfId="2595" xr:uid="{00000000-0005-0000-0000-00001F0A0000}"/>
    <cellStyle name="20% - Accent6 6 2 2" xfId="2596" xr:uid="{00000000-0005-0000-0000-0000200A0000}"/>
    <cellStyle name="20% - Accent6 6 2 2 2" xfId="2597" xr:uid="{00000000-0005-0000-0000-0000210A0000}"/>
    <cellStyle name="20% - Accent6 6 2 2 2 2" xfId="2598" xr:uid="{00000000-0005-0000-0000-0000220A0000}"/>
    <cellStyle name="20% - Accent6 6 2 2 2 3" xfId="2599" xr:uid="{00000000-0005-0000-0000-0000230A0000}"/>
    <cellStyle name="20% - Accent6 6 2 2 3" xfId="2600" xr:uid="{00000000-0005-0000-0000-0000240A0000}"/>
    <cellStyle name="20% - Accent6 6 2 2 4" xfId="2601" xr:uid="{00000000-0005-0000-0000-0000250A0000}"/>
    <cellStyle name="20% - Accent6 6 2 2 5" xfId="2602" xr:uid="{00000000-0005-0000-0000-0000260A0000}"/>
    <cellStyle name="20% - Accent6 6 2 2 6" xfId="2603" xr:uid="{00000000-0005-0000-0000-0000270A0000}"/>
    <cellStyle name="20% - Accent6 6 2 3" xfId="2604" xr:uid="{00000000-0005-0000-0000-0000280A0000}"/>
    <cellStyle name="20% - Accent6 6 2 3 2" xfId="2605" xr:uid="{00000000-0005-0000-0000-0000290A0000}"/>
    <cellStyle name="20% - Accent6 6 2 3 2 2" xfId="2606" xr:uid="{00000000-0005-0000-0000-00002A0A0000}"/>
    <cellStyle name="20% - Accent6 6 2 3 3" xfId="2607" xr:uid="{00000000-0005-0000-0000-00002B0A0000}"/>
    <cellStyle name="20% - Accent6 6 2 3 4" xfId="2608" xr:uid="{00000000-0005-0000-0000-00002C0A0000}"/>
    <cellStyle name="20% - Accent6 6 2 3 5" xfId="2609" xr:uid="{00000000-0005-0000-0000-00002D0A0000}"/>
    <cellStyle name="20% - Accent6 6 2 4" xfId="2610" xr:uid="{00000000-0005-0000-0000-00002E0A0000}"/>
    <cellStyle name="20% - Accent6 6 2 4 2" xfId="2611" xr:uid="{00000000-0005-0000-0000-00002F0A0000}"/>
    <cellStyle name="20% - Accent6 6 2 4 3" xfId="2612" xr:uid="{00000000-0005-0000-0000-0000300A0000}"/>
    <cellStyle name="20% - Accent6 6 2 4 4" xfId="2613" xr:uid="{00000000-0005-0000-0000-0000310A0000}"/>
    <cellStyle name="20% - Accent6 6 2 5" xfId="2614" xr:uid="{00000000-0005-0000-0000-0000320A0000}"/>
    <cellStyle name="20% - Accent6 6 2 5 2" xfId="2615" xr:uid="{00000000-0005-0000-0000-0000330A0000}"/>
    <cellStyle name="20% - Accent6 6 2 6" xfId="2616" xr:uid="{00000000-0005-0000-0000-0000340A0000}"/>
    <cellStyle name="20% - Accent6 6 2 7" xfId="2617" xr:uid="{00000000-0005-0000-0000-0000350A0000}"/>
    <cellStyle name="20% - Accent6 6 2 8" xfId="2618" xr:uid="{00000000-0005-0000-0000-0000360A0000}"/>
    <cellStyle name="20% - Accent6 6 2 9" xfId="2619" xr:uid="{00000000-0005-0000-0000-0000370A0000}"/>
    <cellStyle name="20% - Accent6 6 3" xfId="2620" xr:uid="{00000000-0005-0000-0000-0000380A0000}"/>
    <cellStyle name="20% - Accent6 6 3 2" xfId="2621" xr:uid="{00000000-0005-0000-0000-0000390A0000}"/>
    <cellStyle name="20% - Accent6 6 3 2 2" xfId="2622" xr:uid="{00000000-0005-0000-0000-00003A0A0000}"/>
    <cellStyle name="20% - Accent6 6 3 2 3" xfId="2623" xr:uid="{00000000-0005-0000-0000-00003B0A0000}"/>
    <cellStyle name="20% - Accent6 6 3 3" xfId="2624" xr:uid="{00000000-0005-0000-0000-00003C0A0000}"/>
    <cellStyle name="20% - Accent6 6 3 4" xfId="2625" xr:uid="{00000000-0005-0000-0000-00003D0A0000}"/>
    <cellStyle name="20% - Accent6 6 3 5" xfId="2626" xr:uid="{00000000-0005-0000-0000-00003E0A0000}"/>
    <cellStyle name="20% - Accent6 6 3 6" xfId="2627" xr:uid="{00000000-0005-0000-0000-00003F0A0000}"/>
    <cellStyle name="20% - Accent6 6 4" xfId="2628" xr:uid="{00000000-0005-0000-0000-0000400A0000}"/>
    <cellStyle name="20% - Accent6 6 4 2" xfId="2629" xr:uid="{00000000-0005-0000-0000-0000410A0000}"/>
    <cellStyle name="20% - Accent6 6 4 2 2" xfId="2630" xr:uid="{00000000-0005-0000-0000-0000420A0000}"/>
    <cellStyle name="20% - Accent6 6 4 3" xfId="2631" xr:uid="{00000000-0005-0000-0000-0000430A0000}"/>
    <cellStyle name="20% - Accent6 6 4 4" xfId="2632" xr:uid="{00000000-0005-0000-0000-0000440A0000}"/>
    <cellStyle name="20% - Accent6 6 4 5" xfId="2633" xr:uid="{00000000-0005-0000-0000-0000450A0000}"/>
    <cellStyle name="20% - Accent6 6 5" xfId="2634" xr:uid="{00000000-0005-0000-0000-0000460A0000}"/>
    <cellStyle name="20% - Accent6 6 5 2" xfId="2635" xr:uid="{00000000-0005-0000-0000-0000470A0000}"/>
    <cellStyle name="20% - Accent6 6 5 3" xfId="2636" xr:uid="{00000000-0005-0000-0000-0000480A0000}"/>
    <cellStyle name="20% - Accent6 6 5 4" xfId="2637" xr:uid="{00000000-0005-0000-0000-0000490A0000}"/>
    <cellStyle name="20% - Accent6 6 6" xfId="2638" xr:uid="{00000000-0005-0000-0000-00004A0A0000}"/>
    <cellStyle name="20% - Accent6 6 6 2" xfId="2639" xr:uid="{00000000-0005-0000-0000-00004B0A0000}"/>
    <cellStyle name="20% - Accent6 6 7" xfId="2640" xr:uid="{00000000-0005-0000-0000-00004C0A0000}"/>
    <cellStyle name="20% - Accent6 6 8" xfId="2641" xr:uid="{00000000-0005-0000-0000-00004D0A0000}"/>
    <cellStyle name="20% - Accent6 6 9" xfId="2642" xr:uid="{00000000-0005-0000-0000-00004E0A0000}"/>
    <cellStyle name="20% - Accent6 7" xfId="2643" xr:uid="{00000000-0005-0000-0000-00004F0A0000}"/>
    <cellStyle name="20% - Accent6 7 2" xfId="2644" xr:uid="{00000000-0005-0000-0000-0000500A0000}"/>
    <cellStyle name="20% - Accent6 7 2 2" xfId="2645" xr:uid="{00000000-0005-0000-0000-0000510A0000}"/>
    <cellStyle name="20% - Accent6 7 2 2 2" xfId="2646" xr:uid="{00000000-0005-0000-0000-0000520A0000}"/>
    <cellStyle name="20% - Accent6 7 2 2 3" xfId="2647" xr:uid="{00000000-0005-0000-0000-0000530A0000}"/>
    <cellStyle name="20% - Accent6 7 2 3" xfId="2648" xr:uid="{00000000-0005-0000-0000-0000540A0000}"/>
    <cellStyle name="20% - Accent6 7 2 4" xfId="2649" xr:uid="{00000000-0005-0000-0000-0000550A0000}"/>
    <cellStyle name="20% - Accent6 7 2 5" xfId="2650" xr:uid="{00000000-0005-0000-0000-0000560A0000}"/>
    <cellStyle name="20% - Accent6 7 2 6" xfId="2651" xr:uid="{00000000-0005-0000-0000-0000570A0000}"/>
    <cellStyle name="20% - Accent6 7 3" xfId="2652" xr:uid="{00000000-0005-0000-0000-0000580A0000}"/>
    <cellStyle name="20% - Accent6 7 3 2" xfId="2653" xr:uid="{00000000-0005-0000-0000-0000590A0000}"/>
    <cellStyle name="20% - Accent6 7 3 2 2" xfId="2654" xr:uid="{00000000-0005-0000-0000-00005A0A0000}"/>
    <cellStyle name="20% - Accent6 7 3 3" xfId="2655" xr:uid="{00000000-0005-0000-0000-00005B0A0000}"/>
    <cellStyle name="20% - Accent6 7 3 4" xfId="2656" xr:uid="{00000000-0005-0000-0000-00005C0A0000}"/>
    <cellStyle name="20% - Accent6 7 3 5" xfId="2657" xr:uid="{00000000-0005-0000-0000-00005D0A0000}"/>
    <cellStyle name="20% - Accent6 7 4" xfId="2658" xr:uid="{00000000-0005-0000-0000-00005E0A0000}"/>
    <cellStyle name="20% - Accent6 7 4 2" xfId="2659" xr:uid="{00000000-0005-0000-0000-00005F0A0000}"/>
    <cellStyle name="20% - Accent6 7 4 3" xfId="2660" xr:uid="{00000000-0005-0000-0000-0000600A0000}"/>
    <cellStyle name="20% - Accent6 7 4 4" xfId="2661" xr:uid="{00000000-0005-0000-0000-0000610A0000}"/>
    <cellStyle name="20% - Accent6 7 5" xfId="2662" xr:uid="{00000000-0005-0000-0000-0000620A0000}"/>
    <cellStyle name="20% - Accent6 7 5 2" xfId="2663" xr:uid="{00000000-0005-0000-0000-0000630A0000}"/>
    <cellStyle name="20% - Accent6 7 6" xfId="2664" xr:uid="{00000000-0005-0000-0000-0000640A0000}"/>
    <cellStyle name="20% - Accent6 7 7" xfId="2665" xr:uid="{00000000-0005-0000-0000-0000650A0000}"/>
    <cellStyle name="20% - Accent6 7 8" xfId="2666" xr:uid="{00000000-0005-0000-0000-0000660A0000}"/>
    <cellStyle name="20% - Accent6 7 9" xfId="2667" xr:uid="{00000000-0005-0000-0000-0000670A0000}"/>
    <cellStyle name="20% - Accent6 8" xfId="2668" xr:uid="{00000000-0005-0000-0000-0000680A0000}"/>
    <cellStyle name="20% - Accent6 8 2" xfId="2669" xr:uid="{00000000-0005-0000-0000-0000690A0000}"/>
    <cellStyle name="20% - Accent6 8 2 2" xfId="2670" xr:uid="{00000000-0005-0000-0000-00006A0A0000}"/>
    <cellStyle name="20% - Accent6 8 2 2 2" xfId="2671" xr:uid="{00000000-0005-0000-0000-00006B0A0000}"/>
    <cellStyle name="20% - Accent6 8 2 2 3" xfId="2672" xr:uid="{00000000-0005-0000-0000-00006C0A0000}"/>
    <cellStyle name="20% - Accent6 8 2 3" xfId="2673" xr:uid="{00000000-0005-0000-0000-00006D0A0000}"/>
    <cellStyle name="20% - Accent6 8 2 4" xfId="2674" xr:uid="{00000000-0005-0000-0000-00006E0A0000}"/>
    <cellStyle name="20% - Accent6 8 2 5" xfId="2675" xr:uid="{00000000-0005-0000-0000-00006F0A0000}"/>
    <cellStyle name="20% - Accent6 8 2 6" xfId="2676" xr:uid="{00000000-0005-0000-0000-0000700A0000}"/>
    <cellStyle name="20% - Accent6 8 3" xfId="2677" xr:uid="{00000000-0005-0000-0000-0000710A0000}"/>
    <cellStyle name="20% - Accent6 8 3 2" xfId="2678" xr:uid="{00000000-0005-0000-0000-0000720A0000}"/>
    <cellStyle name="20% - Accent6 8 3 2 2" xfId="2679" xr:uid="{00000000-0005-0000-0000-0000730A0000}"/>
    <cellStyle name="20% - Accent6 8 3 3" xfId="2680" xr:uid="{00000000-0005-0000-0000-0000740A0000}"/>
    <cellStyle name="20% - Accent6 8 3 4" xfId="2681" xr:uid="{00000000-0005-0000-0000-0000750A0000}"/>
    <cellStyle name="20% - Accent6 8 3 5" xfId="2682" xr:uid="{00000000-0005-0000-0000-0000760A0000}"/>
    <cellStyle name="20% - Accent6 8 4" xfId="2683" xr:uid="{00000000-0005-0000-0000-0000770A0000}"/>
    <cellStyle name="20% - Accent6 8 4 2" xfId="2684" xr:uid="{00000000-0005-0000-0000-0000780A0000}"/>
    <cellStyle name="20% - Accent6 8 4 3" xfId="2685" xr:uid="{00000000-0005-0000-0000-0000790A0000}"/>
    <cellStyle name="20% - Accent6 8 4 4" xfId="2686" xr:uid="{00000000-0005-0000-0000-00007A0A0000}"/>
    <cellStyle name="20% - Accent6 8 5" xfId="2687" xr:uid="{00000000-0005-0000-0000-00007B0A0000}"/>
    <cellStyle name="20% - Accent6 8 5 2" xfId="2688" xr:uid="{00000000-0005-0000-0000-00007C0A0000}"/>
    <cellStyle name="20% - Accent6 8 6" xfId="2689" xr:uid="{00000000-0005-0000-0000-00007D0A0000}"/>
    <cellStyle name="20% - Accent6 8 7" xfId="2690" xr:uid="{00000000-0005-0000-0000-00007E0A0000}"/>
    <cellStyle name="20% - Accent6 8 8" xfId="2691" xr:uid="{00000000-0005-0000-0000-00007F0A0000}"/>
    <cellStyle name="20% - Accent6 8 9" xfId="2692" xr:uid="{00000000-0005-0000-0000-0000800A0000}"/>
    <cellStyle name="20% - Accent6 9" xfId="2693" xr:uid="{00000000-0005-0000-0000-0000810A0000}"/>
    <cellStyle name="20% - Accent6 9 2" xfId="2694" xr:uid="{00000000-0005-0000-0000-0000820A0000}"/>
    <cellStyle name="20% - Accent6 9 2 2" xfId="2695" xr:uid="{00000000-0005-0000-0000-0000830A0000}"/>
    <cellStyle name="20% - Accent6 9 2 2 2" xfId="2696" xr:uid="{00000000-0005-0000-0000-0000840A0000}"/>
    <cellStyle name="20% - Accent6 9 2 3" xfId="2697" xr:uid="{00000000-0005-0000-0000-0000850A0000}"/>
    <cellStyle name="20% - Accent6 9 2 4" xfId="2698" xr:uid="{00000000-0005-0000-0000-0000860A0000}"/>
    <cellStyle name="20% - Accent6 9 2 5" xfId="2699" xr:uid="{00000000-0005-0000-0000-0000870A0000}"/>
    <cellStyle name="20% - Accent6 9 3" xfId="2700" xr:uid="{00000000-0005-0000-0000-0000880A0000}"/>
    <cellStyle name="20% - Accent6 9 3 2" xfId="2701" xr:uid="{00000000-0005-0000-0000-0000890A0000}"/>
    <cellStyle name="20% - Accent6 9 3 3" xfId="2702" xr:uid="{00000000-0005-0000-0000-00008A0A0000}"/>
    <cellStyle name="20% - Accent6 9 3 4" xfId="2703" xr:uid="{00000000-0005-0000-0000-00008B0A0000}"/>
    <cellStyle name="20% - Accent6 9 4" xfId="2704" xr:uid="{00000000-0005-0000-0000-00008C0A0000}"/>
    <cellStyle name="20% - Accent6 9 4 2" xfId="2705" xr:uid="{00000000-0005-0000-0000-00008D0A0000}"/>
    <cellStyle name="20% - Accent6 9 5" xfId="2706" xr:uid="{00000000-0005-0000-0000-00008E0A0000}"/>
    <cellStyle name="20% - Accent6 9 6" xfId="2707" xr:uid="{00000000-0005-0000-0000-00008F0A0000}"/>
    <cellStyle name="20% - Accent6 9 7" xfId="2708" xr:uid="{00000000-0005-0000-0000-0000900A0000}"/>
    <cellStyle name="20% - Accent6 9 8" xfId="2709" xr:uid="{00000000-0005-0000-0000-0000910A0000}"/>
    <cellStyle name="40% - Accent1 10" xfId="2710" xr:uid="{00000000-0005-0000-0000-0000920A0000}"/>
    <cellStyle name="40% - Accent1 10 2" xfId="2711" xr:uid="{00000000-0005-0000-0000-0000930A0000}"/>
    <cellStyle name="40% - Accent1 10 2 2" xfId="2712" xr:uid="{00000000-0005-0000-0000-0000940A0000}"/>
    <cellStyle name="40% - Accent1 10 2 2 2" xfId="2713" xr:uid="{00000000-0005-0000-0000-0000950A0000}"/>
    <cellStyle name="40% - Accent1 10 2 3" xfId="2714" xr:uid="{00000000-0005-0000-0000-0000960A0000}"/>
    <cellStyle name="40% - Accent1 10 2 4" xfId="2715" xr:uid="{00000000-0005-0000-0000-0000970A0000}"/>
    <cellStyle name="40% - Accent1 10 2 5" xfId="2716" xr:uid="{00000000-0005-0000-0000-0000980A0000}"/>
    <cellStyle name="40% - Accent1 10 3" xfId="2717" xr:uid="{00000000-0005-0000-0000-0000990A0000}"/>
    <cellStyle name="40% - Accent1 10 3 2" xfId="2718" xr:uid="{00000000-0005-0000-0000-00009A0A0000}"/>
    <cellStyle name="40% - Accent1 10 3 3" xfId="2719" xr:uid="{00000000-0005-0000-0000-00009B0A0000}"/>
    <cellStyle name="40% - Accent1 10 3 4" xfId="2720" xr:uid="{00000000-0005-0000-0000-00009C0A0000}"/>
    <cellStyle name="40% - Accent1 10 4" xfId="2721" xr:uid="{00000000-0005-0000-0000-00009D0A0000}"/>
    <cellStyle name="40% - Accent1 10 4 2" xfId="2722" xr:uid="{00000000-0005-0000-0000-00009E0A0000}"/>
    <cellStyle name="40% - Accent1 10 5" xfId="2723" xr:uid="{00000000-0005-0000-0000-00009F0A0000}"/>
    <cellStyle name="40% - Accent1 10 6" xfId="2724" xr:uid="{00000000-0005-0000-0000-0000A00A0000}"/>
    <cellStyle name="40% - Accent1 10 7" xfId="2725" xr:uid="{00000000-0005-0000-0000-0000A10A0000}"/>
    <cellStyle name="40% - Accent1 10 8" xfId="2726" xr:uid="{00000000-0005-0000-0000-0000A20A0000}"/>
    <cellStyle name="40% - Accent1 11" xfId="2727" xr:uid="{00000000-0005-0000-0000-0000A30A0000}"/>
    <cellStyle name="40% - Accent1 11 2" xfId="2728" xr:uid="{00000000-0005-0000-0000-0000A40A0000}"/>
    <cellStyle name="40% - Accent1 11 2 2" xfId="2729" xr:uid="{00000000-0005-0000-0000-0000A50A0000}"/>
    <cellStyle name="40% - Accent1 11 2 2 2" xfId="2730" xr:uid="{00000000-0005-0000-0000-0000A60A0000}"/>
    <cellStyle name="40% - Accent1 11 2 3" xfId="2731" xr:uid="{00000000-0005-0000-0000-0000A70A0000}"/>
    <cellStyle name="40% - Accent1 11 2 4" xfId="2732" xr:uid="{00000000-0005-0000-0000-0000A80A0000}"/>
    <cellStyle name="40% - Accent1 11 2 5" xfId="2733" xr:uid="{00000000-0005-0000-0000-0000A90A0000}"/>
    <cellStyle name="40% - Accent1 11 3" xfId="2734" xr:uid="{00000000-0005-0000-0000-0000AA0A0000}"/>
    <cellStyle name="40% - Accent1 11 3 2" xfId="2735" xr:uid="{00000000-0005-0000-0000-0000AB0A0000}"/>
    <cellStyle name="40% - Accent1 11 3 3" xfId="2736" xr:uid="{00000000-0005-0000-0000-0000AC0A0000}"/>
    <cellStyle name="40% - Accent1 11 3 4" xfId="2737" xr:uid="{00000000-0005-0000-0000-0000AD0A0000}"/>
    <cellStyle name="40% - Accent1 11 4" xfId="2738" xr:uid="{00000000-0005-0000-0000-0000AE0A0000}"/>
    <cellStyle name="40% - Accent1 11 4 2" xfId="2739" xr:uid="{00000000-0005-0000-0000-0000AF0A0000}"/>
    <cellStyle name="40% - Accent1 11 5" xfId="2740" xr:uid="{00000000-0005-0000-0000-0000B00A0000}"/>
    <cellStyle name="40% - Accent1 11 6" xfId="2741" xr:uid="{00000000-0005-0000-0000-0000B10A0000}"/>
    <cellStyle name="40% - Accent1 11 7" xfId="2742" xr:uid="{00000000-0005-0000-0000-0000B20A0000}"/>
    <cellStyle name="40% - Accent1 11 8" xfId="2743" xr:uid="{00000000-0005-0000-0000-0000B30A0000}"/>
    <cellStyle name="40% - Accent1 12" xfId="2744" xr:uid="{00000000-0005-0000-0000-0000B40A0000}"/>
    <cellStyle name="40% - Accent1 12 2" xfId="2745" xr:uid="{00000000-0005-0000-0000-0000B50A0000}"/>
    <cellStyle name="40% - Accent1 12 2 2" xfId="2746" xr:uid="{00000000-0005-0000-0000-0000B60A0000}"/>
    <cellStyle name="40% - Accent1 12 2 2 2" xfId="2747" xr:uid="{00000000-0005-0000-0000-0000B70A0000}"/>
    <cellStyle name="40% - Accent1 12 2 3" xfId="2748" xr:uid="{00000000-0005-0000-0000-0000B80A0000}"/>
    <cellStyle name="40% - Accent1 12 2 4" xfId="2749" xr:uid="{00000000-0005-0000-0000-0000B90A0000}"/>
    <cellStyle name="40% - Accent1 12 2 5" xfId="2750" xr:uid="{00000000-0005-0000-0000-0000BA0A0000}"/>
    <cellStyle name="40% - Accent1 12 3" xfId="2751" xr:uid="{00000000-0005-0000-0000-0000BB0A0000}"/>
    <cellStyle name="40% - Accent1 12 3 2" xfId="2752" xr:uid="{00000000-0005-0000-0000-0000BC0A0000}"/>
    <cellStyle name="40% - Accent1 12 3 3" xfId="2753" xr:uid="{00000000-0005-0000-0000-0000BD0A0000}"/>
    <cellStyle name="40% - Accent1 12 3 4" xfId="2754" xr:uid="{00000000-0005-0000-0000-0000BE0A0000}"/>
    <cellStyle name="40% - Accent1 12 4" xfId="2755" xr:uid="{00000000-0005-0000-0000-0000BF0A0000}"/>
    <cellStyle name="40% - Accent1 12 4 2" xfId="2756" xr:uid="{00000000-0005-0000-0000-0000C00A0000}"/>
    <cellStyle name="40% - Accent1 12 5" xfId="2757" xr:uid="{00000000-0005-0000-0000-0000C10A0000}"/>
    <cellStyle name="40% - Accent1 12 6" xfId="2758" xr:uid="{00000000-0005-0000-0000-0000C20A0000}"/>
    <cellStyle name="40% - Accent1 12 7" xfId="2759" xr:uid="{00000000-0005-0000-0000-0000C30A0000}"/>
    <cellStyle name="40% - Accent1 12 8" xfId="2760" xr:uid="{00000000-0005-0000-0000-0000C40A0000}"/>
    <cellStyle name="40% - Accent1 13" xfId="2761" xr:uid="{00000000-0005-0000-0000-0000C50A0000}"/>
    <cellStyle name="40% - Accent1 13 2" xfId="2762" xr:uid="{00000000-0005-0000-0000-0000C60A0000}"/>
    <cellStyle name="40% - Accent1 13 2 2" xfId="2763" xr:uid="{00000000-0005-0000-0000-0000C70A0000}"/>
    <cellStyle name="40% - Accent1 13 2 3" xfId="2764" xr:uid="{00000000-0005-0000-0000-0000C80A0000}"/>
    <cellStyle name="40% - Accent1 13 2 4" xfId="2765" xr:uid="{00000000-0005-0000-0000-0000C90A0000}"/>
    <cellStyle name="40% - Accent1 13 3" xfId="2766" xr:uid="{00000000-0005-0000-0000-0000CA0A0000}"/>
    <cellStyle name="40% - Accent1 13 3 2" xfId="2767" xr:uid="{00000000-0005-0000-0000-0000CB0A0000}"/>
    <cellStyle name="40% - Accent1 13 4" xfId="2768" xr:uid="{00000000-0005-0000-0000-0000CC0A0000}"/>
    <cellStyle name="40% - Accent1 13 5" xfId="2769" xr:uid="{00000000-0005-0000-0000-0000CD0A0000}"/>
    <cellStyle name="40% - Accent1 13 6" xfId="2770" xr:uid="{00000000-0005-0000-0000-0000CE0A0000}"/>
    <cellStyle name="40% - Accent1 14" xfId="2771" xr:uid="{00000000-0005-0000-0000-0000CF0A0000}"/>
    <cellStyle name="40% - Accent1 14 2" xfId="2772" xr:uid="{00000000-0005-0000-0000-0000D00A0000}"/>
    <cellStyle name="40% - Accent1 14 2 2" xfId="2773" xr:uid="{00000000-0005-0000-0000-0000D10A0000}"/>
    <cellStyle name="40% - Accent1 14 3" xfId="2774" xr:uid="{00000000-0005-0000-0000-0000D20A0000}"/>
    <cellStyle name="40% - Accent1 14 4" xfId="2775" xr:uid="{00000000-0005-0000-0000-0000D30A0000}"/>
    <cellStyle name="40% - Accent1 14 5" xfId="2776" xr:uid="{00000000-0005-0000-0000-0000D40A0000}"/>
    <cellStyle name="40% - Accent1 15" xfId="2777" xr:uid="{00000000-0005-0000-0000-0000D50A0000}"/>
    <cellStyle name="40% - Accent1 15 2" xfId="2778" xr:uid="{00000000-0005-0000-0000-0000D60A0000}"/>
    <cellStyle name="40% - Accent1 15 2 2" xfId="2779" xr:uid="{00000000-0005-0000-0000-0000D70A0000}"/>
    <cellStyle name="40% - Accent1 15 3" xfId="2780" xr:uid="{00000000-0005-0000-0000-0000D80A0000}"/>
    <cellStyle name="40% - Accent1 15 4" xfId="2781" xr:uid="{00000000-0005-0000-0000-0000D90A0000}"/>
    <cellStyle name="40% - Accent1 15 5" xfId="2782" xr:uid="{00000000-0005-0000-0000-0000DA0A0000}"/>
    <cellStyle name="40% - Accent1 16" xfId="2783" xr:uid="{00000000-0005-0000-0000-0000DB0A0000}"/>
    <cellStyle name="40% - Accent1 16 2" xfId="2784" xr:uid="{00000000-0005-0000-0000-0000DC0A0000}"/>
    <cellStyle name="40% - Accent1 17" xfId="2785" xr:uid="{00000000-0005-0000-0000-0000DD0A0000}"/>
    <cellStyle name="40% - Accent1 18" xfId="2786" xr:uid="{00000000-0005-0000-0000-0000DE0A0000}"/>
    <cellStyle name="40% - Accent1 19" xfId="2787" xr:uid="{00000000-0005-0000-0000-0000DF0A0000}"/>
    <cellStyle name="40% - Accent1 2" xfId="2788" xr:uid="{00000000-0005-0000-0000-0000E00A0000}"/>
    <cellStyle name="40% - Accent1 2 10" xfId="2789" xr:uid="{00000000-0005-0000-0000-0000E10A0000}"/>
    <cellStyle name="40% - Accent1 2 11" xfId="2790" xr:uid="{00000000-0005-0000-0000-0000E20A0000}"/>
    <cellStyle name="40% - Accent1 2 2" xfId="2791" xr:uid="{00000000-0005-0000-0000-0000E30A0000}"/>
    <cellStyle name="40% - Accent1 2 2 10" xfId="2792" xr:uid="{00000000-0005-0000-0000-0000E40A0000}"/>
    <cellStyle name="40% - Accent1 2 2 2" xfId="2793" xr:uid="{00000000-0005-0000-0000-0000E50A0000}"/>
    <cellStyle name="40% - Accent1 2 2 2 2" xfId="2794" xr:uid="{00000000-0005-0000-0000-0000E60A0000}"/>
    <cellStyle name="40% - Accent1 2 2 2 2 2" xfId="2795" xr:uid="{00000000-0005-0000-0000-0000E70A0000}"/>
    <cellStyle name="40% - Accent1 2 2 2 2 2 2" xfId="2796" xr:uid="{00000000-0005-0000-0000-0000E80A0000}"/>
    <cellStyle name="40% - Accent1 2 2 2 2 2 3" xfId="2797" xr:uid="{00000000-0005-0000-0000-0000E90A0000}"/>
    <cellStyle name="40% - Accent1 2 2 2 2 3" xfId="2798" xr:uid="{00000000-0005-0000-0000-0000EA0A0000}"/>
    <cellStyle name="40% - Accent1 2 2 2 2 4" xfId="2799" xr:uid="{00000000-0005-0000-0000-0000EB0A0000}"/>
    <cellStyle name="40% - Accent1 2 2 2 2 5" xfId="2800" xr:uid="{00000000-0005-0000-0000-0000EC0A0000}"/>
    <cellStyle name="40% - Accent1 2 2 2 2 6" xfId="2801" xr:uid="{00000000-0005-0000-0000-0000ED0A0000}"/>
    <cellStyle name="40% - Accent1 2 2 2 3" xfId="2802" xr:uid="{00000000-0005-0000-0000-0000EE0A0000}"/>
    <cellStyle name="40% - Accent1 2 2 2 3 2" xfId="2803" xr:uid="{00000000-0005-0000-0000-0000EF0A0000}"/>
    <cellStyle name="40% - Accent1 2 2 2 3 2 2" xfId="2804" xr:uid="{00000000-0005-0000-0000-0000F00A0000}"/>
    <cellStyle name="40% - Accent1 2 2 2 3 3" xfId="2805" xr:uid="{00000000-0005-0000-0000-0000F10A0000}"/>
    <cellStyle name="40% - Accent1 2 2 2 3 4" xfId="2806" xr:uid="{00000000-0005-0000-0000-0000F20A0000}"/>
    <cellStyle name="40% - Accent1 2 2 2 3 5" xfId="2807" xr:uid="{00000000-0005-0000-0000-0000F30A0000}"/>
    <cellStyle name="40% - Accent1 2 2 2 4" xfId="2808" xr:uid="{00000000-0005-0000-0000-0000F40A0000}"/>
    <cellStyle name="40% - Accent1 2 2 2 4 2" xfId="2809" xr:uid="{00000000-0005-0000-0000-0000F50A0000}"/>
    <cellStyle name="40% - Accent1 2 2 2 4 3" xfId="2810" xr:uid="{00000000-0005-0000-0000-0000F60A0000}"/>
    <cellStyle name="40% - Accent1 2 2 2 4 4" xfId="2811" xr:uid="{00000000-0005-0000-0000-0000F70A0000}"/>
    <cellStyle name="40% - Accent1 2 2 2 5" xfId="2812" xr:uid="{00000000-0005-0000-0000-0000F80A0000}"/>
    <cellStyle name="40% - Accent1 2 2 2 5 2" xfId="2813" xr:uid="{00000000-0005-0000-0000-0000F90A0000}"/>
    <cellStyle name="40% - Accent1 2 2 2 6" xfId="2814" xr:uid="{00000000-0005-0000-0000-0000FA0A0000}"/>
    <cellStyle name="40% - Accent1 2 2 2 7" xfId="2815" xr:uid="{00000000-0005-0000-0000-0000FB0A0000}"/>
    <cellStyle name="40% - Accent1 2 2 2 8" xfId="2816" xr:uid="{00000000-0005-0000-0000-0000FC0A0000}"/>
    <cellStyle name="40% - Accent1 2 2 2 9" xfId="2817" xr:uid="{00000000-0005-0000-0000-0000FD0A0000}"/>
    <cellStyle name="40% - Accent1 2 2 3" xfId="2818" xr:uid="{00000000-0005-0000-0000-0000FE0A0000}"/>
    <cellStyle name="40% - Accent1 2 2 3 2" xfId="2819" xr:uid="{00000000-0005-0000-0000-0000FF0A0000}"/>
    <cellStyle name="40% - Accent1 2 2 3 2 2" xfId="2820" xr:uid="{00000000-0005-0000-0000-0000000B0000}"/>
    <cellStyle name="40% - Accent1 2 2 3 2 3" xfId="2821" xr:uid="{00000000-0005-0000-0000-0000010B0000}"/>
    <cellStyle name="40% - Accent1 2 2 3 3" xfId="2822" xr:uid="{00000000-0005-0000-0000-0000020B0000}"/>
    <cellStyle name="40% - Accent1 2 2 3 4" xfId="2823" xr:uid="{00000000-0005-0000-0000-0000030B0000}"/>
    <cellStyle name="40% - Accent1 2 2 3 5" xfId="2824" xr:uid="{00000000-0005-0000-0000-0000040B0000}"/>
    <cellStyle name="40% - Accent1 2 2 3 6" xfId="2825" xr:uid="{00000000-0005-0000-0000-0000050B0000}"/>
    <cellStyle name="40% - Accent1 2 2 4" xfId="2826" xr:uid="{00000000-0005-0000-0000-0000060B0000}"/>
    <cellStyle name="40% - Accent1 2 2 4 2" xfId="2827" xr:uid="{00000000-0005-0000-0000-0000070B0000}"/>
    <cellStyle name="40% - Accent1 2 2 4 2 2" xfId="2828" xr:uid="{00000000-0005-0000-0000-0000080B0000}"/>
    <cellStyle name="40% - Accent1 2 2 4 3" xfId="2829" xr:uid="{00000000-0005-0000-0000-0000090B0000}"/>
    <cellStyle name="40% - Accent1 2 2 4 4" xfId="2830" xr:uid="{00000000-0005-0000-0000-00000A0B0000}"/>
    <cellStyle name="40% - Accent1 2 2 4 5" xfId="2831" xr:uid="{00000000-0005-0000-0000-00000B0B0000}"/>
    <cellStyle name="40% - Accent1 2 2 5" xfId="2832" xr:uid="{00000000-0005-0000-0000-00000C0B0000}"/>
    <cellStyle name="40% - Accent1 2 2 5 2" xfId="2833" xr:uid="{00000000-0005-0000-0000-00000D0B0000}"/>
    <cellStyle name="40% - Accent1 2 2 5 3" xfId="2834" xr:uid="{00000000-0005-0000-0000-00000E0B0000}"/>
    <cellStyle name="40% - Accent1 2 2 5 4" xfId="2835" xr:uid="{00000000-0005-0000-0000-00000F0B0000}"/>
    <cellStyle name="40% - Accent1 2 2 6" xfId="2836" xr:uid="{00000000-0005-0000-0000-0000100B0000}"/>
    <cellStyle name="40% - Accent1 2 2 6 2" xfId="2837" xr:uid="{00000000-0005-0000-0000-0000110B0000}"/>
    <cellStyle name="40% - Accent1 2 2 7" xfId="2838" xr:uid="{00000000-0005-0000-0000-0000120B0000}"/>
    <cellStyle name="40% - Accent1 2 2 8" xfId="2839" xr:uid="{00000000-0005-0000-0000-0000130B0000}"/>
    <cellStyle name="40% - Accent1 2 2 9" xfId="2840" xr:uid="{00000000-0005-0000-0000-0000140B0000}"/>
    <cellStyle name="40% - Accent1 2 3" xfId="2841" xr:uid="{00000000-0005-0000-0000-0000150B0000}"/>
    <cellStyle name="40% - Accent1 2 3 2" xfId="2842" xr:uid="{00000000-0005-0000-0000-0000160B0000}"/>
    <cellStyle name="40% - Accent1 2 3 2 2" xfId="2843" xr:uid="{00000000-0005-0000-0000-0000170B0000}"/>
    <cellStyle name="40% - Accent1 2 3 2 2 2" xfId="2844" xr:uid="{00000000-0005-0000-0000-0000180B0000}"/>
    <cellStyle name="40% - Accent1 2 3 2 2 3" xfId="2845" xr:uid="{00000000-0005-0000-0000-0000190B0000}"/>
    <cellStyle name="40% - Accent1 2 3 2 3" xfId="2846" xr:uid="{00000000-0005-0000-0000-00001A0B0000}"/>
    <cellStyle name="40% - Accent1 2 3 2 4" xfId="2847" xr:uid="{00000000-0005-0000-0000-00001B0B0000}"/>
    <cellStyle name="40% - Accent1 2 3 2 5" xfId="2848" xr:uid="{00000000-0005-0000-0000-00001C0B0000}"/>
    <cellStyle name="40% - Accent1 2 3 2 6" xfId="2849" xr:uid="{00000000-0005-0000-0000-00001D0B0000}"/>
    <cellStyle name="40% - Accent1 2 3 3" xfId="2850" xr:uid="{00000000-0005-0000-0000-00001E0B0000}"/>
    <cellStyle name="40% - Accent1 2 3 3 2" xfId="2851" xr:uid="{00000000-0005-0000-0000-00001F0B0000}"/>
    <cellStyle name="40% - Accent1 2 3 3 2 2" xfId="2852" xr:uid="{00000000-0005-0000-0000-0000200B0000}"/>
    <cellStyle name="40% - Accent1 2 3 3 3" xfId="2853" xr:uid="{00000000-0005-0000-0000-0000210B0000}"/>
    <cellStyle name="40% - Accent1 2 3 3 4" xfId="2854" xr:uid="{00000000-0005-0000-0000-0000220B0000}"/>
    <cellStyle name="40% - Accent1 2 3 3 5" xfId="2855" xr:uid="{00000000-0005-0000-0000-0000230B0000}"/>
    <cellStyle name="40% - Accent1 2 3 4" xfId="2856" xr:uid="{00000000-0005-0000-0000-0000240B0000}"/>
    <cellStyle name="40% - Accent1 2 3 4 2" xfId="2857" xr:uid="{00000000-0005-0000-0000-0000250B0000}"/>
    <cellStyle name="40% - Accent1 2 3 4 3" xfId="2858" xr:uid="{00000000-0005-0000-0000-0000260B0000}"/>
    <cellStyle name="40% - Accent1 2 3 4 4" xfId="2859" xr:uid="{00000000-0005-0000-0000-0000270B0000}"/>
    <cellStyle name="40% - Accent1 2 3 5" xfId="2860" xr:uid="{00000000-0005-0000-0000-0000280B0000}"/>
    <cellStyle name="40% - Accent1 2 3 5 2" xfId="2861" xr:uid="{00000000-0005-0000-0000-0000290B0000}"/>
    <cellStyle name="40% - Accent1 2 3 6" xfId="2862" xr:uid="{00000000-0005-0000-0000-00002A0B0000}"/>
    <cellStyle name="40% - Accent1 2 3 7" xfId="2863" xr:uid="{00000000-0005-0000-0000-00002B0B0000}"/>
    <cellStyle name="40% - Accent1 2 3 8" xfId="2864" xr:uid="{00000000-0005-0000-0000-00002C0B0000}"/>
    <cellStyle name="40% - Accent1 2 3 9" xfId="2865" xr:uid="{00000000-0005-0000-0000-00002D0B0000}"/>
    <cellStyle name="40% - Accent1 2 4" xfId="2866" xr:uid="{00000000-0005-0000-0000-00002E0B0000}"/>
    <cellStyle name="40% - Accent1 2 4 2" xfId="2867" xr:uid="{00000000-0005-0000-0000-00002F0B0000}"/>
    <cellStyle name="40% - Accent1 2 4 2 2" xfId="2868" xr:uid="{00000000-0005-0000-0000-0000300B0000}"/>
    <cellStyle name="40% - Accent1 2 4 2 3" xfId="2869" xr:uid="{00000000-0005-0000-0000-0000310B0000}"/>
    <cellStyle name="40% - Accent1 2 4 3" xfId="2870" xr:uid="{00000000-0005-0000-0000-0000320B0000}"/>
    <cellStyle name="40% - Accent1 2 4 4" xfId="2871" xr:uid="{00000000-0005-0000-0000-0000330B0000}"/>
    <cellStyle name="40% - Accent1 2 4 5" xfId="2872" xr:uid="{00000000-0005-0000-0000-0000340B0000}"/>
    <cellStyle name="40% - Accent1 2 4 6" xfId="2873" xr:uid="{00000000-0005-0000-0000-0000350B0000}"/>
    <cellStyle name="40% - Accent1 2 5" xfId="2874" xr:uid="{00000000-0005-0000-0000-0000360B0000}"/>
    <cellStyle name="40% - Accent1 2 5 2" xfId="2875" xr:uid="{00000000-0005-0000-0000-0000370B0000}"/>
    <cellStyle name="40% - Accent1 2 5 2 2" xfId="2876" xr:uid="{00000000-0005-0000-0000-0000380B0000}"/>
    <cellStyle name="40% - Accent1 2 5 3" xfId="2877" xr:uid="{00000000-0005-0000-0000-0000390B0000}"/>
    <cellStyle name="40% - Accent1 2 5 4" xfId="2878" xr:uid="{00000000-0005-0000-0000-00003A0B0000}"/>
    <cellStyle name="40% - Accent1 2 5 5" xfId="2879" xr:uid="{00000000-0005-0000-0000-00003B0B0000}"/>
    <cellStyle name="40% - Accent1 2 6" xfId="2880" xr:uid="{00000000-0005-0000-0000-00003C0B0000}"/>
    <cellStyle name="40% - Accent1 2 6 2" xfId="2881" xr:uid="{00000000-0005-0000-0000-00003D0B0000}"/>
    <cellStyle name="40% - Accent1 2 6 2 2" xfId="2882" xr:uid="{00000000-0005-0000-0000-00003E0B0000}"/>
    <cellStyle name="40% - Accent1 2 6 3" xfId="2883" xr:uid="{00000000-0005-0000-0000-00003F0B0000}"/>
    <cellStyle name="40% - Accent1 2 6 4" xfId="2884" xr:uid="{00000000-0005-0000-0000-0000400B0000}"/>
    <cellStyle name="40% - Accent1 2 6 5" xfId="2885" xr:uid="{00000000-0005-0000-0000-0000410B0000}"/>
    <cellStyle name="40% - Accent1 2 7" xfId="2886" xr:uid="{00000000-0005-0000-0000-0000420B0000}"/>
    <cellStyle name="40% - Accent1 2 7 2" xfId="2887" xr:uid="{00000000-0005-0000-0000-0000430B0000}"/>
    <cellStyle name="40% - Accent1 2 8" xfId="2888" xr:uid="{00000000-0005-0000-0000-0000440B0000}"/>
    <cellStyle name="40% - Accent1 2 9" xfId="2889" xr:uid="{00000000-0005-0000-0000-0000450B0000}"/>
    <cellStyle name="40% - Accent1 3" xfId="2890" xr:uid="{00000000-0005-0000-0000-0000460B0000}"/>
    <cellStyle name="40% - Accent1 3 10" xfId="2891" xr:uid="{00000000-0005-0000-0000-0000470B0000}"/>
    <cellStyle name="40% - Accent1 3 2" xfId="2892" xr:uid="{00000000-0005-0000-0000-0000480B0000}"/>
    <cellStyle name="40% - Accent1 3 2 2" xfId="2893" xr:uid="{00000000-0005-0000-0000-0000490B0000}"/>
    <cellStyle name="40% - Accent1 3 2 2 2" xfId="2894" xr:uid="{00000000-0005-0000-0000-00004A0B0000}"/>
    <cellStyle name="40% - Accent1 3 2 2 2 2" xfId="2895" xr:uid="{00000000-0005-0000-0000-00004B0B0000}"/>
    <cellStyle name="40% - Accent1 3 2 2 2 3" xfId="2896" xr:uid="{00000000-0005-0000-0000-00004C0B0000}"/>
    <cellStyle name="40% - Accent1 3 2 2 3" xfId="2897" xr:uid="{00000000-0005-0000-0000-00004D0B0000}"/>
    <cellStyle name="40% - Accent1 3 2 2 4" xfId="2898" xr:uid="{00000000-0005-0000-0000-00004E0B0000}"/>
    <cellStyle name="40% - Accent1 3 2 2 5" xfId="2899" xr:uid="{00000000-0005-0000-0000-00004F0B0000}"/>
    <cellStyle name="40% - Accent1 3 2 2 6" xfId="2900" xr:uid="{00000000-0005-0000-0000-0000500B0000}"/>
    <cellStyle name="40% - Accent1 3 2 3" xfId="2901" xr:uid="{00000000-0005-0000-0000-0000510B0000}"/>
    <cellStyle name="40% - Accent1 3 2 3 2" xfId="2902" xr:uid="{00000000-0005-0000-0000-0000520B0000}"/>
    <cellStyle name="40% - Accent1 3 2 3 2 2" xfId="2903" xr:uid="{00000000-0005-0000-0000-0000530B0000}"/>
    <cellStyle name="40% - Accent1 3 2 3 3" xfId="2904" xr:uid="{00000000-0005-0000-0000-0000540B0000}"/>
    <cellStyle name="40% - Accent1 3 2 3 4" xfId="2905" xr:uid="{00000000-0005-0000-0000-0000550B0000}"/>
    <cellStyle name="40% - Accent1 3 2 3 5" xfId="2906" xr:uid="{00000000-0005-0000-0000-0000560B0000}"/>
    <cellStyle name="40% - Accent1 3 2 4" xfId="2907" xr:uid="{00000000-0005-0000-0000-0000570B0000}"/>
    <cellStyle name="40% - Accent1 3 2 4 2" xfId="2908" xr:uid="{00000000-0005-0000-0000-0000580B0000}"/>
    <cellStyle name="40% - Accent1 3 2 4 3" xfId="2909" xr:uid="{00000000-0005-0000-0000-0000590B0000}"/>
    <cellStyle name="40% - Accent1 3 2 4 4" xfId="2910" xr:uid="{00000000-0005-0000-0000-00005A0B0000}"/>
    <cellStyle name="40% - Accent1 3 2 5" xfId="2911" xr:uid="{00000000-0005-0000-0000-00005B0B0000}"/>
    <cellStyle name="40% - Accent1 3 2 5 2" xfId="2912" xr:uid="{00000000-0005-0000-0000-00005C0B0000}"/>
    <cellStyle name="40% - Accent1 3 2 6" xfId="2913" xr:uid="{00000000-0005-0000-0000-00005D0B0000}"/>
    <cellStyle name="40% - Accent1 3 2 7" xfId="2914" xr:uid="{00000000-0005-0000-0000-00005E0B0000}"/>
    <cellStyle name="40% - Accent1 3 2 8" xfId="2915" xr:uid="{00000000-0005-0000-0000-00005F0B0000}"/>
    <cellStyle name="40% - Accent1 3 2 9" xfId="2916" xr:uid="{00000000-0005-0000-0000-0000600B0000}"/>
    <cellStyle name="40% - Accent1 3 3" xfId="2917" xr:uid="{00000000-0005-0000-0000-0000610B0000}"/>
    <cellStyle name="40% - Accent1 3 3 2" xfId="2918" xr:uid="{00000000-0005-0000-0000-0000620B0000}"/>
    <cellStyle name="40% - Accent1 3 3 2 2" xfId="2919" xr:uid="{00000000-0005-0000-0000-0000630B0000}"/>
    <cellStyle name="40% - Accent1 3 3 2 3" xfId="2920" xr:uid="{00000000-0005-0000-0000-0000640B0000}"/>
    <cellStyle name="40% - Accent1 3 3 3" xfId="2921" xr:uid="{00000000-0005-0000-0000-0000650B0000}"/>
    <cellStyle name="40% - Accent1 3 3 4" xfId="2922" xr:uid="{00000000-0005-0000-0000-0000660B0000}"/>
    <cellStyle name="40% - Accent1 3 3 5" xfId="2923" xr:uid="{00000000-0005-0000-0000-0000670B0000}"/>
    <cellStyle name="40% - Accent1 3 3 6" xfId="2924" xr:uid="{00000000-0005-0000-0000-0000680B0000}"/>
    <cellStyle name="40% - Accent1 3 4" xfId="2925" xr:uid="{00000000-0005-0000-0000-0000690B0000}"/>
    <cellStyle name="40% - Accent1 3 4 2" xfId="2926" xr:uid="{00000000-0005-0000-0000-00006A0B0000}"/>
    <cellStyle name="40% - Accent1 3 4 2 2" xfId="2927" xr:uid="{00000000-0005-0000-0000-00006B0B0000}"/>
    <cellStyle name="40% - Accent1 3 4 3" xfId="2928" xr:uid="{00000000-0005-0000-0000-00006C0B0000}"/>
    <cellStyle name="40% - Accent1 3 4 4" xfId="2929" xr:uid="{00000000-0005-0000-0000-00006D0B0000}"/>
    <cellStyle name="40% - Accent1 3 4 5" xfId="2930" xr:uid="{00000000-0005-0000-0000-00006E0B0000}"/>
    <cellStyle name="40% - Accent1 3 5" xfId="2931" xr:uid="{00000000-0005-0000-0000-00006F0B0000}"/>
    <cellStyle name="40% - Accent1 3 5 2" xfId="2932" xr:uid="{00000000-0005-0000-0000-0000700B0000}"/>
    <cellStyle name="40% - Accent1 3 5 2 2" xfId="2933" xr:uid="{00000000-0005-0000-0000-0000710B0000}"/>
    <cellStyle name="40% - Accent1 3 5 3" xfId="2934" xr:uid="{00000000-0005-0000-0000-0000720B0000}"/>
    <cellStyle name="40% - Accent1 3 5 4" xfId="2935" xr:uid="{00000000-0005-0000-0000-0000730B0000}"/>
    <cellStyle name="40% - Accent1 3 5 5" xfId="2936" xr:uid="{00000000-0005-0000-0000-0000740B0000}"/>
    <cellStyle name="40% - Accent1 3 6" xfId="2937" xr:uid="{00000000-0005-0000-0000-0000750B0000}"/>
    <cellStyle name="40% - Accent1 3 6 2" xfId="2938" xr:uid="{00000000-0005-0000-0000-0000760B0000}"/>
    <cellStyle name="40% - Accent1 3 7" xfId="2939" xr:uid="{00000000-0005-0000-0000-0000770B0000}"/>
    <cellStyle name="40% - Accent1 3 8" xfId="2940" xr:uid="{00000000-0005-0000-0000-0000780B0000}"/>
    <cellStyle name="40% - Accent1 3 9" xfId="2941" xr:uid="{00000000-0005-0000-0000-0000790B0000}"/>
    <cellStyle name="40% - Accent1 4" xfId="2942" xr:uid="{00000000-0005-0000-0000-00007A0B0000}"/>
    <cellStyle name="40% - Accent1 4 10" xfId="2943" xr:uid="{00000000-0005-0000-0000-00007B0B0000}"/>
    <cellStyle name="40% - Accent1 4 2" xfId="2944" xr:uid="{00000000-0005-0000-0000-00007C0B0000}"/>
    <cellStyle name="40% - Accent1 4 2 2" xfId="2945" xr:uid="{00000000-0005-0000-0000-00007D0B0000}"/>
    <cellStyle name="40% - Accent1 4 2 2 2" xfId="2946" xr:uid="{00000000-0005-0000-0000-00007E0B0000}"/>
    <cellStyle name="40% - Accent1 4 2 2 2 2" xfId="2947" xr:uid="{00000000-0005-0000-0000-00007F0B0000}"/>
    <cellStyle name="40% - Accent1 4 2 2 2 3" xfId="2948" xr:uid="{00000000-0005-0000-0000-0000800B0000}"/>
    <cellStyle name="40% - Accent1 4 2 2 3" xfId="2949" xr:uid="{00000000-0005-0000-0000-0000810B0000}"/>
    <cellStyle name="40% - Accent1 4 2 2 4" xfId="2950" xr:uid="{00000000-0005-0000-0000-0000820B0000}"/>
    <cellStyle name="40% - Accent1 4 2 2 5" xfId="2951" xr:uid="{00000000-0005-0000-0000-0000830B0000}"/>
    <cellStyle name="40% - Accent1 4 2 2 6" xfId="2952" xr:uid="{00000000-0005-0000-0000-0000840B0000}"/>
    <cellStyle name="40% - Accent1 4 2 3" xfId="2953" xr:uid="{00000000-0005-0000-0000-0000850B0000}"/>
    <cellStyle name="40% - Accent1 4 2 3 2" xfId="2954" xr:uid="{00000000-0005-0000-0000-0000860B0000}"/>
    <cellStyle name="40% - Accent1 4 2 3 2 2" xfId="2955" xr:uid="{00000000-0005-0000-0000-0000870B0000}"/>
    <cellStyle name="40% - Accent1 4 2 3 3" xfId="2956" xr:uid="{00000000-0005-0000-0000-0000880B0000}"/>
    <cellStyle name="40% - Accent1 4 2 3 4" xfId="2957" xr:uid="{00000000-0005-0000-0000-0000890B0000}"/>
    <cellStyle name="40% - Accent1 4 2 3 5" xfId="2958" xr:uid="{00000000-0005-0000-0000-00008A0B0000}"/>
    <cellStyle name="40% - Accent1 4 2 4" xfId="2959" xr:uid="{00000000-0005-0000-0000-00008B0B0000}"/>
    <cellStyle name="40% - Accent1 4 2 4 2" xfId="2960" xr:uid="{00000000-0005-0000-0000-00008C0B0000}"/>
    <cellStyle name="40% - Accent1 4 2 4 3" xfId="2961" xr:uid="{00000000-0005-0000-0000-00008D0B0000}"/>
    <cellStyle name="40% - Accent1 4 2 4 4" xfId="2962" xr:uid="{00000000-0005-0000-0000-00008E0B0000}"/>
    <cellStyle name="40% - Accent1 4 2 5" xfId="2963" xr:uid="{00000000-0005-0000-0000-00008F0B0000}"/>
    <cellStyle name="40% - Accent1 4 2 5 2" xfId="2964" xr:uid="{00000000-0005-0000-0000-0000900B0000}"/>
    <cellStyle name="40% - Accent1 4 2 6" xfId="2965" xr:uid="{00000000-0005-0000-0000-0000910B0000}"/>
    <cellStyle name="40% - Accent1 4 2 7" xfId="2966" xr:uid="{00000000-0005-0000-0000-0000920B0000}"/>
    <cellStyle name="40% - Accent1 4 2 8" xfId="2967" xr:uid="{00000000-0005-0000-0000-0000930B0000}"/>
    <cellStyle name="40% - Accent1 4 2 9" xfId="2968" xr:uid="{00000000-0005-0000-0000-0000940B0000}"/>
    <cellStyle name="40% - Accent1 4 3" xfId="2969" xr:uid="{00000000-0005-0000-0000-0000950B0000}"/>
    <cellStyle name="40% - Accent1 4 3 2" xfId="2970" xr:uid="{00000000-0005-0000-0000-0000960B0000}"/>
    <cellStyle name="40% - Accent1 4 3 2 2" xfId="2971" xr:uid="{00000000-0005-0000-0000-0000970B0000}"/>
    <cellStyle name="40% - Accent1 4 3 2 3" xfId="2972" xr:uid="{00000000-0005-0000-0000-0000980B0000}"/>
    <cellStyle name="40% - Accent1 4 3 3" xfId="2973" xr:uid="{00000000-0005-0000-0000-0000990B0000}"/>
    <cellStyle name="40% - Accent1 4 3 4" xfId="2974" xr:uid="{00000000-0005-0000-0000-00009A0B0000}"/>
    <cellStyle name="40% - Accent1 4 3 5" xfId="2975" xr:uid="{00000000-0005-0000-0000-00009B0B0000}"/>
    <cellStyle name="40% - Accent1 4 3 6" xfId="2976" xr:uid="{00000000-0005-0000-0000-00009C0B0000}"/>
    <cellStyle name="40% - Accent1 4 4" xfId="2977" xr:uid="{00000000-0005-0000-0000-00009D0B0000}"/>
    <cellStyle name="40% - Accent1 4 4 2" xfId="2978" xr:uid="{00000000-0005-0000-0000-00009E0B0000}"/>
    <cellStyle name="40% - Accent1 4 4 2 2" xfId="2979" xr:uid="{00000000-0005-0000-0000-00009F0B0000}"/>
    <cellStyle name="40% - Accent1 4 4 3" xfId="2980" xr:uid="{00000000-0005-0000-0000-0000A00B0000}"/>
    <cellStyle name="40% - Accent1 4 4 4" xfId="2981" xr:uid="{00000000-0005-0000-0000-0000A10B0000}"/>
    <cellStyle name="40% - Accent1 4 4 5" xfId="2982" xr:uid="{00000000-0005-0000-0000-0000A20B0000}"/>
    <cellStyle name="40% - Accent1 4 5" xfId="2983" xr:uid="{00000000-0005-0000-0000-0000A30B0000}"/>
    <cellStyle name="40% - Accent1 4 5 2" xfId="2984" xr:uid="{00000000-0005-0000-0000-0000A40B0000}"/>
    <cellStyle name="40% - Accent1 4 5 2 2" xfId="2985" xr:uid="{00000000-0005-0000-0000-0000A50B0000}"/>
    <cellStyle name="40% - Accent1 4 5 3" xfId="2986" xr:uid="{00000000-0005-0000-0000-0000A60B0000}"/>
    <cellStyle name="40% - Accent1 4 5 4" xfId="2987" xr:uid="{00000000-0005-0000-0000-0000A70B0000}"/>
    <cellStyle name="40% - Accent1 4 5 5" xfId="2988" xr:uid="{00000000-0005-0000-0000-0000A80B0000}"/>
    <cellStyle name="40% - Accent1 4 6" xfId="2989" xr:uid="{00000000-0005-0000-0000-0000A90B0000}"/>
    <cellStyle name="40% - Accent1 4 6 2" xfId="2990" xr:uid="{00000000-0005-0000-0000-0000AA0B0000}"/>
    <cellStyle name="40% - Accent1 4 7" xfId="2991" xr:uid="{00000000-0005-0000-0000-0000AB0B0000}"/>
    <cellStyle name="40% - Accent1 4 8" xfId="2992" xr:uid="{00000000-0005-0000-0000-0000AC0B0000}"/>
    <cellStyle name="40% - Accent1 4 9" xfId="2993" xr:uid="{00000000-0005-0000-0000-0000AD0B0000}"/>
    <cellStyle name="40% - Accent1 5" xfId="2994" xr:uid="{00000000-0005-0000-0000-0000AE0B0000}"/>
    <cellStyle name="40% - Accent1 5 10" xfId="2995" xr:uid="{00000000-0005-0000-0000-0000AF0B0000}"/>
    <cellStyle name="40% - Accent1 5 2" xfId="2996" xr:uid="{00000000-0005-0000-0000-0000B00B0000}"/>
    <cellStyle name="40% - Accent1 5 2 2" xfId="2997" xr:uid="{00000000-0005-0000-0000-0000B10B0000}"/>
    <cellStyle name="40% - Accent1 5 2 2 2" xfId="2998" xr:uid="{00000000-0005-0000-0000-0000B20B0000}"/>
    <cellStyle name="40% - Accent1 5 2 2 2 2" xfId="2999" xr:uid="{00000000-0005-0000-0000-0000B30B0000}"/>
    <cellStyle name="40% - Accent1 5 2 2 2 3" xfId="3000" xr:uid="{00000000-0005-0000-0000-0000B40B0000}"/>
    <cellStyle name="40% - Accent1 5 2 2 3" xfId="3001" xr:uid="{00000000-0005-0000-0000-0000B50B0000}"/>
    <cellStyle name="40% - Accent1 5 2 2 4" xfId="3002" xr:uid="{00000000-0005-0000-0000-0000B60B0000}"/>
    <cellStyle name="40% - Accent1 5 2 2 5" xfId="3003" xr:uid="{00000000-0005-0000-0000-0000B70B0000}"/>
    <cellStyle name="40% - Accent1 5 2 2 6" xfId="3004" xr:uid="{00000000-0005-0000-0000-0000B80B0000}"/>
    <cellStyle name="40% - Accent1 5 2 3" xfId="3005" xr:uid="{00000000-0005-0000-0000-0000B90B0000}"/>
    <cellStyle name="40% - Accent1 5 2 3 2" xfId="3006" xr:uid="{00000000-0005-0000-0000-0000BA0B0000}"/>
    <cellStyle name="40% - Accent1 5 2 3 2 2" xfId="3007" xr:uid="{00000000-0005-0000-0000-0000BB0B0000}"/>
    <cellStyle name="40% - Accent1 5 2 3 3" xfId="3008" xr:uid="{00000000-0005-0000-0000-0000BC0B0000}"/>
    <cellStyle name="40% - Accent1 5 2 3 4" xfId="3009" xr:uid="{00000000-0005-0000-0000-0000BD0B0000}"/>
    <cellStyle name="40% - Accent1 5 2 3 5" xfId="3010" xr:uid="{00000000-0005-0000-0000-0000BE0B0000}"/>
    <cellStyle name="40% - Accent1 5 2 4" xfId="3011" xr:uid="{00000000-0005-0000-0000-0000BF0B0000}"/>
    <cellStyle name="40% - Accent1 5 2 4 2" xfId="3012" xr:uid="{00000000-0005-0000-0000-0000C00B0000}"/>
    <cellStyle name="40% - Accent1 5 2 4 3" xfId="3013" xr:uid="{00000000-0005-0000-0000-0000C10B0000}"/>
    <cellStyle name="40% - Accent1 5 2 4 4" xfId="3014" xr:uid="{00000000-0005-0000-0000-0000C20B0000}"/>
    <cellStyle name="40% - Accent1 5 2 5" xfId="3015" xr:uid="{00000000-0005-0000-0000-0000C30B0000}"/>
    <cellStyle name="40% - Accent1 5 2 5 2" xfId="3016" xr:uid="{00000000-0005-0000-0000-0000C40B0000}"/>
    <cellStyle name="40% - Accent1 5 2 6" xfId="3017" xr:uid="{00000000-0005-0000-0000-0000C50B0000}"/>
    <cellStyle name="40% - Accent1 5 2 7" xfId="3018" xr:uid="{00000000-0005-0000-0000-0000C60B0000}"/>
    <cellStyle name="40% - Accent1 5 2 8" xfId="3019" xr:uid="{00000000-0005-0000-0000-0000C70B0000}"/>
    <cellStyle name="40% - Accent1 5 2 9" xfId="3020" xr:uid="{00000000-0005-0000-0000-0000C80B0000}"/>
    <cellStyle name="40% - Accent1 5 3" xfId="3021" xr:uid="{00000000-0005-0000-0000-0000C90B0000}"/>
    <cellStyle name="40% - Accent1 5 3 2" xfId="3022" xr:uid="{00000000-0005-0000-0000-0000CA0B0000}"/>
    <cellStyle name="40% - Accent1 5 3 2 2" xfId="3023" xr:uid="{00000000-0005-0000-0000-0000CB0B0000}"/>
    <cellStyle name="40% - Accent1 5 3 2 3" xfId="3024" xr:uid="{00000000-0005-0000-0000-0000CC0B0000}"/>
    <cellStyle name="40% - Accent1 5 3 3" xfId="3025" xr:uid="{00000000-0005-0000-0000-0000CD0B0000}"/>
    <cellStyle name="40% - Accent1 5 3 4" xfId="3026" xr:uid="{00000000-0005-0000-0000-0000CE0B0000}"/>
    <cellStyle name="40% - Accent1 5 3 5" xfId="3027" xr:uid="{00000000-0005-0000-0000-0000CF0B0000}"/>
    <cellStyle name="40% - Accent1 5 3 6" xfId="3028" xr:uid="{00000000-0005-0000-0000-0000D00B0000}"/>
    <cellStyle name="40% - Accent1 5 4" xfId="3029" xr:uid="{00000000-0005-0000-0000-0000D10B0000}"/>
    <cellStyle name="40% - Accent1 5 4 2" xfId="3030" xr:uid="{00000000-0005-0000-0000-0000D20B0000}"/>
    <cellStyle name="40% - Accent1 5 4 2 2" xfId="3031" xr:uid="{00000000-0005-0000-0000-0000D30B0000}"/>
    <cellStyle name="40% - Accent1 5 4 3" xfId="3032" xr:uid="{00000000-0005-0000-0000-0000D40B0000}"/>
    <cellStyle name="40% - Accent1 5 4 4" xfId="3033" xr:uid="{00000000-0005-0000-0000-0000D50B0000}"/>
    <cellStyle name="40% - Accent1 5 4 5" xfId="3034" xr:uid="{00000000-0005-0000-0000-0000D60B0000}"/>
    <cellStyle name="40% - Accent1 5 5" xfId="3035" xr:uid="{00000000-0005-0000-0000-0000D70B0000}"/>
    <cellStyle name="40% - Accent1 5 5 2" xfId="3036" xr:uid="{00000000-0005-0000-0000-0000D80B0000}"/>
    <cellStyle name="40% - Accent1 5 5 3" xfId="3037" xr:uid="{00000000-0005-0000-0000-0000D90B0000}"/>
    <cellStyle name="40% - Accent1 5 5 4" xfId="3038" xr:uid="{00000000-0005-0000-0000-0000DA0B0000}"/>
    <cellStyle name="40% - Accent1 5 6" xfId="3039" xr:uid="{00000000-0005-0000-0000-0000DB0B0000}"/>
    <cellStyle name="40% - Accent1 5 6 2" xfId="3040" xr:uid="{00000000-0005-0000-0000-0000DC0B0000}"/>
    <cellStyle name="40% - Accent1 5 7" xfId="3041" xr:uid="{00000000-0005-0000-0000-0000DD0B0000}"/>
    <cellStyle name="40% - Accent1 5 8" xfId="3042" xr:uid="{00000000-0005-0000-0000-0000DE0B0000}"/>
    <cellStyle name="40% - Accent1 5 9" xfId="3043" xr:uid="{00000000-0005-0000-0000-0000DF0B0000}"/>
    <cellStyle name="40% - Accent1 6" xfId="3044" xr:uid="{00000000-0005-0000-0000-0000E00B0000}"/>
    <cellStyle name="40% - Accent1 6 10" xfId="3045" xr:uid="{00000000-0005-0000-0000-0000E10B0000}"/>
    <cellStyle name="40% - Accent1 6 2" xfId="3046" xr:uid="{00000000-0005-0000-0000-0000E20B0000}"/>
    <cellStyle name="40% - Accent1 6 2 2" xfId="3047" xr:uid="{00000000-0005-0000-0000-0000E30B0000}"/>
    <cellStyle name="40% - Accent1 6 2 2 2" xfId="3048" xr:uid="{00000000-0005-0000-0000-0000E40B0000}"/>
    <cellStyle name="40% - Accent1 6 2 2 2 2" xfId="3049" xr:uid="{00000000-0005-0000-0000-0000E50B0000}"/>
    <cellStyle name="40% - Accent1 6 2 2 2 3" xfId="3050" xr:uid="{00000000-0005-0000-0000-0000E60B0000}"/>
    <cellStyle name="40% - Accent1 6 2 2 3" xfId="3051" xr:uid="{00000000-0005-0000-0000-0000E70B0000}"/>
    <cellStyle name="40% - Accent1 6 2 2 4" xfId="3052" xr:uid="{00000000-0005-0000-0000-0000E80B0000}"/>
    <cellStyle name="40% - Accent1 6 2 2 5" xfId="3053" xr:uid="{00000000-0005-0000-0000-0000E90B0000}"/>
    <cellStyle name="40% - Accent1 6 2 2 6" xfId="3054" xr:uid="{00000000-0005-0000-0000-0000EA0B0000}"/>
    <cellStyle name="40% - Accent1 6 2 3" xfId="3055" xr:uid="{00000000-0005-0000-0000-0000EB0B0000}"/>
    <cellStyle name="40% - Accent1 6 2 3 2" xfId="3056" xr:uid="{00000000-0005-0000-0000-0000EC0B0000}"/>
    <cellStyle name="40% - Accent1 6 2 3 2 2" xfId="3057" xr:uid="{00000000-0005-0000-0000-0000ED0B0000}"/>
    <cellStyle name="40% - Accent1 6 2 3 3" xfId="3058" xr:uid="{00000000-0005-0000-0000-0000EE0B0000}"/>
    <cellStyle name="40% - Accent1 6 2 3 4" xfId="3059" xr:uid="{00000000-0005-0000-0000-0000EF0B0000}"/>
    <cellStyle name="40% - Accent1 6 2 3 5" xfId="3060" xr:uid="{00000000-0005-0000-0000-0000F00B0000}"/>
    <cellStyle name="40% - Accent1 6 2 4" xfId="3061" xr:uid="{00000000-0005-0000-0000-0000F10B0000}"/>
    <cellStyle name="40% - Accent1 6 2 4 2" xfId="3062" xr:uid="{00000000-0005-0000-0000-0000F20B0000}"/>
    <cellStyle name="40% - Accent1 6 2 4 3" xfId="3063" xr:uid="{00000000-0005-0000-0000-0000F30B0000}"/>
    <cellStyle name="40% - Accent1 6 2 4 4" xfId="3064" xr:uid="{00000000-0005-0000-0000-0000F40B0000}"/>
    <cellStyle name="40% - Accent1 6 2 5" xfId="3065" xr:uid="{00000000-0005-0000-0000-0000F50B0000}"/>
    <cellStyle name="40% - Accent1 6 2 5 2" xfId="3066" xr:uid="{00000000-0005-0000-0000-0000F60B0000}"/>
    <cellStyle name="40% - Accent1 6 2 6" xfId="3067" xr:uid="{00000000-0005-0000-0000-0000F70B0000}"/>
    <cellStyle name="40% - Accent1 6 2 7" xfId="3068" xr:uid="{00000000-0005-0000-0000-0000F80B0000}"/>
    <cellStyle name="40% - Accent1 6 2 8" xfId="3069" xr:uid="{00000000-0005-0000-0000-0000F90B0000}"/>
    <cellStyle name="40% - Accent1 6 2 9" xfId="3070" xr:uid="{00000000-0005-0000-0000-0000FA0B0000}"/>
    <cellStyle name="40% - Accent1 6 3" xfId="3071" xr:uid="{00000000-0005-0000-0000-0000FB0B0000}"/>
    <cellStyle name="40% - Accent1 6 3 2" xfId="3072" xr:uid="{00000000-0005-0000-0000-0000FC0B0000}"/>
    <cellStyle name="40% - Accent1 6 3 2 2" xfId="3073" xr:uid="{00000000-0005-0000-0000-0000FD0B0000}"/>
    <cellStyle name="40% - Accent1 6 3 2 3" xfId="3074" xr:uid="{00000000-0005-0000-0000-0000FE0B0000}"/>
    <cellStyle name="40% - Accent1 6 3 3" xfId="3075" xr:uid="{00000000-0005-0000-0000-0000FF0B0000}"/>
    <cellStyle name="40% - Accent1 6 3 4" xfId="3076" xr:uid="{00000000-0005-0000-0000-0000000C0000}"/>
    <cellStyle name="40% - Accent1 6 3 5" xfId="3077" xr:uid="{00000000-0005-0000-0000-0000010C0000}"/>
    <cellStyle name="40% - Accent1 6 3 6" xfId="3078" xr:uid="{00000000-0005-0000-0000-0000020C0000}"/>
    <cellStyle name="40% - Accent1 6 4" xfId="3079" xr:uid="{00000000-0005-0000-0000-0000030C0000}"/>
    <cellStyle name="40% - Accent1 6 4 2" xfId="3080" xr:uid="{00000000-0005-0000-0000-0000040C0000}"/>
    <cellStyle name="40% - Accent1 6 4 2 2" xfId="3081" xr:uid="{00000000-0005-0000-0000-0000050C0000}"/>
    <cellStyle name="40% - Accent1 6 4 3" xfId="3082" xr:uid="{00000000-0005-0000-0000-0000060C0000}"/>
    <cellStyle name="40% - Accent1 6 4 4" xfId="3083" xr:uid="{00000000-0005-0000-0000-0000070C0000}"/>
    <cellStyle name="40% - Accent1 6 4 5" xfId="3084" xr:uid="{00000000-0005-0000-0000-0000080C0000}"/>
    <cellStyle name="40% - Accent1 6 5" xfId="3085" xr:uid="{00000000-0005-0000-0000-0000090C0000}"/>
    <cellStyle name="40% - Accent1 6 5 2" xfId="3086" xr:uid="{00000000-0005-0000-0000-00000A0C0000}"/>
    <cellStyle name="40% - Accent1 6 5 3" xfId="3087" xr:uid="{00000000-0005-0000-0000-00000B0C0000}"/>
    <cellStyle name="40% - Accent1 6 5 4" xfId="3088" xr:uid="{00000000-0005-0000-0000-00000C0C0000}"/>
    <cellStyle name="40% - Accent1 6 6" xfId="3089" xr:uid="{00000000-0005-0000-0000-00000D0C0000}"/>
    <cellStyle name="40% - Accent1 6 6 2" xfId="3090" xr:uid="{00000000-0005-0000-0000-00000E0C0000}"/>
    <cellStyle name="40% - Accent1 6 7" xfId="3091" xr:uid="{00000000-0005-0000-0000-00000F0C0000}"/>
    <cellStyle name="40% - Accent1 6 8" xfId="3092" xr:uid="{00000000-0005-0000-0000-0000100C0000}"/>
    <cellStyle name="40% - Accent1 6 9" xfId="3093" xr:uid="{00000000-0005-0000-0000-0000110C0000}"/>
    <cellStyle name="40% - Accent1 7" xfId="3094" xr:uid="{00000000-0005-0000-0000-0000120C0000}"/>
    <cellStyle name="40% - Accent1 7 2" xfId="3095" xr:uid="{00000000-0005-0000-0000-0000130C0000}"/>
    <cellStyle name="40% - Accent1 7 2 2" xfId="3096" xr:uid="{00000000-0005-0000-0000-0000140C0000}"/>
    <cellStyle name="40% - Accent1 7 2 2 2" xfId="3097" xr:uid="{00000000-0005-0000-0000-0000150C0000}"/>
    <cellStyle name="40% - Accent1 7 2 2 3" xfId="3098" xr:uid="{00000000-0005-0000-0000-0000160C0000}"/>
    <cellStyle name="40% - Accent1 7 2 3" xfId="3099" xr:uid="{00000000-0005-0000-0000-0000170C0000}"/>
    <cellStyle name="40% - Accent1 7 2 4" xfId="3100" xr:uid="{00000000-0005-0000-0000-0000180C0000}"/>
    <cellStyle name="40% - Accent1 7 2 5" xfId="3101" xr:uid="{00000000-0005-0000-0000-0000190C0000}"/>
    <cellStyle name="40% - Accent1 7 2 6" xfId="3102" xr:uid="{00000000-0005-0000-0000-00001A0C0000}"/>
    <cellStyle name="40% - Accent1 7 3" xfId="3103" xr:uid="{00000000-0005-0000-0000-00001B0C0000}"/>
    <cellStyle name="40% - Accent1 7 3 2" xfId="3104" xr:uid="{00000000-0005-0000-0000-00001C0C0000}"/>
    <cellStyle name="40% - Accent1 7 3 2 2" xfId="3105" xr:uid="{00000000-0005-0000-0000-00001D0C0000}"/>
    <cellStyle name="40% - Accent1 7 3 3" xfId="3106" xr:uid="{00000000-0005-0000-0000-00001E0C0000}"/>
    <cellStyle name="40% - Accent1 7 3 4" xfId="3107" xr:uid="{00000000-0005-0000-0000-00001F0C0000}"/>
    <cellStyle name="40% - Accent1 7 3 5" xfId="3108" xr:uid="{00000000-0005-0000-0000-0000200C0000}"/>
    <cellStyle name="40% - Accent1 7 4" xfId="3109" xr:uid="{00000000-0005-0000-0000-0000210C0000}"/>
    <cellStyle name="40% - Accent1 7 4 2" xfId="3110" xr:uid="{00000000-0005-0000-0000-0000220C0000}"/>
    <cellStyle name="40% - Accent1 7 4 3" xfId="3111" xr:uid="{00000000-0005-0000-0000-0000230C0000}"/>
    <cellStyle name="40% - Accent1 7 4 4" xfId="3112" xr:uid="{00000000-0005-0000-0000-0000240C0000}"/>
    <cellStyle name="40% - Accent1 7 5" xfId="3113" xr:uid="{00000000-0005-0000-0000-0000250C0000}"/>
    <cellStyle name="40% - Accent1 7 5 2" xfId="3114" xr:uid="{00000000-0005-0000-0000-0000260C0000}"/>
    <cellStyle name="40% - Accent1 7 6" xfId="3115" xr:uid="{00000000-0005-0000-0000-0000270C0000}"/>
    <cellStyle name="40% - Accent1 7 7" xfId="3116" xr:uid="{00000000-0005-0000-0000-0000280C0000}"/>
    <cellStyle name="40% - Accent1 7 8" xfId="3117" xr:uid="{00000000-0005-0000-0000-0000290C0000}"/>
    <cellStyle name="40% - Accent1 7 9" xfId="3118" xr:uid="{00000000-0005-0000-0000-00002A0C0000}"/>
    <cellStyle name="40% - Accent1 8" xfId="3119" xr:uid="{00000000-0005-0000-0000-00002B0C0000}"/>
    <cellStyle name="40% - Accent1 8 2" xfId="3120" xr:uid="{00000000-0005-0000-0000-00002C0C0000}"/>
    <cellStyle name="40% - Accent1 8 2 2" xfId="3121" xr:uid="{00000000-0005-0000-0000-00002D0C0000}"/>
    <cellStyle name="40% - Accent1 8 2 2 2" xfId="3122" xr:uid="{00000000-0005-0000-0000-00002E0C0000}"/>
    <cellStyle name="40% - Accent1 8 2 2 3" xfId="3123" xr:uid="{00000000-0005-0000-0000-00002F0C0000}"/>
    <cellStyle name="40% - Accent1 8 2 3" xfId="3124" xr:uid="{00000000-0005-0000-0000-0000300C0000}"/>
    <cellStyle name="40% - Accent1 8 2 4" xfId="3125" xr:uid="{00000000-0005-0000-0000-0000310C0000}"/>
    <cellStyle name="40% - Accent1 8 2 5" xfId="3126" xr:uid="{00000000-0005-0000-0000-0000320C0000}"/>
    <cellStyle name="40% - Accent1 8 2 6" xfId="3127" xr:uid="{00000000-0005-0000-0000-0000330C0000}"/>
    <cellStyle name="40% - Accent1 8 3" xfId="3128" xr:uid="{00000000-0005-0000-0000-0000340C0000}"/>
    <cellStyle name="40% - Accent1 8 3 2" xfId="3129" xr:uid="{00000000-0005-0000-0000-0000350C0000}"/>
    <cellStyle name="40% - Accent1 8 3 2 2" xfId="3130" xr:uid="{00000000-0005-0000-0000-0000360C0000}"/>
    <cellStyle name="40% - Accent1 8 3 3" xfId="3131" xr:uid="{00000000-0005-0000-0000-0000370C0000}"/>
    <cellStyle name="40% - Accent1 8 3 4" xfId="3132" xr:uid="{00000000-0005-0000-0000-0000380C0000}"/>
    <cellStyle name="40% - Accent1 8 3 5" xfId="3133" xr:uid="{00000000-0005-0000-0000-0000390C0000}"/>
    <cellStyle name="40% - Accent1 8 4" xfId="3134" xr:uid="{00000000-0005-0000-0000-00003A0C0000}"/>
    <cellStyle name="40% - Accent1 8 4 2" xfId="3135" xr:uid="{00000000-0005-0000-0000-00003B0C0000}"/>
    <cellStyle name="40% - Accent1 8 4 3" xfId="3136" xr:uid="{00000000-0005-0000-0000-00003C0C0000}"/>
    <cellStyle name="40% - Accent1 8 4 4" xfId="3137" xr:uid="{00000000-0005-0000-0000-00003D0C0000}"/>
    <cellStyle name="40% - Accent1 8 5" xfId="3138" xr:uid="{00000000-0005-0000-0000-00003E0C0000}"/>
    <cellStyle name="40% - Accent1 8 5 2" xfId="3139" xr:uid="{00000000-0005-0000-0000-00003F0C0000}"/>
    <cellStyle name="40% - Accent1 8 6" xfId="3140" xr:uid="{00000000-0005-0000-0000-0000400C0000}"/>
    <cellStyle name="40% - Accent1 8 7" xfId="3141" xr:uid="{00000000-0005-0000-0000-0000410C0000}"/>
    <cellStyle name="40% - Accent1 8 8" xfId="3142" xr:uid="{00000000-0005-0000-0000-0000420C0000}"/>
    <cellStyle name="40% - Accent1 8 9" xfId="3143" xr:uid="{00000000-0005-0000-0000-0000430C0000}"/>
    <cellStyle name="40% - Accent1 9" xfId="3144" xr:uid="{00000000-0005-0000-0000-0000440C0000}"/>
    <cellStyle name="40% - Accent1 9 2" xfId="3145" xr:uid="{00000000-0005-0000-0000-0000450C0000}"/>
    <cellStyle name="40% - Accent1 9 2 2" xfId="3146" xr:uid="{00000000-0005-0000-0000-0000460C0000}"/>
    <cellStyle name="40% - Accent1 9 2 2 2" xfId="3147" xr:uid="{00000000-0005-0000-0000-0000470C0000}"/>
    <cellStyle name="40% - Accent1 9 2 3" xfId="3148" xr:uid="{00000000-0005-0000-0000-0000480C0000}"/>
    <cellStyle name="40% - Accent1 9 2 4" xfId="3149" xr:uid="{00000000-0005-0000-0000-0000490C0000}"/>
    <cellStyle name="40% - Accent1 9 2 5" xfId="3150" xr:uid="{00000000-0005-0000-0000-00004A0C0000}"/>
    <cellStyle name="40% - Accent1 9 3" xfId="3151" xr:uid="{00000000-0005-0000-0000-00004B0C0000}"/>
    <cellStyle name="40% - Accent1 9 3 2" xfId="3152" xr:uid="{00000000-0005-0000-0000-00004C0C0000}"/>
    <cellStyle name="40% - Accent1 9 3 3" xfId="3153" xr:uid="{00000000-0005-0000-0000-00004D0C0000}"/>
    <cellStyle name="40% - Accent1 9 3 4" xfId="3154" xr:uid="{00000000-0005-0000-0000-00004E0C0000}"/>
    <cellStyle name="40% - Accent1 9 4" xfId="3155" xr:uid="{00000000-0005-0000-0000-00004F0C0000}"/>
    <cellStyle name="40% - Accent1 9 4 2" xfId="3156" xr:uid="{00000000-0005-0000-0000-0000500C0000}"/>
    <cellStyle name="40% - Accent1 9 5" xfId="3157" xr:uid="{00000000-0005-0000-0000-0000510C0000}"/>
    <cellStyle name="40% - Accent1 9 6" xfId="3158" xr:uid="{00000000-0005-0000-0000-0000520C0000}"/>
    <cellStyle name="40% - Accent1 9 7" xfId="3159" xr:uid="{00000000-0005-0000-0000-0000530C0000}"/>
    <cellStyle name="40% - Accent1 9 8" xfId="3160" xr:uid="{00000000-0005-0000-0000-0000540C0000}"/>
    <cellStyle name="40% - Accent2 10" xfId="3161" xr:uid="{00000000-0005-0000-0000-0000550C0000}"/>
    <cellStyle name="40% - Accent2 10 2" xfId="3162" xr:uid="{00000000-0005-0000-0000-0000560C0000}"/>
    <cellStyle name="40% - Accent2 10 2 2" xfId="3163" xr:uid="{00000000-0005-0000-0000-0000570C0000}"/>
    <cellStyle name="40% - Accent2 10 2 2 2" xfId="3164" xr:uid="{00000000-0005-0000-0000-0000580C0000}"/>
    <cellStyle name="40% - Accent2 10 2 3" xfId="3165" xr:uid="{00000000-0005-0000-0000-0000590C0000}"/>
    <cellStyle name="40% - Accent2 10 2 4" xfId="3166" xr:uid="{00000000-0005-0000-0000-00005A0C0000}"/>
    <cellStyle name="40% - Accent2 10 2 5" xfId="3167" xr:uid="{00000000-0005-0000-0000-00005B0C0000}"/>
    <cellStyle name="40% - Accent2 10 3" xfId="3168" xr:uid="{00000000-0005-0000-0000-00005C0C0000}"/>
    <cellStyle name="40% - Accent2 10 3 2" xfId="3169" xr:uid="{00000000-0005-0000-0000-00005D0C0000}"/>
    <cellStyle name="40% - Accent2 10 3 3" xfId="3170" xr:uid="{00000000-0005-0000-0000-00005E0C0000}"/>
    <cellStyle name="40% - Accent2 10 3 4" xfId="3171" xr:uid="{00000000-0005-0000-0000-00005F0C0000}"/>
    <cellStyle name="40% - Accent2 10 4" xfId="3172" xr:uid="{00000000-0005-0000-0000-0000600C0000}"/>
    <cellStyle name="40% - Accent2 10 4 2" xfId="3173" xr:uid="{00000000-0005-0000-0000-0000610C0000}"/>
    <cellStyle name="40% - Accent2 10 5" xfId="3174" xr:uid="{00000000-0005-0000-0000-0000620C0000}"/>
    <cellStyle name="40% - Accent2 10 6" xfId="3175" xr:uid="{00000000-0005-0000-0000-0000630C0000}"/>
    <cellStyle name="40% - Accent2 10 7" xfId="3176" xr:uid="{00000000-0005-0000-0000-0000640C0000}"/>
    <cellStyle name="40% - Accent2 10 8" xfId="3177" xr:uid="{00000000-0005-0000-0000-0000650C0000}"/>
    <cellStyle name="40% - Accent2 11" xfId="3178" xr:uid="{00000000-0005-0000-0000-0000660C0000}"/>
    <cellStyle name="40% - Accent2 11 2" xfId="3179" xr:uid="{00000000-0005-0000-0000-0000670C0000}"/>
    <cellStyle name="40% - Accent2 11 2 2" xfId="3180" xr:uid="{00000000-0005-0000-0000-0000680C0000}"/>
    <cellStyle name="40% - Accent2 11 2 2 2" xfId="3181" xr:uid="{00000000-0005-0000-0000-0000690C0000}"/>
    <cellStyle name="40% - Accent2 11 2 3" xfId="3182" xr:uid="{00000000-0005-0000-0000-00006A0C0000}"/>
    <cellStyle name="40% - Accent2 11 2 4" xfId="3183" xr:uid="{00000000-0005-0000-0000-00006B0C0000}"/>
    <cellStyle name="40% - Accent2 11 2 5" xfId="3184" xr:uid="{00000000-0005-0000-0000-00006C0C0000}"/>
    <cellStyle name="40% - Accent2 11 3" xfId="3185" xr:uid="{00000000-0005-0000-0000-00006D0C0000}"/>
    <cellStyle name="40% - Accent2 11 3 2" xfId="3186" xr:uid="{00000000-0005-0000-0000-00006E0C0000}"/>
    <cellStyle name="40% - Accent2 11 3 3" xfId="3187" xr:uid="{00000000-0005-0000-0000-00006F0C0000}"/>
    <cellStyle name="40% - Accent2 11 3 4" xfId="3188" xr:uid="{00000000-0005-0000-0000-0000700C0000}"/>
    <cellStyle name="40% - Accent2 11 4" xfId="3189" xr:uid="{00000000-0005-0000-0000-0000710C0000}"/>
    <cellStyle name="40% - Accent2 11 4 2" xfId="3190" xr:uid="{00000000-0005-0000-0000-0000720C0000}"/>
    <cellStyle name="40% - Accent2 11 5" xfId="3191" xr:uid="{00000000-0005-0000-0000-0000730C0000}"/>
    <cellStyle name="40% - Accent2 11 6" xfId="3192" xr:uid="{00000000-0005-0000-0000-0000740C0000}"/>
    <cellStyle name="40% - Accent2 11 7" xfId="3193" xr:uid="{00000000-0005-0000-0000-0000750C0000}"/>
    <cellStyle name="40% - Accent2 11 8" xfId="3194" xr:uid="{00000000-0005-0000-0000-0000760C0000}"/>
    <cellStyle name="40% - Accent2 12" xfId="3195" xr:uid="{00000000-0005-0000-0000-0000770C0000}"/>
    <cellStyle name="40% - Accent2 12 2" xfId="3196" xr:uid="{00000000-0005-0000-0000-0000780C0000}"/>
    <cellStyle name="40% - Accent2 12 2 2" xfId="3197" xr:uid="{00000000-0005-0000-0000-0000790C0000}"/>
    <cellStyle name="40% - Accent2 12 2 2 2" xfId="3198" xr:uid="{00000000-0005-0000-0000-00007A0C0000}"/>
    <cellStyle name="40% - Accent2 12 2 3" xfId="3199" xr:uid="{00000000-0005-0000-0000-00007B0C0000}"/>
    <cellStyle name="40% - Accent2 12 2 4" xfId="3200" xr:uid="{00000000-0005-0000-0000-00007C0C0000}"/>
    <cellStyle name="40% - Accent2 12 2 5" xfId="3201" xr:uid="{00000000-0005-0000-0000-00007D0C0000}"/>
    <cellStyle name="40% - Accent2 12 3" xfId="3202" xr:uid="{00000000-0005-0000-0000-00007E0C0000}"/>
    <cellStyle name="40% - Accent2 12 3 2" xfId="3203" xr:uid="{00000000-0005-0000-0000-00007F0C0000}"/>
    <cellStyle name="40% - Accent2 12 3 3" xfId="3204" xr:uid="{00000000-0005-0000-0000-0000800C0000}"/>
    <cellStyle name="40% - Accent2 12 3 4" xfId="3205" xr:uid="{00000000-0005-0000-0000-0000810C0000}"/>
    <cellStyle name="40% - Accent2 12 4" xfId="3206" xr:uid="{00000000-0005-0000-0000-0000820C0000}"/>
    <cellStyle name="40% - Accent2 12 4 2" xfId="3207" xr:uid="{00000000-0005-0000-0000-0000830C0000}"/>
    <cellStyle name="40% - Accent2 12 5" xfId="3208" xr:uid="{00000000-0005-0000-0000-0000840C0000}"/>
    <cellStyle name="40% - Accent2 12 6" xfId="3209" xr:uid="{00000000-0005-0000-0000-0000850C0000}"/>
    <cellStyle name="40% - Accent2 12 7" xfId="3210" xr:uid="{00000000-0005-0000-0000-0000860C0000}"/>
    <cellStyle name="40% - Accent2 12 8" xfId="3211" xr:uid="{00000000-0005-0000-0000-0000870C0000}"/>
    <cellStyle name="40% - Accent2 13" xfId="3212" xr:uid="{00000000-0005-0000-0000-0000880C0000}"/>
    <cellStyle name="40% - Accent2 13 2" xfId="3213" xr:uid="{00000000-0005-0000-0000-0000890C0000}"/>
    <cellStyle name="40% - Accent2 13 2 2" xfId="3214" xr:uid="{00000000-0005-0000-0000-00008A0C0000}"/>
    <cellStyle name="40% - Accent2 13 2 3" xfId="3215" xr:uid="{00000000-0005-0000-0000-00008B0C0000}"/>
    <cellStyle name="40% - Accent2 13 2 4" xfId="3216" xr:uid="{00000000-0005-0000-0000-00008C0C0000}"/>
    <cellStyle name="40% - Accent2 13 3" xfId="3217" xr:uid="{00000000-0005-0000-0000-00008D0C0000}"/>
    <cellStyle name="40% - Accent2 13 3 2" xfId="3218" xr:uid="{00000000-0005-0000-0000-00008E0C0000}"/>
    <cellStyle name="40% - Accent2 13 4" xfId="3219" xr:uid="{00000000-0005-0000-0000-00008F0C0000}"/>
    <cellStyle name="40% - Accent2 13 5" xfId="3220" xr:uid="{00000000-0005-0000-0000-0000900C0000}"/>
    <cellStyle name="40% - Accent2 13 6" xfId="3221" xr:uid="{00000000-0005-0000-0000-0000910C0000}"/>
    <cellStyle name="40% - Accent2 14" xfId="3222" xr:uid="{00000000-0005-0000-0000-0000920C0000}"/>
    <cellStyle name="40% - Accent2 14 2" xfId="3223" xr:uid="{00000000-0005-0000-0000-0000930C0000}"/>
    <cellStyle name="40% - Accent2 14 2 2" xfId="3224" xr:uid="{00000000-0005-0000-0000-0000940C0000}"/>
    <cellStyle name="40% - Accent2 14 3" xfId="3225" xr:uid="{00000000-0005-0000-0000-0000950C0000}"/>
    <cellStyle name="40% - Accent2 14 4" xfId="3226" xr:uid="{00000000-0005-0000-0000-0000960C0000}"/>
    <cellStyle name="40% - Accent2 14 5" xfId="3227" xr:uid="{00000000-0005-0000-0000-0000970C0000}"/>
    <cellStyle name="40% - Accent2 15" xfId="3228" xr:uid="{00000000-0005-0000-0000-0000980C0000}"/>
    <cellStyle name="40% - Accent2 15 2" xfId="3229" xr:uid="{00000000-0005-0000-0000-0000990C0000}"/>
    <cellStyle name="40% - Accent2 15 2 2" xfId="3230" xr:uid="{00000000-0005-0000-0000-00009A0C0000}"/>
    <cellStyle name="40% - Accent2 15 3" xfId="3231" xr:uid="{00000000-0005-0000-0000-00009B0C0000}"/>
    <cellStyle name="40% - Accent2 15 4" xfId="3232" xr:uid="{00000000-0005-0000-0000-00009C0C0000}"/>
    <cellStyle name="40% - Accent2 15 5" xfId="3233" xr:uid="{00000000-0005-0000-0000-00009D0C0000}"/>
    <cellStyle name="40% - Accent2 16" xfId="3234" xr:uid="{00000000-0005-0000-0000-00009E0C0000}"/>
    <cellStyle name="40% - Accent2 16 2" xfId="3235" xr:uid="{00000000-0005-0000-0000-00009F0C0000}"/>
    <cellStyle name="40% - Accent2 17" xfId="3236" xr:uid="{00000000-0005-0000-0000-0000A00C0000}"/>
    <cellStyle name="40% - Accent2 18" xfId="3237" xr:uid="{00000000-0005-0000-0000-0000A10C0000}"/>
    <cellStyle name="40% - Accent2 19" xfId="3238" xr:uid="{00000000-0005-0000-0000-0000A20C0000}"/>
    <cellStyle name="40% - Accent2 2" xfId="3239" xr:uid="{00000000-0005-0000-0000-0000A30C0000}"/>
    <cellStyle name="40% - Accent2 2 10" xfId="3240" xr:uid="{00000000-0005-0000-0000-0000A40C0000}"/>
    <cellStyle name="40% - Accent2 2 11" xfId="3241" xr:uid="{00000000-0005-0000-0000-0000A50C0000}"/>
    <cellStyle name="40% - Accent2 2 2" xfId="3242" xr:uid="{00000000-0005-0000-0000-0000A60C0000}"/>
    <cellStyle name="40% - Accent2 2 2 10" xfId="3243" xr:uid="{00000000-0005-0000-0000-0000A70C0000}"/>
    <cellStyle name="40% - Accent2 2 2 2" xfId="3244" xr:uid="{00000000-0005-0000-0000-0000A80C0000}"/>
    <cellStyle name="40% - Accent2 2 2 2 2" xfId="3245" xr:uid="{00000000-0005-0000-0000-0000A90C0000}"/>
    <cellStyle name="40% - Accent2 2 2 2 2 2" xfId="3246" xr:uid="{00000000-0005-0000-0000-0000AA0C0000}"/>
    <cellStyle name="40% - Accent2 2 2 2 2 2 2" xfId="3247" xr:uid="{00000000-0005-0000-0000-0000AB0C0000}"/>
    <cellStyle name="40% - Accent2 2 2 2 2 2 3" xfId="3248" xr:uid="{00000000-0005-0000-0000-0000AC0C0000}"/>
    <cellStyle name="40% - Accent2 2 2 2 2 3" xfId="3249" xr:uid="{00000000-0005-0000-0000-0000AD0C0000}"/>
    <cellStyle name="40% - Accent2 2 2 2 2 4" xfId="3250" xr:uid="{00000000-0005-0000-0000-0000AE0C0000}"/>
    <cellStyle name="40% - Accent2 2 2 2 2 5" xfId="3251" xr:uid="{00000000-0005-0000-0000-0000AF0C0000}"/>
    <cellStyle name="40% - Accent2 2 2 2 2 6" xfId="3252" xr:uid="{00000000-0005-0000-0000-0000B00C0000}"/>
    <cellStyle name="40% - Accent2 2 2 2 3" xfId="3253" xr:uid="{00000000-0005-0000-0000-0000B10C0000}"/>
    <cellStyle name="40% - Accent2 2 2 2 3 2" xfId="3254" xr:uid="{00000000-0005-0000-0000-0000B20C0000}"/>
    <cellStyle name="40% - Accent2 2 2 2 3 2 2" xfId="3255" xr:uid="{00000000-0005-0000-0000-0000B30C0000}"/>
    <cellStyle name="40% - Accent2 2 2 2 3 3" xfId="3256" xr:uid="{00000000-0005-0000-0000-0000B40C0000}"/>
    <cellStyle name="40% - Accent2 2 2 2 3 4" xfId="3257" xr:uid="{00000000-0005-0000-0000-0000B50C0000}"/>
    <cellStyle name="40% - Accent2 2 2 2 3 5" xfId="3258" xr:uid="{00000000-0005-0000-0000-0000B60C0000}"/>
    <cellStyle name="40% - Accent2 2 2 2 4" xfId="3259" xr:uid="{00000000-0005-0000-0000-0000B70C0000}"/>
    <cellStyle name="40% - Accent2 2 2 2 4 2" xfId="3260" xr:uid="{00000000-0005-0000-0000-0000B80C0000}"/>
    <cellStyle name="40% - Accent2 2 2 2 4 3" xfId="3261" xr:uid="{00000000-0005-0000-0000-0000B90C0000}"/>
    <cellStyle name="40% - Accent2 2 2 2 4 4" xfId="3262" xr:uid="{00000000-0005-0000-0000-0000BA0C0000}"/>
    <cellStyle name="40% - Accent2 2 2 2 5" xfId="3263" xr:uid="{00000000-0005-0000-0000-0000BB0C0000}"/>
    <cellStyle name="40% - Accent2 2 2 2 5 2" xfId="3264" xr:uid="{00000000-0005-0000-0000-0000BC0C0000}"/>
    <cellStyle name="40% - Accent2 2 2 2 6" xfId="3265" xr:uid="{00000000-0005-0000-0000-0000BD0C0000}"/>
    <cellStyle name="40% - Accent2 2 2 2 7" xfId="3266" xr:uid="{00000000-0005-0000-0000-0000BE0C0000}"/>
    <cellStyle name="40% - Accent2 2 2 2 8" xfId="3267" xr:uid="{00000000-0005-0000-0000-0000BF0C0000}"/>
    <cellStyle name="40% - Accent2 2 2 2 9" xfId="3268" xr:uid="{00000000-0005-0000-0000-0000C00C0000}"/>
    <cellStyle name="40% - Accent2 2 2 3" xfId="3269" xr:uid="{00000000-0005-0000-0000-0000C10C0000}"/>
    <cellStyle name="40% - Accent2 2 2 3 2" xfId="3270" xr:uid="{00000000-0005-0000-0000-0000C20C0000}"/>
    <cellStyle name="40% - Accent2 2 2 3 2 2" xfId="3271" xr:uid="{00000000-0005-0000-0000-0000C30C0000}"/>
    <cellStyle name="40% - Accent2 2 2 3 2 3" xfId="3272" xr:uid="{00000000-0005-0000-0000-0000C40C0000}"/>
    <cellStyle name="40% - Accent2 2 2 3 3" xfId="3273" xr:uid="{00000000-0005-0000-0000-0000C50C0000}"/>
    <cellStyle name="40% - Accent2 2 2 3 4" xfId="3274" xr:uid="{00000000-0005-0000-0000-0000C60C0000}"/>
    <cellStyle name="40% - Accent2 2 2 3 5" xfId="3275" xr:uid="{00000000-0005-0000-0000-0000C70C0000}"/>
    <cellStyle name="40% - Accent2 2 2 3 6" xfId="3276" xr:uid="{00000000-0005-0000-0000-0000C80C0000}"/>
    <cellStyle name="40% - Accent2 2 2 4" xfId="3277" xr:uid="{00000000-0005-0000-0000-0000C90C0000}"/>
    <cellStyle name="40% - Accent2 2 2 4 2" xfId="3278" xr:uid="{00000000-0005-0000-0000-0000CA0C0000}"/>
    <cellStyle name="40% - Accent2 2 2 4 2 2" xfId="3279" xr:uid="{00000000-0005-0000-0000-0000CB0C0000}"/>
    <cellStyle name="40% - Accent2 2 2 4 3" xfId="3280" xr:uid="{00000000-0005-0000-0000-0000CC0C0000}"/>
    <cellStyle name="40% - Accent2 2 2 4 4" xfId="3281" xr:uid="{00000000-0005-0000-0000-0000CD0C0000}"/>
    <cellStyle name="40% - Accent2 2 2 4 5" xfId="3282" xr:uid="{00000000-0005-0000-0000-0000CE0C0000}"/>
    <cellStyle name="40% - Accent2 2 2 5" xfId="3283" xr:uid="{00000000-0005-0000-0000-0000CF0C0000}"/>
    <cellStyle name="40% - Accent2 2 2 5 2" xfId="3284" xr:uid="{00000000-0005-0000-0000-0000D00C0000}"/>
    <cellStyle name="40% - Accent2 2 2 5 3" xfId="3285" xr:uid="{00000000-0005-0000-0000-0000D10C0000}"/>
    <cellStyle name="40% - Accent2 2 2 5 4" xfId="3286" xr:uid="{00000000-0005-0000-0000-0000D20C0000}"/>
    <cellStyle name="40% - Accent2 2 2 6" xfId="3287" xr:uid="{00000000-0005-0000-0000-0000D30C0000}"/>
    <cellStyle name="40% - Accent2 2 2 6 2" xfId="3288" xr:uid="{00000000-0005-0000-0000-0000D40C0000}"/>
    <cellStyle name="40% - Accent2 2 2 7" xfId="3289" xr:uid="{00000000-0005-0000-0000-0000D50C0000}"/>
    <cellStyle name="40% - Accent2 2 2 8" xfId="3290" xr:uid="{00000000-0005-0000-0000-0000D60C0000}"/>
    <cellStyle name="40% - Accent2 2 2 9" xfId="3291" xr:uid="{00000000-0005-0000-0000-0000D70C0000}"/>
    <cellStyle name="40% - Accent2 2 3" xfId="3292" xr:uid="{00000000-0005-0000-0000-0000D80C0000}"/>
    <cellStyle name="40% - Accent2 2 3 2" xfId="3293" xr:uid="{00000000-0005-0000-0000-0000D90C0000}"/>
    <cellStyle name="40% - Accent2 2 3 2 2" xfId="3294" xr:uid="{00000000-0005-0000-0000-0000DA0C0000}"/>
    <cellStyle name="40% - Accent2 2 3 2 2 2" xfId="3295" xr:uid="{00000000-0005-0000-0000-0000DB0C0000}"/>
    <cellStyle name="40% - Accent2 2 3 2 2 3" xfId="3296" xr:uid="{00000000-0005-0000-0000-0000DC0C0000}"/>
    <cellStyle name="40% - Accent2 2 3 2 3" xfId="3297" xr:uid="{00000000-0005-0000-0000-0000DD0C0000}"/>
    <cellStyle name="40% - Accent2 2 3 2 4" xfId="3298" xr:uid="{00000000-0005-0000-0000-0000DE0C0000}"/>
    <cellStyle name="40% - Accent2 2 3 2 5" xfId="3299" xr:uid="{00000000-0005-0000-0000-0000DF0C0000}"/>
    <cellStyle name="40% - Accent2 2 3 2 6" xfId="3300" xr:uid="{00000000-0005-0000-0000-0000E00C0000}"/>
    <cellStyle name="40% - Accent2 2 3 3" xfId="3301" xr:uid="{00000000-0005-0000-0000-0000E10C0000}"/>
    <cellStyle name="40% - Accent2 2 3 3 2" xfId="3302" xr:uid="{00000000-0005-0000-0000-0000E20C0000}"/>
    <cellStyle name="40% - Accent2 2 3 3 2 2" xfId="3303" xr:uid="{00000000-0005-0000-0000-0000E30C0000}"/>
    <cellStyle name="40% - Accent2 2 3 3 3" xfId="3304" xr:uid="{00000000-0005-0000-0000-0000E40C0000}"/>
    <cellStyle name="40% - Accent2 2 3 3 4" xfId="3305" xr:uid="{00000000-0005-0000-0000-0000E50C0000}"/>
    <cellStyle name="40% - Accent2 2 3 3 5" xfId="3306" xr:uid="{00000000-0005-0000-0000-0000E60C0000}"/>
    <cellStyle name="40% - Accent2 2 3 4" xfId="3307" xr:uid="{00000000-0005-0000-0000-0000E70C0000}"/>
    <cellStyle name="40% - Accent2 2 3 4 2" xfId="3308" xr:uid="{00000000-0005-0000-0000-0000E80C0000}"/>
    <cellStyle name="40% - Accent2 2 3 4 3" xfId="3309" xr:uid="{00000000-0005-0000-0000-0000E90C0000}"/>
    <cellStyle name="40% - Accent2 2 3 4 4" xfId="3310" xr:uid="{00000000-0005-0000-0000-0000EA0C0000}"/>
    <cellStyle name="40% - Accent2 2 3 5" xfId="3311" xr:uid="{00000000-0005-0000-0000-0000EB0C0000}"/>
    <cellStyle name="40% - Accent2 2 3 5 2" xfId="3312" xr:uid="{00000000-0005-0000-0000-0000EC0C0000}"/>
    <cellStyle name="40% - Accent2 2 3 6" xfId="3313" xr:uid="{00000000-0005-0000-0000-0000ED0C0000}"/>
    <cellStyle name="40% - Accent2 2 3 7" xfId="3314" xr:uid="{00000000-0005-0000-0000-0000EE0C0000}"/>
    <cellStyle name="40% - Accent2 2 3 8" xfId="3315" xr:uid="{00000000-0005-0000-0000-0000EF0C0000}"/>
    <cellStyle name="40% - Accent2 2 3 9" xfId="3316" xr:uid="{00000000-0005-0000-0000-0000F00C0000}"/>
    <cellStyle name="40% - Accent2 2 4" xfId="3317" xr:uid="{00000000-0005-0000-0000-0000F10C0000}"/>
    <cellStyle name="40% - Accent2 2 4 2" xfId="3318" xr:uid="{00000000-0005-0000-0000-0000F20C0000}"/>
    <cellStyle name="40% - Accent2 2 4 2 2" xfId="3319" xr:uid="{00000000-0005-0000-0000-0000F30C0000}"/>
    <cellStyle name="40% - Accent2 2 4 2 3" xfId="3320" xr:uid="{00000000-0005-0000-0000-0000F40C0000}"/>
    <cellStyle name="40% - Accent2 2 4 3" xfId="3321" xr:uid="{00000000-0005-0000-0000-0000F50C0000}"/>
    <cellStyle name="40% - Accent2 2 4 4" xfId="3322" xr:uid="{00000000-0005-0000-0000-0000F60C0000}"/>
    <cellStyle name="40% - Accent2 2 4 5" xfId="3323" xr:uid="{00000000-0005-0000-0000-0000F70C0000}"/>
    <cellStyle name="40% - Accent2 2 4 6" xfId="3324" xr:uid="{00000000-0005-0000-0000-0000F80C0000}"/>
    <cellStyle name="40% - Accent2 2 5" xfId="3325" xr:uid="{00000000-0005-0000-0000-0000F90C0000}"/>
    <cellStyle name="40% - Accent2 2 5 2" xfId="3326" xr:uid="{00000000-0005-0000-0000-0000FA0C0000}"/>
    <cellStyle name="40% - Accent2 2 5 2 2" xfId="3327" xr:uid="{00000000-0005-0000-0000-0000FB0C0000}"/>
    <cellStyle name="40% - Accent2 2 5 3" xfId="3328" xr:uid="{00000000-0005-0000-0000-0000FC0C0000}"/>
    <cellStyle name="40% - Accent2 2 5 4" xfId="3329" xr:uid="{00000000-0005-0000-0000-0000FD0C0000}"/>
    <cellStyle name="40% - Accent2 2 5 5" xfId="3330" xr:uid="{00000000-0005-0000-0000-0000FE0C0000}"/>
    <cellStyle name="40% - Accent2 2 6" xfId="3331" xr:uid="{00000000-0005-0000-0000-0000FF0C0000}"/>
    <cellStyle name="40% - Accent2 2 6 2" xfId="3332" xr:uid="{00000000-0005-0000-0000-0000000D0000}"/>
    <cellStyle name="40% - Accent2 2 6 2 2" xfId="3333" xr:uid="{00000000-0005-0000-0000-0000010D0000}"/>
    <cellStyle name="40% - Accent2 2 6 3" xfId="3334" xr:uid="{00000000-0005-0000-0000-0000020D0000}"/>
    <cellStyle name="40% - Accent2 2 6 4" xfId="3335" xr:uid="{00000000-0005-0000-0000-0000030D0000}"/>
    <cellStyle name="40% - Accent2 2 6 5" xfId="3336" xr:uid="{00000000-0005-0000-0000-0000040D0000}"/>
    <cellStyle name="40% - Accent2 2 7" xfId="3337" xr:uid="{00000000-0005-0000-0000-0000050D0000}"/>
    <cellStyle name="40% - Accent2 2 7 2" xfId="3338" xr:uid="{00000000-0005-0000-0000-0000060D0000}"/>
    <cellStyle name="40% - Accent2 2 8" xfId="3339" xr:uid="{00000000-0005-0000-0000-0000070D0000}"/>
    <cellStyle name="40% - Accent2 2 9" xfId="3340" xr:uid="{00000000-0005-0000-0000-0000080D0000}"/>
    <cellStyle name="40% - Accent2 3" xfId="3341" xr:uid="{00000000-0005-0000-0000-0000090D0000}"/>
    <cellStyle name="40% - Accent2 3 10" xfId="3342" xr:uid="{00000000-0005-0000-0000-00000A0D0000}"/>
    <cellStyle name="40% - Accent2 3 2" xfId="3343" xr:uid="{00000000-0005-0000-0000-00000B0D0000}"/>
    <cellStyle name="40% - Accent2 3 2 2" xfId="3344" xr:uid="{00000000-0005-0000-0000-00000C0D0000}"/>
    <cellStyle name="40% - Accent2 3 2 2 2" xfId="3345" xr:uid="{00000000-0005-0000-0000-00000D0D0000}"/>
    <cellStyle name="40% - Accent2 3 2 2 2 2" xfId="3346" xr:uid="{00000000-0005-0000-0000-00000E0D0000}"/>
    <cellStyle name="40% - Accent2 3 2 2 2 3" xfId="3347" xr:uid="{00000000-0005-0000-0000-00000F0D0000}"/>
    <cellStyle name="40% - Accent2 3 2 2 3" xfId="3348" xr:uid="{00000000-0005-0000-0000-0000100D0000}"/>
    <cellStyle name="40% - Accent2 3 2 2 4" xfId="3349" xr:uid="{00000000-0005-0000-0000-0000110D0000}"/>
    <cellStyle name="40% - Accent2 3 2 2 5" xfId="3350" xr:uid="{00000000-0005-0000-0000-0000120D0000}"/>
    <cellStyle name="40% - Accent2 3 2 2 6" xfId="3351" xr:uid="{00000000-0005-0000-0000-0000130D0000}"/>
    <cellStyle name="40% - Accent2 3 2 3" xfId="3352" xr:uid="{00000000-0005-0000-0000-0000140D0000}"/>
    <cellStyle name="40% - Accent2 3 2 3 2" xfId="3353" xr:uid="{00000000-0005-0000-0000-0000150D0000}"/>
    <cellStyle name="40% - Accent2 3 2 3 2 2" xfId="3354" xr:uid="{00000000-0005-0000-0000-0000160D0000}"/>
    <cellStyle name="40% - Accent2 3 2 3 3" xfId="3355" xr:uid="{00000000-0005-0000-0000-0000170D0000}"/>
    <cellStyle name="40% - Accent2 3 2 3 4" xfId="3356" xr:uid="{00000000-0005-0000-0000-0000180D0000}"/>
    <cellStyle name="40% - Accent2 3 2 3 5" xfId="3357" xr:uid="{00000000-0005-0000-0000-0000190D0000}"/>
    <cellStyle name="40% - Accent2 3 2 4" xfId="3358" xr:uid="{00000000-0005-0000-0000-00001A0D0000}"/>
    <cellStyle name="40% - Accent2 3 2 4 2" xfId="3359" xr:uid="{00000000-0005-0000-0000-00001B0D0000}"/>
    <cellStyle name="40% - Accent2 3 2 4 3" xfId="3360" xr:uid="{00000000-0005-0000-0000-00001C0D0000}"/>
    <cellStyle name="40% - Accent2 3 2 4 4" xfId="3361" xr:uid="{00000000-0005-0000-0000-00001D0D0000}"/>
    <cellStyle name="40% - Accent2 3 2 5" xfId="3362" xr:uid="{00000000-0005-0000-0000-00001E0D0000}"/>
    <cellStyle name="40% - Accent2 3 2 5 2" xfId="3363" xr:uid="{00000000-0005-0000-0000-00001F0D0000}"/>
    <cellStyle name="40% - Accent2 3 2 6" xfId="3364" xr:uid="{00000000-0005-0000-0000-0000200D0000}"/>
    <cellStyle name="40% - Accent2 3 2 7" xfId="3365" xr:uid="{00000000-0005-0000-0000-0000210D0000}"/>
    <cellStyle name="40% - Accent2 3 2 8" xfId="3366" xr:uid="{00000000-0005-0000-0000-0000220D0000}"/>
    <cellStyle name="40% - Accent2 3 2 9" xfId="3367" xr:uid="{00000000-0005-0000-0000-0000230D0000}"/>
    <cellStyle name="40% - Accent2 3 3" xfId="3368" xr:uid="{00000000-0005-0000-0000-0000240D0000}"/>
    <cellStyle name="40% - Accent2 3 3 2" xfId="3369" xr:uid="{00000000-0005-0000-0000-0000250D0000}"/>
    <cellStyle name="40% - Accent2 3 3 2 2" xfId="3370" xr:uid="{00000000-0005-0000-0000-0000260D0000}"/>
    <cellStyle name="40% - Accent2 3 3 2 3" xfId="3371" xr:uid="{00000000-0005-0000-0000-0000270D0000}"/>
    <cellStyle name="40% - Accent2 3 3 3" xfId="3372" xr:uid="{00000000-0005-0000-0000-0000280D0000}"/>
    <cellStyle name="40% - Accent2 3 3 4" xfId="3373" xr:uid="{00000000-0005-0000-0000-0000290D0000}"/>
    <cellStyle name="40% - Accent2 3 3 5" xfId="3374" xr:uid="{00000000-0005-0000-0000-00002A0D0000}"/>
    <cellStyle name="40% - Accent2 3 3 6" xfId="3375" xr:uid="{00000000-0005-0000-0000-00002B0D0000}"/>
    <cellStyle name="40% - Accent2 3 4" xfId="3376" xr:uid="{00000000-0005-0000-0000-00002C0D0000}"/>
    <cellStyle name="40% - Accent2 3 4 2" xfId="3377" xr:uid="{00000000-0005-0000-0000-00002D0D0000}"/>
    <cellStyle name="40% - Accent2 3 4 2 2" xfId="3378" xr:uid="{00000000-0005-0000-0000-00002E0D0000}"/>
    <cellStyle name="40% - Accent2 3 4 3" xfId="3379" xr:uid="{00000000-0005-0000-0000-00002F0D0000}"/>
    <cellStyle name="40% - Accent2 3 4 4" xfId="3380" xr:uid="{00000000-0005-0000-0000-0000300D0000}"/>
    <cellStyle name="40% - Accent2 3 4 5" xfId="3381" xr:uid="{00000000-0005-0000-0000-0000310D0000}"/>
    <cellStyle name="40% - Accent2 3 5" xfId="3382" xr:uid="{00000000-0005-0000-0000-0000320D0000}"/>
    <cellStyle name="40% - Accent2 3 5 2" xfId="3383" xr:uid="{00000000-0005-0000-0000-0000330D0000}"/>
    <cellStyle name="40% - Accent2 3 5 2 2" xfId="3384" xr:uid="{00000000-0005-0000-0000-0000340D0000}"/>
    <cellStyle name="40% - Accent2 3 5 3" xfId="3385" xr:uid="{00000000-0005-0000-0000-0000350D0000}"/>
    <cellStyle name="40% - Accent2 3 5 4" xfId="3386" xr:uid="{00000000-0005-0000-0000-0000360D0000}"/>
    <cellStyle name="40% - Accent2 3 5 5" xfId="3387" xr:uid="{00000000-0005-0000-0000-0000370D0000}"/>
    <cellStyle name="40% - Accent2 3 6" xfId="3388" xr:uid="{00000000-0005-0000-0000-0000380D0000}"/>
    <cellStyle name="40% - Accent2 3 6 2" xfId="3389" xr:uid="{00000000-0005-0000-0000-0000390D0000}"/>
    <cellStyle name="40% - Accent2 3 7" xfId="3390" xr:uid="{00000000-0005-0000-0000-00003A0D0000}"/>
    <cellStyle name="40% - Accent2 3 8" xfId="3391" xr:uid="{00000000-0005-0000-0000-00003B0D0000}"/>
    <cellStyle name="40% - Accent2 3 9" xfId="3392" xr:uid="{00000000-0005-0000-0000-00003C0D0000}"/>
    <cellStyle name="40% - Accent2 4" xfId="3393" xr:uid="{00000000-0005-0000-0000-00003D0D0000}"/>
    <cellStyle name="40% - Accent2 4 10" xfId="3394" xr:uid="{00000000-0005-0000-0000-00003E0D0000}"/>
    <cellStyle name="40% - Accent2 4 2" xfId="3395" xr:uid="{00000000-0005-0000-0000-00003F0D0000}"/>
    <cellStyle name="40% - Accent2 4 2 2" xfId="3396" xr:uid="{00000000-0005-0000-0000-0000400D0000}"/>
    <cellStyle name="40% - Accent2 4 2 2 2" xfId="3397" xr:uid="{00000000-0005-0000-0000-0000410D0000}"/>
    <cellStyle name="40% - Accent2 4 2 2 2 2" xfId="3398" xr:uid="{00000000-0005-0000-0000-0000420D0000}"/>
    <cellStyle name="40% - Accent2 4 2 2 2 3" xfId="3399" xr:uid="{00000000-0005-0000-0000-0000430D0000}"/>
    <cellStyle name="40% - Accent2 4 2 2 3" xfId="3400" xr:uid="{00000000-0005-0000-0000-0000440D0000}"/>
    <cellStyle name="40% - Accent2 4 2 2 4" xfId="3401" xr:uid="{00000000-0005-0000-0000-0000450D0000}"/>
    <cellStyle name="40% - Accent2 4 2 2 5" xfId="3402" xr:uid="{00000000-0005-0000-0000-0000460D0000}"/>
    <cellStyle name="40% - Accent2 4 2 2 6" xfId="3403" xr:uid="{00000000-0005-0000-0000-0000470D0000}"/>
    <cellStyle name="40% - Accent2 4 2 3" xfId="3404" xr:uid="{00000000-0005-0000-0000-0000480D0000}"/>
    <cellStyle name="40% - Accent2 4 2 3 2" xfId="3405" xr:uid="{00000000-0005-0000-0000-0000490D0000}"/>
    <cellStyle name="40% - Accent2 4 2 3 2 2" xfId="3406" xr:uid="{00000000-0005-0000-0000-00004A0D0000}"/>
    <cellStyle name="40% - Accent2 4 2 3 3" xfId="3407" xr:uid="{00000000-0005-0000-0000-00004B0D0000}"/>
    <cellStyle name="40% - Accent2 4 2 3 4" xfId="3408" xr:uid="{00000000-0005-0000-0000-00004C0D0000}"/>
    <cellStyle name="40% - Accent2 4 2 3 5" xfId="3409" xr:uid="{00000000-0005-0000-0000-00004D0D0000}"/>
    <cellStyle name="40% - Accent2 4 2 4" xfId="3410" xr:uid="{00000000-0005-0000-0000-00004E0D0000}"/>
    <cellStyle name="40% - Accent2 4 2 4 2" xfId="3411" xr:uid="{00000000-0005-0000-0000-00004F0D0000}"/>
    <cellStyle name="40% - Accent2 4 2 4 3" xfId="3412" xr:uid="{00000000-0005-0000-0000-0000500D0000}"/>
    <cellStyle name="40% - Accent2 4 2 4 4" xfId="3413" xr:uid="{00000000-0005-0000-0000-0000510D0000}"/>
    <cellStyle name="40% - Accent2 4 2 5" xfId="3414" xr:uid="{00000000-0005-0000-0000-0000520D0000}"/>
    <cellStyle name="40% - Accent2 4 2 5 2" xfId="3415" xr:uid="{00000000-0005-0000-0000-0000530D0000}"/>
    <cellStyle name="40% - Accent2 4 2 6" xfId="3416" xr:uid="{00000000-0005-0000-0000-0000540D0000}"/>
    <cellStyle name="40% - Accent2 4 2 7" xfId="3417" xr:uid="{00000000-0005-0000-0000-0000550D0000}"/>
    <cellStyle name="40% - Accent2 4 2 8" xfId="3418" xr:uid="{00000000-0005-0000-0000-0000560D0000}"/>
    <cellStyle name="40% - Accent2 4 2 9" xfId="3419" xr:uid="{00000000-0005-0000-0000-0000570D0000}"/>
    <cellStyle name="40% - Accent2 4 3" xfId="3420" xr:uid="{00000000-0005-0000-0000-0000580D0000}"/>
    <cellStyle name="40% - Accent2 4 3 2" xfId="3421" xr:uid="{00000000-0005-0000-0000-0000590D0000}"/>
    <cellStyle name="40% - Accent2 4 3 2 2" xfId="3422" xr:uid="{00000000-0005-0000-0000-00005A0D0000}"/>
    <cellStyle name="40% - Accent2 4 3 2 3" xfId="3423" xr:uid="{00000000-0005-0000-0000-00005B0D0000}"/>
    <cellStyle name="40% - Accent2 4 3 3" xfId="3424" xr:uid="{00000000-0005-0000-0000-00005C0D0000}"/>
    <cellStyle name="40% - Accent2 4 3 4" xfId="3425" xr:uid="{00000000-0005-0000-0000-00005D0D0000}"/>
    <cellStyle name="40% - Accent2 4 3 5" xfId="3426" xr:uid="{00000000-0005-0000-0000-00005E0D0000}"/>
    <cellStyle name="40% - Accent2 4 3 6" xfId="3427" xr:uid="{00000000-0005-0000-0000-00005F0D0000}"/>
    <cellStyle name="40% - Accent2 4 4" xfId="3428" xr:uid="{00000000-0005-0000-0000-0000600D0000}"/>
    <cellStyle name="40% - Accent2 4 4 2" xfId="3429" xr:uid="{00000000-0005-0000-0000-0000610D0000}"/>
    <cellStyle name="40% - Accent2 4 4 2 2" xfId="3430" xr:uid="{00000000-0005-0000-0000-0000620D0000}"/>
    <cellStyle name="40% - Accent2 4 4 3" xfId="3431" xr:uid="{00000000-0005-0000-0000-0000630D0000}"/>
    <cellStyle name="40% - Accent2 4 4 4" xfId="3432" xr:uid="{00000000-0005-0000-0000-0000640D0000}"/>
    <cellStyle name="40% - Accent2 4 4 5" xfId="3433" xr:uid="{00000000-0005-0000-0000-0000650D0000}"/>
    <cellStyle name="40% - Accent2 4 5" xfId="3434" xr:uid="{00000000-0005-0000-0000-0000660D0000}"/>
    <cellStyle name="40% - Accent2 4 5 2" xfId="3435" xr:uid="{00000000-0005-0000-0000-0000670D0000}"/>
    <cellStyle name="40% - Accent2 4 5 2 2" xfId="3436" xr:uid="{00000000-0005-0000-0000-0000680D0000}"/>
    <cellStyle name="40% - Accent2 4 5 3" xfId="3437" xr:uid="{00000000-0005-0000-0000-0000690D0000}"/>
    <cellStyle name="40% - Accent2 4 5 4" xfId="3438" xr:uid="{00000000-0005-0000-0000-00006A0D0000}"/>
    <cellStyle name="40% - Accent2 4 5 5" xfId="3439" xr:uid="{00000000-0005-0000-0000-00006B0D0000}"/>
    <cellStyle name="40% - Accent2 4 6" xfId="3440" xr:uid="{00000000-0005-0000-0000-00006C0D0000}"/>
    <cellStyle name="40% - Accent2 4 6 2" xfId="3441" xr:uid="{00000000-0005-0000-0000-00006D0D0000}"/>
    <cellStyle name="40% - Accent2 4 7" xfId="3442" xr:uid="{00000000-0005-0000-0000-00006E0D0000}"/>
    <cellStyle name="40% - Accent2 4 8" xfId="3443" xr:uid="{00000000-0005-0000-0000-00006F0D0000}"/>
    <cellStyle name="40% - Accent2 4 9" xfId="3444" xr:uid="{00000000-0005-0000-0000-0000700D0000}"/>
    <cellStyle name="40% - Accent2 5" xfId="3445" xr:uid="{00000000-0005-0000-0000-0000710D0000}"/>
    <cellStyle name="40% - Accent2 5 10" xfId="3446" xr:uid="{00000000-0005-0000-0000-0000720D0000}"/>
    <cellStyle name="40% - Accent2 5 2" xfId="3447" xr:uid="{00000000-0005-0000-0000-0000730D0000}"/>
    <cellStyle name="40% - Accent2 5 2 2" xfId="3448" xr:uid="{00000000-0005-0000-0000-0000740D0000}"/>
    <cellStyle name="40% - Accent2 5 2 2 2" xfId="3449" xr:uid="{00000000-0005-0000-0000-0000750D0000}"/>
    <cellStyle name="40% - Accent2 5 2 2 2 2" xfId="3450" xr:uid="{00000000-0005-0000-0000-0000760D0000}"/>
    <cellStyle name="40% - Accent2 5 2 2 2 3" xfId="3451" xr:uid="{00000000-0005-0000-0000-0000770D0000}"/>
    <cellStyle name="40% - Accent2 5 2 2 3" xfId="3452" xr:uid="{00000000-0005-0000-0000-0000780D0000}"/>
    <cellStyle name="40% - Accent2 5 2 2 4" xfId="3453" xr:uid="{00000000-0005-0000-0000-0000790D0000}"/>
    <cellStyle name="40% - Accent2 5 2 2 5" xfId="3454" xr:uid="{00000000-0005-0000-0000-00007A0D0000}"/>
    <cellStyle name="40% - Accent2 5 2 2 6" xfId="3455" xr:uid="{00000000-0005-0000-0000-00007B0D0000}"/>
    <cellStyle name="40% - Accent2 5 2 3" xfId="3456" xr:uid="{00000000-0005-0000-0000-00007C0D0000}"/>
    <cellStyle name="40% - Accent2 5 2 3 2" xfId="3457" xr:uid="{00000000-0005-0000-0000-00007D0D0000}"/>
    <cellStyle name="40% - Accent2 5 2 3 2 2" xfId="3458" xr:uid="{00000000-0005-0000-0000-00007E0D0000}"/>
    <cellStyle name="40% - Accent2 5 2 3 3" xfId="3459" xr:uid="{00000000-0005-0000-0000-00007F0D0000}"/>
    <cellStyle name="40% - Accent2 5 2 3 4" xfId="3460" xr:uid="{00000000-0005-0000-0000-0000800D0000}"/>
    <cellStyle name="40% - Accent2 5 2 3 5" xfId="3461" xr:uid="{00000000-0005-0000-0000-0000810D0000}"/>
    <cellStyle name="40% - Accent2 5 2 4" xfId="3462" xr:uid="{00000000-0005-0000-0000-0000820D0000}"/>
    <cellStyle name="40% - Accent2 5 2 4 2" xfId="3463" xr:uid="{00000000-0005-0000-0000-0000830D0000}"/>
    <cellStyle name="40% - Accent2 5 2 4 3" xfId="3464" xr:uid="{00000000-0005-0000-0000-0000840D0000}"/>
    <cellStyle name="40% - Accent2 5 2 4 4" xfId="3465" xr:uid="{00000000-0005-0000-0000-0000850D0000}"/>
    <cellStyle name="40% - Accent2 5 2 5" xfId="3466" xr:uid="{00000000-0005-0000-0000-0000860D0000}"/>
    <cellStyle name="40% - Accent2 5 2 5 2" xfId="3467" xr:uid="{00000000-0005-0000-0000-0000870D0000}"/>
    <cellStyle name="40% - Accent2 5 2 6" xfId="3468" xr:uid="{00000000-0005-0000-0000-0000880D0000}"/>
    <cellStyle name="40% - Accent2 5 2 7" xfId="3469" xr:uid="{00000000-0005-0000-0000-0000890D0000}"/>
    <cellStyle name="40% - Accent2 5 2 8" xfId="3470" xr:uid="{00000000-0005-0000-0000-00008A0D0000}"/>
    <cellStyle name="40% - Accent2 5 2 9" xfId="3471" xr:uid="{00000000-0005-0000-0000-00008B0D0000}"/>
    <cellStyle name="40% - Accent2 5 3" xfId="3472" xr:uid="{00000000-0005-0000-0000-00008C0D0000}"/>
    <cellStyle name="40% - Accent2 5 3 2" xfId="3473" xr:uid="{00000000-0005-0000-0000-00008D0D0000}"/>
    <cellStyle name="40% - Accent2 5 3 2 2" xfId="3474" xr:uid="{00000000-0005-0000-0000-00008E0D0000}"/>
    <cellStyle name="40% - Accent2 5 3 2 3" xfId="3475" xr:uid="{00000000-0005-0000-0000-00008F0D0000}"/>
    <cellStyle name="40% - Accent2 5 3 3" xfId="3476" xr:uid="{00000000-0005-0000-0000-0000900D0000}"/>
    <cellStyle name="40% - Accent2 5 3 4" xfId="3477" xr:uid="{00000000-0005-0000-0000-0000910D0000}"/>
    <cellStyle name="40% - Accent2 5 3 5" xfId="3478" xr:uid="{00000000-0005-0000-0000-0000920D0000}"/>
    <cellStyle name="40% - Accent2 5 3 6" xfId="3479" xr:uid="{00000000-0005-0000-0000-0000930D0000}"/>
    <cellStyle name="40% - Accent2 5 4" xfId="3480" xr:uid="{00000000-0005-0000-0000-0000940D0000}"/>
    <cellStyle name="40% - Accent2 5 4 2" xfId="3481" xr:uid="{00000000-0005-0000-0000-0000950D0000}"/>
    <cellStyle name="40% - Accent2 5 4 2 2" xfId="3482" xr:uid="{00000000-0005-0000-0000-0000960D0000}"/>
    <cellStyle name="40% - Accent2 5 4 3" xfId="3483" xr:uid="{00000000-0005-0000-0000-0000970D0000}"/>
    <cellStyle name="40% - Accent2 5 4 4" xfId="3484" xr:uid="{00000000-0005-0000-0000-0000980D0000}"/>
    <cellStyle name="40% - Accent2 5 4 5" xfId="3485" xr:uid="{00000000-0005-0000-0000-0000990D0000}"/>
    <cellStyle name="40% - Accent2 5 5" xfId="3486" xr:uid="{00000000-0005-0000-0000-00009A0D0000}"/>
    <cellStyle name="40% - Accent2 5 5 2" xfId="3487" xr:uid="{00000000-0005-0000-0000-00009B0D0000}"/>
    <cellStyle name="40% - Accent2 5 5 3" xfId="3488" xr:uid="{00000000-0005-0000-0000-00009C0D0000}"/>
    <cellStyle name="40% - Accent2 5 5 4" xfId="3489" xr:uid="{00000000-0005-0000-0000-00009D0D0000}"/>
    <cellStyle name="40% - Accent2 5 6" xfId="3490" xr:uid="{00000000-0005-0000-0000-00009E0D0000}"/>
    <cellStyle name="40% - Accent2 5 6 2" xfId="3491" xr:uid="{00000000-0005-0000-0000-00009F0D0000}"/>
    <cellStyle name="40% - Accent2 5 7" xfId="3492" xr:uid="{00000000-0005-0000-0000-0000A00D0000}"/>
    <cellStyle name="40% - Accent2 5 8" xfId="3493" xr:uid="{00000000-0005-0000-0000-0000A10D0000}"/>
    <cellStyle name="40% - Accent2 5 9" xfId="3494" xr:uid="{00000000-0005-0000-0000-0000A20D0000}"/>
    <cellStyle name="40% - Accent2 6" xfId="3495" xr:uid="{00000000-0005-0000-0000-0000A30D0000}"/>
    <cellStyle name="40% - Accent2 6 10" xfId="3496" xr:uid="{00000000-0005-0000-0000-0000A40D0000}"/>
    <cellStyle name="40% - Accent2 6 2" xfId="3497" xr:uid="{00000000-0005-0000-0000-0000A50D0000}"/>
    <cellStyle name="40% - Accent2 6 2 2" xfId="3498" xr:uid="{00000000-0005-0000-0000-0000A60D0000}"/>
    <cellStyle name="40% - Accent2 6 2 2 2" xfId="3499" xr:uid="{00000000-0005-0000-0000-0000A70D0000}"/>
    <cellStyle name="40% - Accent2 6 2 2 2 2" xfId="3500" xr:uid="{00000000-0005-0000-0000-0000A80D0000}"/>
    <cellStyle name="40% - Accent2 6 2 2 2 3" xfId="3501" xr:uid="{00000000-0005-0000-0000-0000A90D0000}"/>
    <cellStyle name="40% - Accent2 6 2 2 3" xfId="3502" xr:uid="{00000000-0005-0000-0000-0000AA0D0000}"/>
    <cellStyle name="40% - Accent2 6 2 2 4" xfId="3503" xr:uid="{00000000-0005-0000-0000-0000AB0D0000}"/>
    <cellStyle name="40% - Accent2 6 2 2 5" xfId="3504" xr:uid="{00000000-0005-0000-0000-0000AC0D0000}"/>
    <cellStyle name="40% - Accent2 6 2 2 6" xfId="3505" xr:uid="{00000000-0005-0000-0000-0000AD0D0000}"/>
    <cellStyle name="40% - Accent2 6 2 3" xfId="3506" xr:uid="{00000000-0005-0000-0000-0000AE0D0000}"/>
    <cellStyle name="40% - Accent2 6 2 3 2" xfId="3507" xr:uid="{00000000-0005-0000-0000-0000AF0D0000}"/>
    <cellStyle name="40% - Accent2 6 2 3 2 2" xfId="3508" xr:uid="{00000000-0005-0000-0000-0000B00D0000}"/>
    <cellStyle name="40% - Accent2 6 2 3 3" xfId="3509" xr:uid="{00000000-0005-0000-0000-0000B10D0000}"/>
    <cellStyle name="40% - Accent2 6 2 3 4" xfId="3510" xr:uid="{00000000-0005-0000-0000-0000B20D0000}"/>
    <cellStyle name="40% - Accent2 6 2 3 5" xfId="3511" xr:uid="{00000000-0005-0000-0000-0000B30D0000}"/>
    <cellStyle name="40% - Accent2 6 2 4" xfId="3512" xr:uid="{00000000-0005-0000-0000-0000B40D0000}"/>
    <cellStyle name="40% - Accent2 6 2 4 2" xfId="3513" xr:uid="{00000000-0005-0000-0000-0000B50D0000}"/>
    <cellStyle name="40% - Accent2 6 2 4 3" xfId="3514" xr:uid="{00000000-0005-0000-0000-0000B60D0000}"/>
    <cellStyle name="40% - Accent2 6 2 4 4" xfId="3515" xr:uid="{00000000-0005-0000-0000-0000B70D0000}"/>
    <cellStyle name="40% - Accent2 6 2 5" xfId="3516" xr:uid="{00000000-0005-0000-0000-0000B80D0000}"/>
    <cellStyle name="40% - Accent2 6 2 5 2" xfId="3517" xr:uid="{00000000-0005-0000-0000-0000B90D0000}"/>
    <cellStyle name="40% - Accent2 6 2 6" xfId="3518" xr:uid="{00000000-0005-0000-0000-0000BA0D0000}"/>
    <cellStyle name="40% - Accent2 6 2 7" xfId="3519" xr:uid="{00000000-0005-0000-0000-0000BB0D0000}"/>
    <cellStyle name="40% - Accent2 6 2 8" xfId="3520" xr:uid="{00000000-0005-0000-0000-0000BC0D0000}"/>
    <cellStyle name="40% - Accent2 6 2 9" xfId="3521" xr:uid="{00000000-0005-0000-0000-0000BD0D0000}"/>
    <cellStyle name="40% - Accent2 6 3" xfId="3522" xr:uid="{00000000-0005-0000-0000-0000BE0D0000}"/>
    <cellStyle name="40% - Accent2 6 3 2" xfId="3523" xr:uid="{00000000-0005-0000-0000-0000BF0D0000}"/>
    <cellStyle name="40% - Accent2 6 3 2 2" xfId="3524" xr:uid="{00000000-0005-0000-0000-0000C00D0000}"/>
    <cellStyle name="40% - Accent2 6 3 2 3" xfId="3525" xr:uid="{00000000-0005-0000-0000-0000C10D0000}"/>
    <cellStyle name="40% - Accent2 6 3 3" xfId="3526" xr:uid="{00000000-0005-0000-0000-0000C20D0000}"/>
    <cellStyle name="40% - Accent2 6 3 4" xfId="3527" xr:uid="{00000000-0005-0000-0000-0000C30D0000}"/>
    <cellStyle name="40% - Accent2 6 3 5" xfId="3528" xr:uid="{00000000-0005-0000-0000-0000C40D0000}"/>
    <cellStyle name="40% - Accent2 6 3 6" xfId="3529" xr:uid="{00000000-0005-0000-0000-0000C50D0000}"/>
    <cellStyle name="40% - Accent2 6 4" xfId="3530" xr:uid="{00000000-0005-0000-0000-0000C60D0000}"/>
    <cellStyle name="40% - Accent2 6 4 2" xfId="3531" xr:uid="{00000000-0005-0000-0000-0000C70D0000}"/>
    <cellStyle name="40% - Accent2 6 4 2 2" xfId="3532" xr:uid="{00000000-0005-0000-0000-0000C80D0000}"/>
    <cellStyle name="40% - Accent2 6 4 3" xfId="3533" xr:uid="{00000000-0005-0000-0000-0000C90D0000}"/>
    <cellStyle name="40% - Accent2 6 4 4" xfId="3534" xr:uid="{00000000-0005-0000-0000-0000CA0D0000}"/>
    <cellStyle name="40% - Accent2 6 4 5" xfId="3535" xr:uid="{00000000-0005-0000-0000-0000CB0D0000}"/>
    <cellStyle name="40% - Accent2 6 5" xfId="3536" xr:uid="{00000000-0005-0000-0000-0000CC0D0000}"/>
    <cellStyle name="40% - Accent2 6 5 2" xfId="3537" xr:uid="{00000000-0005-0000-0000-0000CD0D0000}"/>
    <cellStyle name="40% - Accent2 6 5 3" xfId="3538" xr:uid="{00000000-0005-0000-0000-0000CE0D0000}"/>
    <cellStyle name="40% - Accent2 6 5 4" xfId="3539" xr:uid="{00000000-0005-0000-0000-0000CF0D0000}"/>
    <cellStyle name="40% - Accent2 6 6" xfId="3540" xr:uid="{00000000-0005-0000-0000-0000D00D0000}"/>
    <cellStyle name="40% - Accent2 6 6 2" xfId="3541" xr:uid="{00000000-0005-0000-0000-0000D10D0000}"/>
    <cellStyle name="40% - Accent2 6 7" xfId="3542" xr:uid="{00000000-0005-0000-0000-0000D20D0000}"/>
    <cellStyle name="40% - Accent2 6 8" xfId="3543" xr:uid="{00000000-0005-0000-0000-0000D30D0000}"/>
    <cellStyle name="40% - Accent2 6 9" xfId="3544" xr:uid="{00000000-0005-0000-0000-0000D40D0000}"/>
    <cellStyle name="40% - Accent2 7" xfId="3545" xr:uid="{00000000-0005-0000-0000-0000D50D0000}"/>
    <cellStyle name="40% - Accent2 7 2" xfId="3546" xr:uid="{00000000-0005-0000-0000-0000D60D0000}"/>
    <cellStyle name="40% - Accent2 7 2 2" xfId="3547" xr:uid="{00000000-0005-0000-0000-0000D70D0000}"/>
    <cellStyle name="40% - Accent2 7 2 2 2" xfId="3548" xr:uid="{00000000-0005-0000-0000-0000D80D0000}"/>
    <cellStyle name="40% - Accent2 7 2 2 3" xfId="3549" xr:uid="{00000000-0005-0000-0000-0000D90D0000}"/>
    <cellStyle name="40% - Accent2 7 2 3" xfId="3550" xr:uid="{00000000-0005-0000-0000-0000DA0D0000}"/>
    <cellStyle name="40% - Accent2 7 2 4" xfId="3551" xr:uid="{00000000-0005-0000-0000-0000DB0D0000}"/>
    <cellStyle name="40% - Accent2 7 2 5" xfId="3552" xr:uid="{00000000-0005-0000-0000-0000DC0D0000}"/>
    <cellStyle name="40% - Accent2 7 2 6" xfId="3553" xr:uid="{00000000-0005-0000-0000-0000DD0D0000}"/>
    <cellStyle name="40% - Accent2 7 3" xfId="3554" xr:uid="{00000000-0005-0000-0000-0000DE0D0000}"/>
    <cellStyle name="40% - Accent2 7 3 2" xfId="3555" xr:uid="{00000000-0005-0000-0000-0000DF0D0000}"/>
    <cellStyle name="40% - Accent2 7 3 2 2" xfId="3556" xr:uid="{00000000-0005-0000-0000-0000E00D0000}"/>
    <cellStyle name="40% - Accent2 7 3 3" xfId="3557" xr:uid="{00000000-0005-0000-0000-0000E10D0000}"/>
    <cellStyle name="40% - Accent2 7 3 4" xfId="3558" xr:uid="{00000000-0005-0000-0000-0000E20D0000}"/>
    <cellStyle name="40% - Accent2 7 3 5" xfId="3559" xr:uid="{00000000-0005-0000-0000-0000E30D0000}"/>
    <cellStyle name="40% - Accent2 7 4" xfId="3560" xr:uid="{00000000-0005-0000-0000-0000E40D0000}"/>
    <cellStyle name="40% - Accent2 7 4 2" xfId="3561" xr:uid="{00000000-0005-0000-0000-0000E50D0000}"/>
    <cellStyle name="40% - Accent2 7 4 3" xfId="3562" xr:uid="{00000000-0005-0000-0000-0000E60D0000}"/>
    <cellStyle name="40% - Accent2 7 4 4" xfId="3563" xr:uid="{00000000-0005-0000-0000-0000E70D0000}"/>
    <cellStyle name="40% - Accent2 7 5" xfId="3564" xr:uid="{00000000-0005-0000-0000-0000E80D0000}"/>
    <cellStyle name="40% - Accent2 7 5 2" xfId="3565" xr:uid="{00000000-0005-0000-0000-0000E90D0000}"/>
    <cellStyle name="40% - Accent2 7 6" xfId="3566" xr:uid="{00000000-0005-0000-0000-0000EA0D0000}"/>
    <cellStyle name="40% - Accent2 7 7" xfId="3567" xr:uid="{00000000-0005-0000-0000-0000EB0D0000}"/>
    <cellStyle name="40% - Accent2 7 8" xfId="3568" xr:uid="{00000000-0005-0000-0000-0000EC0D0000}"/>
    <cellStyle name="40% - Accent2 7 9" xfId="3569" xr:uid="{00000000-0005-0000-0000-0000ED0D0000}"/>
    <cellStyle name="40% - Accent2 8" xfId="3570" xr:uid="{00000000-0005-0000-0000-0000EE0D0000}"/>
    <cellStyle name="40% - Accent2 8 2" xfId="3571" xr:uid="{00000000-0005-0000-0000-0000EF0D0000}"/>
    <cellStyle name="40% - Accent2 8 2 2" xfId="3572" xr:uid="{00000000-0005-0000-0000-0000F00D0000}"/>
    <cellStyle name="40% - Accent2 8 2 2 2" xfId="3573" xr:uid="{00000000-0005-0000-0000-0000F10D0000}"/>
    <cellStyle name="40% - Accent2 8 2 2 3" xfId="3574" xr:uid="{00000000-0005-0000-0000-0000F20D0000}"/>
    <cellStyle name="40% - Accent2 8 2 3" xfId="3575" xr:uid="{00000000-0005-0000-0000-0000F30D0000}"/>
    <cellStyle name="40% - Accent2 8 2 4" xfId="3576" xr:uid="{00000000-0005-0000-0000-0000F40D0000}"/>
    <cellStyle name="40% - Accent2 8 2 5" xfId="3577" xr:uid="{00000000-0005-0000-0000-0000F50D0000}"/>
    <cellStyle name="40% - Accent2 8 2 6" xfId="3578" xr:uid="{00000000-0005-0000-0000-0000F60D0000}"/>
    <cellStyle name="40% - Accent2 8 3" xfId="3579" xr:uid="{00000000-0005-0000-0000-0000F70D0000}"/>
    <cellStyle name="40% - Accent2 8 3 2" xfId="3580" xr:uid="{00000000-0005-0000-0000-0000F80D0000}"/>
    <cellStyle name="40% - Accent2 8 3 2 2" xfId="3581" xr:uid="{00000000-0005-0000-0000-0000F90D0000}"/>
    <cellStyle name="40% - Accent2 8 3 3" xfId="3582" xr:uid="{00000000-0005-0000-0000-0000FA0D0000}"/>
    <cellStyle name="40% - Accent2 8 3 4" xfId="3583" xr:uid="{00000000-0005-0000-0000-0000FB0D0000}"/>
    <cellStyle name="40% - Accent2 8 3 5" xfId="3584" xr:uid="{00000000-0005-0000-0000-0000FC0D0000}"/>
    <cellStyle name="40% - Accent2 8 4" xfId="3585" xr:uid="{00000000-0005-0000-0000-0000FD0D0000}"/>
    <cellStyle name="40% - Accent2 8 4 2" xfId="3586" xr:uid="{00000000-0005-0000-0000-0000FE0D0000}"/>
    <cellStyle name="40% - Accent2 8 4 3" xfId="3587" xr:uid="{00000000-0005-0000-0000-0000FF0D0000}"/>
    <cellStyle name="40% - Accent2 8 4 4" xfId="3588" xr:uid="{00000000-0005-0000-0000-0000000E0000}"/>
    <cellStyle name="40% - Accent2 8 5" xfId="3589" xr:uid="{00000000-0005-0000-0000-0000010E0000}"/>
    <cellStyle name="40% - Accent2 8 5 2" xfId="3590" xr:uid="{00000000-0005-0000-0000-0000020E0000}"/>
    <cellStyle name="40% - Accent2 8 6" xfId="3591" xr:uid="{00000000-0005-0000-0000-0000030E0000}"/>
    <cellStyle name="40% - Accent2 8 7" xfId="3592" xr:uid="{00000000-0005-0000-0000-0000040E0000}"/>
    <cellStyle name="40% - Accent2 8 8" xfId="3593" xr:uid="{00000000-0005-0000-0000-0000050E0000}"/>
    <cellStyle name="40% - Accent2 8 9" xfId="3594" xr:uid="{00000000-0005-0000-0000-0000060E0000}"/>
    <cellStyle name="40% - Accent2 9" xfId="3595" xr:uid="{00000000-0005-0000-0000-0000070E0000}"/>
    <cellStyle name="40% - Accent2 9 2" xfId="3596" xr:uid="{00000000-0005-0000-0000-0000080E0000}"/>
    <cellStyle name="40% - Accent2 9 2 2" xfId="3597" xr:uid="{00000000-0005-0000-0000-0000090E0000}"/>
    <cellStyle name="40% - Accent2 9 2 2 2" xfId="3598" xr:uid="{00000000-0005-0000-0000-00000A0E0000}"/>
    <cellStyle name="40% - Accent2 9 2 3" xfId="3599" xr:uid="{00000000-0005-0000-0000-00000B0E0000}"/>
    <cellStyle name="40% - Accent2 9 2 4" xfId="3600" xr:uid="{00000000-0005-0000-0000-00000C0E0000}"/>
    <cellStyle name="40% - Accent2 9 2 5" xfId="3601" xr:uid="{00000000-0005-0000-0000-00000D0E0000}"/>
    <cellStyle name="40% - Accent2 9 3" xfId="3602" xr:uid="{00000000-0005-0000-0000-00000E0E0000}"/>
    <cellStyle name="40% - Accent2 9 3 2" xfId="3603" xr:uid="{00000000-0005-0000-0000-00000F0E0000}"/>
    <cellStyle name="40% - Accent2 9 3 3" xfId="3604" xr:uid="{00000000-0005-0000-0000-0000100E0000}"/>
    <cellStyle name="40% - Accent2 9 3 4" xfId="3605" xr:uid="{00000000-0005-0000-0000-0000110E0000}"/>
    <cellStyle name="40% - Accent2 9 4" xfId="3606" xr:uid="{00000000-0005-0000-0000-0000120E0000}"/>
    <cellStyle name="40% - Accent2 9 4 2" xfId="3607" xr:uid="{00000000-0005-0000-0000-0000130E0000}"/>
    <cellStyle name="40% - Accent2 9 5" xfId="3608" xr:uid="{00000000-0005-0000-0000-0000140E0000}"/>
    <cellStyle name="40% - Accent2 9 6" xfId="3609" xr:uid="{00000000-0005-0000-0000-0000150E0000}"/>
    <cellStyle name="40% - Accent2 9 7" xfId="3610" xr:uid="{00000000-0005-0000-0000-0000160E0000}"/>
    <cellStyle name="40% - Accent2 9 8" xfId="3611" xr:uid="{00000000-0005-0000-0000-0000170E0000}"/>
    <cellStyle name="40% - Accent3 10" xfId="3612" xr:uid="{00000000-0005-0000-0000-0000180E0000}"/>
    <cellStyle name="40% - Accent3 10 2" xfId="3613" xr:uid="{00000000-0005-0000-0000-0000190E0000}"/>
    <cellStyle name="40% - Accent3 10 2 2" xfId="3614" xr:uid="{00000000-0005-0000-0000-00001A0E0000}"/>
    <cellStyle name="40% - Accent3 10 2 2 2" xfId="3615" xr:uid="{00000000-0005-0000-0000-00001B0E0000}"/>
    <cellStyle name="40% - Accent3 10 2 3" xfId="3616" xr:uid="{00000000-0005-0000-0000-00001C0E0000}"/>
    <cellStyle name="40% - Accent3 10 2 4" xfId="3617" xr:uid="{00000000-0005-0000-0000-00001D0E0000}"/>
    <cellStyle name="40% - Accent3 10 2 5" xfId="3618" xr:uid="{00000000-0005-0000-0000-00001E0E0000}"/>
    <cellStyle name="40% - Accent3 10 3" xfId="3619" xr:uid="{00000000-0005-0000-0000-00001F0E0000}"/>
    <cellStyle name="40% - Accent3 10 3 2" xfId="3620" xr:uid="{00000000-0005-0000-0000-0000200E0000}"/>
    <cellStyle name="40% - Accent3 10 3 3" xfId="3621" xr:uid="{00000000-0005-0000-0000-0000210E0000}"/>
    <cellStyle name="40% - Accent3 10 3 4" xfId="3622" xr:uid="{00000000-0005-0000-0000-0000220E0000}"/>
    <cellStyle name="40% - Accent3 10 4" xfId="3623" xr:uid="{00000000-0005-0000-0000-0000230E0000}"/>
    <cellStyle name="40% - Accent3 10 4 2" xfId="3624" xr:uid="{00000000-0005-0000-0000-0000240E0000}"/>
    <cellStyle name="40% - Accent3 10 5" xfId="3625" xr:uid="{00000000-0005-0000-0000-0000250E0000}"/>
    <cellStyle name="40% - Accent3 10 6" xfId="3626" xr:uid="{00000000-0005-0000-0000-0000260E0000}"/>
    <cellStyle name="40% - Accent3 10 7" xfId="3627" xr:uid="{00000000-0005-0000-0000-0000270E0000}"/>
    <cellStyle name="40% - Accent3 10 8" xfId="3628" xr:uid="{00000000-0005-0000-0000-0000280E0000}"/>
    <cellStyle name="40% - Accent3 11" xfId="3629" xr:uid="{00000000-0005-0000-0000-0000290E0000}"/>
    <cellStyle name="40% - Accent3 11 2" xfId="3630" xr:uid="{00000000-0005-0000-0000-00002A0E0000}"/>
    <cellStyle name="40% - Accent3 11 2 2" xfId="3631" xr:uid="{00000000-0005-0000-0000-00002B0E0000}"/>
    <cellStyle name="40% - Accent3 11 2 2 2" xfId="3632" xr:uid="{00000000-0005-0000-0000-00002C0E0000}"/>
    <cellStyle name="40% - Accent3 11 2 3" xfId="3633" xr:uid="{00000000-0005-0000-0000-00002D0E0000}"/>
    <cellStyle name="40% - Accent3 11 2 4" xfId="3634" xr:uid="{00000000-0005-0000-0000-00002E0E0000}"/>
    <cellStyle name="40% - Accent3 11 2 5" xfId="3635" xr:uid="{00000000-0005-0000-0000-00002F0E0000}"/>
    <cellStyle name="40% - Accent3 11 3" xfId="3636" xr:uid="{00000000-0005-0000-0000-0000300E0000}"/>
    <cellStyle name="40% - Accent3 11 3 2" xfId="3637" xr:uid="{00000000-0005-0000-0000-0000310E0000}"/>
    <cellStyle name="40% - Accent3 11 3 3" xfId="3638" xr:uid="{00000000-0005-0000-0000-0000320E0000}"/>
    <cellStyle name="40% - Accent3 11 3 4" xfId="3639" xr:uid="{00000000-0005-0000-0000-0000330E0000}"/>
    <cellStyle name="40% - Accent3 11 4" xfId="3640" xr:uid="{00000000-0005-0000-0000-0000340E0000}"/>
    <cellStyle name="40% - Accent3 11 4 2" xfId="3641" xr:uid="{00000000-0005-0000-0000-0000350E0000}"/>
    <cellStyle name="40% - Accent3 11 5" xfId="3642" xr:uid="{00000000-0005-0000-0000-0000360E0000}"/>
    <cellStyle name="40% - Accent3 11 6" xfId="3643" xr:uid="{00000000-0005-0000-0000-0000370E0000}"/>
    <cellStyle name="40% - Accent3 11 7" xfId="3644" xr:uid="{00000000-0005-0000-0000-0000380E0000}"/>
    <cellStyle name="40% - Accent3 11 8" xfId="3645" xr:uid="{00000000-0005-0000-0000-0000390E0000}"/>
    <cellStyle name="40% - Accent3 12" xfId="3646" xr:uid="{00000000-0005-0000-0000-00003A0E0000}"/>
    <cellStyle name="40% - Accent3 12 2" xfId="3647" xr:uid="{00000000-0005-0000-0000-00003B0E0000}"/>
    <cellStyle name="40% - Accent3 12 2 2" xfId="3648" xr:uid="{00000000-0005-0000-0000-00003C0E0000}"/>
    <cellStyle name="40% - Accent3 12 2 2 2" xfId="3649" xr:uid="{00000000-0005-0000-0000-00003D0E0000}"/>
    <cellStyle name="40% - Accent3 12 2 3" xfId="3650" xr:uid="{00000000-0005-0000-0000-00003E0E0000}"/>
    <cellStyle name="40% - Accent3 12 2 4" xfId="3651" xr:uid="{00000000-0005-0000-0000-00003F0E0000}"/>
    <cellStyle name="40% - Accent3 12 2 5" xfId="3652" xr:uid="{00000000-0005-0000-0000-0000400E0000}"/>
    <cellStyle name="40% - Accent3 12 3" xfId="3653" xr:uid="{00000000-0005-0000-0000-0000410E0000}"/>
    <cellStyle name="40% - Accent3 12 3 2" xfId="3654" xr:uid="{00000000-0005-0000-0000-0000420E0000}"/>
    <cellStyle name="40% - Accent3 12 3 3" xfId="3655" xr:uid="{00000000-0005-0000-0000-0000430E0000}"/>
    <cellStyle name="40% - Accent3 12 3 4" xfId="3656" xr:uid="{00000000-0005-0000-0000-0000440E0000}"/>
    <cellStyle name="40% - Accent3 12 4" xfId="3657" xr:uid="{00000000-0005-0000-0000-0000450E0000}"/>
    <cellStyle name="40% - Accent3 12 4 2" xfId="3658" xr:uid="{00000000-0005-0000-0000-0000460E0000}"/>
    <cellStyle name="40% - Accent3 12 5" xfId="3659" xr:uid="{00000000-0005-0000-0000-0000470E0000}"/>
    <cellStyle name="40% - Accent3 12 6" xfId="3660" xr:uid="{00000000-0005-0000-0000-0000480E0000}"/>
    <cellStyle name="40% - Accent3 12 7" xfId="3661" xr:uid="{00000000-0005-0000-0000-0000490E0000}"/>
    <cellStyle name="40% - Accent3 12 8" xfId="3662" xr:uid="{00000000-0005-0000-0000-00004A0E0000}"/>
    <cellStyle name="40% - Accent3 13" xfId="3663" xr:uid="{00000000-0005-0000-0000-00004B0E0000}"/>
    <cellStyle name="40% - Accent3 13 2" xfId="3664" xr:uid="{00000000-0005-0000-0000-00004C0E0000}"/>
    <cellStyle name="40% - Accent3 13 2 2" xfId="3665" xr:uid="{00000000-0005-0000-0000-00004D0E0000}"/>
    <cellStyle name="40% - Accent3 13 2 3" xfId="3666" xr:uid="{00000000-0005-0000-0000-00004E0E0000}"/>
    <cellStyle name="40% - Accent3 13 2 4" xfId="3667" xr:uid="{00000000-0005-0000-0000-00004F0E0000}"/>
    <cellStyle name="40% - Accent3 13 3" xfId="3668" xr:uid="{00000000-0005-0000-0000-0000500E0000}"/>
    <cellStyle name="40% - Accent3 13 3 2" xfId="3669" xr:uid="{00000000-0005-0000-0000-0000510E0000}"/>
    <cellStyle name="40% - Accent3 13 4" xfId="3670" xr:uid="{00000000-0005-0000-0000-0000520E0000}"/>
    <cellStyle name="40% - Accent3 13 5" xfId="3671" xr:uid="{00000000-0005-0000-0000-0000530E0000}"/>
    <cellStyle name="40% - Accent3 13 6" xfId="3672" xr:uid="{00000000-0005-0000-0000-0000540E0000}"/>
    <cellStyle name="40% - Accent3 14" xfId="3673" xr:uid="{00000000-0005-0000-0000-0000550E0000}"/>
    <cellStyle name="40% - Accent3 14 2" xfId="3674" xr:uid="{00000000-0005-0000-0000-0000560E0000}"/>
    <cellStyle name="40% - Accent3 14 2 2" xfId="3675" xr:uid="{00000000-0005-0000-0000-0000570E0000}"/>
    <cellStyle name="40% - Accent3 14 3" xfId="3676" xr:uid="{00000000-0005-0000-0000-0000580E0000}"/>
    <cellStyle name="40% - Accent3 14 4" xfId="3677" xr:uid="{00000000-0005-0000-0000-0000590E0000}"/>
    <cellStyle name="40% - Accent3 14 5" xfId="3678" xr:uid="{00000000-0005-0000-0000-00005A0E0000}"/>
    <cellStyle name="40% - Accent3 15" xfId="3679" xr:uid="{00000000-0005-0000-0000-00005B0E0000}"/>
    <cellStyle name="40% - Accent3 15 2" xfId="3680" xr:uid="{00000000-0005-0000-0000-00005C0E0000}"/>
    <cellStyle name="40% - Accent3 15 2 2" xfId="3681" xr:uid="{00000000-0005-0000-0000-00005D0E0000}"/>
    <cellStyle name="40% - Accent3 15 3" xfId="3682" xr:uid="{00000000-0005-0000-0000-00005E0E0000}"/>
    <cellStyle name="40% - Accent3 15 4" xfId="3683" xr:uid="{00000000-0005-0000-0000-00005F0E0000}"/>
    <cellStyle name="40% - Accent3 15 5" xfId="3684" xr:uid="{00000000-0005-0000-0000-0000600E0000}"/>
    <cellStyle name="40% - Accent3 16" xfId="3685" xr:uid="{00000000-0005-0000-0000-0000610E0000}"/>
    <cellStyle name="40% - Accent3 16 2" xfId="3686" xr:uid="{00000000-0005-0000-0000-0000620E0000}"/>
    <cellStyle name="40% - Accent3 17" xfId="3687" xr:uid="{00000000-0005-0000-0000-0000630E0000}"/>
    <cellStyle name="40% - Accent3 18" xfId="3688" xr:uid="{00000000-0005-0000-0000-0000640E0000}"/>
    <cellStyle name="40% - Accent3 19" xfId="3689" xr:uid="{00000000-0005-0000-0000-0000650E0000}"/>
    <cellStyle name="40% - Accent3 2" xfId="3690" xr:uid="{00000000-0005-0000-0000-0000660E0000}"/>
    <cellStyle name="40% - Accent3 2 10" xfId="3691" xr:uid="{00000000-0005-0000-0000-0000670E0000}"/>
    <cellStyle name="40% - Accent3 2 11" xfId="3692" xr:uid="{00000000-0005-0000-0000-0000680E0000}"/>
    <cellStyle name="40% - Accent3 2 2" xfId="3693" xr:uid="{00000000-0005-0000-0000-0000690E0000}"/>
    <cellStyle name="40% - Accent3 2 2 10" xfId="3694" xr:uid="{00000000-0005-0000-0000-00006A0E0000}"/>
    <cellStyle name="40% - Accent3 2 2 2" xfId="3695" xr:uid="{00000000-0005-0000-0000-00006B0E0000}"/>
    <cellStyle name="40% - Accent3 2 2 2 2" xfId="3696" xr:uid="{00000000-0005-0000-0000-00006C0E0000}"/>
    <cellStyle name="40% - Accent3 2 2 2 2 2" xfId="3697" xr:uid="{00000000-0005-0000-0000-00006D0E0000}"/>
    <cellStyle name="40% - Accent3 2 2 2 2 2 2" xfId="3698" xr:uid="{00000000-0005-0000-0000-00006E0E0000}"/>
    <cellStyle name="40% - Accent3 2 2 2 2 2 3" xfId="3699" xr:uid="{00000000-0005-0000-0000-00006F0E0000}"/>
    <cellStyle name="40% - Accent3 2 2 2 2 3" xfId="3700" xr:uid="{00000000-0005-0000-0000-0000700E0000}"/>
    <cellStyle name="40% - Accent3 2 2 2 2 4" xfId="3701" xr:uid="{00000000-0005-0000-0000-0000710E0000}"/>
    <cellStyle name="40% - Accent3 2 2 2 2 5" xfId="3702" xr:uid="{00000000-0005-0000-0000-0000720E0000}"/>
    <cellStyle name="40% - Accent3 2 2 2 2 6" xfId="3703" xr:uid="{00000000-0005-0000-0000-0000730E0000}"/>
    <cellStyle name="40% - Accent3 2 2 2 3" xfId="3704" xr:uid="{00000000-0005-0000-0000-0000740E0000}"/>
    <cellStyle name="40% - Accent3 2 2 2 3 2" xfId="3705" xr:uid="{00000000-0005-0000-0000-0000750E0000}"/>
    <cellStyle name="40% - Accent3 2 2 2 3 2 2" xfId="3706" xr:uid="{00000000-0005-0000-0000-0000760E0000}"/>
    <cellStyle name="40% - Accent3 2 2 2 3 3" xfId="3707" xr:uid="{00000000-0005-0000-0000-0000770E0000}"/>
    <cellStyle name="40% - Accent3 2 2 2 3 4" xfId="3708" xr:uid="{00000000-0005-0000-0000-0000780E0000}"/>
    <cellStyle name="40% - Accent3 2 2 2 3 5" xfId="3709" xr:uid="{00000000-0005-0000-0000-0000790E0000}"/>
    <cellStyle name="40% - Accent3 2 2 2 4" xfId="3710" xr:uid="{00000000-0005-0000-0000-00007A0E0000}"/>
    <cellStyle name="40% - Accent3 2 2 2 4 2" xfId="3711" xr:uid="{00000000-0005-0000-0000-00007B0E0000}"/>
    <cellStyle name="40% - Accent3 2 2 2 4 3" xfId="3712" xr:uid="{00000000-0005-0000-0000-00007C0E0000}"/>
    <cellStyle name="40% - Accent3 2 2 2 4 4" xfId="3713" xr:uid="{00000000-0005-0000-0000-00007D0E0000}"/>
    <cellStyle name="40% - Accent3 2 2 2 5" xfId="3714" xr:uid="{00000000-0005-0000-0000-00007E0E0000}"/>
    <cellStyle name="40% - Accent3 2 2 2 5 2" xfId="3715" xr:uid="{00000000-0005-0000-0000-00007F0E0000}"/>
    <cellStyle name="40% - Accent3 2 2 2 6" xfId="3716" xr:uid="{00000000-0005-0000-0000-0000800E0000}"/>
    <cellStyle name="40% - Accent3 2 2 2 7" xfId="3717" xr:uid="{00000000-0005-0000-0000-0000810E0000}"/>
    <cellStyle name="40% - Accent3 2 2 2 8" xfId="3718" xr:uid="{00000000-0005-0000-0000-0000820E0000}"/>
    <cellStyle name="40% - Accent3 2 2 2 9" xfId="3719" xr:uid="{00000000-0005-0000-0000-0000830E0000}"/>
    <cellStyle name="40% - Accent3 2 2 3" xfId="3720" xr:uid="{00000000-0005-0000-0000-0000840E0000}"/>
    <cellStyle name="40% - Accent3 2 2 3 2" xfId="3721" xr:uid="{00000000-0005-0000-0000-0000850E0000}"/>
    <cellStyle name="40% - Accent3 2 2 3 2 2" xfId="3722" xr:uid="{00000000-0005-0000-0000-0000860E0000}"/>
    <cellStyle name="40% - Accent3 2 2 3 2 3" xfId="3723" xr:uid="{00000000-0005-0000-0000-0000870E0000}"/>
    <cellStyle name="40% - Accent3 2 2 3 3" xfId="3724" xr:uid="{00000000-0005-0000-0000-0000880E0000}"/>
    <cellStyle name="40% - Accent3 2 2 3 4" xfId="3725" xr:uid="{00000000-0005-0000-0000-0000890E0000}"/>
    <cellStyle name="40% - Accent3 2 2 3 5" xfId="3726" xr:uid="{00000000-0005-0000-0000-00008A0E0000}"/>
    <cellStyle name="40% - Accent3 2 2 3 6" xfId="3727" xr:uid="{00000000-0005-0000-0000-00008B0E0000}"/>
    <cellStyle name="40% - Accent3 2 2 4" xfId="3728" xr:uid="{00000000-0005-0000-0000-00008C0E0000}"/>
    <cellStyle name="40% - Accent3 2 2 4 2" xfId="3729" xr:uid="{00000000-0005-0000-0000-00008D0E0000}"/>
    <cellStyle name="40% - Accent3 2 2 4 2 2" xfId="3730" xr:uid="{00000000-0005-0000-0000-00008E0E0000}"/>
    <cellStyle name="40% - Accent3 2 2 4 3" xfId="3731" xr:uid="{00000000-0005-0000-0000-00008F0E0000}"/>
    <cellStyle name="40% - Accent3 2 2 4 4" xfId="3732" xr:uid="{00000000-0005-0000-0000-0000900E0000}"/>
    <cellStyle name="40% - Accent3 2 2 4 5" xfId="3733" xr:uid="{00000000-0005-0000-0000-0000910E0000}"/>
    <cellStyle name="40% - Accent3 2 2 5" xfId="3734" xr:uid="{00000000-0005-0000-0000-0000920E0000}"/>
    <cellStyle name="40% - Accent3 2 2 5 2" xfId="3735" xr:uid="{00000000-0005-0000-0000-0000930E0000}"/>
    <cellStyle name="40% - Accent3 2 2 5 3" xfId="3736" xr:uid="{00000000-0005-0000-0000-0000940E0000}"/>
    <cellStyle name="40% - Accent3 2 2 5 4" xfId="3737" xr:uid="{00000000-0005-0000-0000-0000950E0000}"/>
    <cellStyle name="40% - Accent3 2 2 6" xfId="3738" xr:uid="{00000000-0005-0000-0000-0000960E0000}"/>
    <cellStyle name="40% - Accent3 2 2 6 2" xfId="3739" xr:uid="{00000000-0005-0000-0000-0000970E0000}"/>
    <cellStyle name="40% - Accent3 2 2 7" xfId="3740" xr:uid="{00000000-0005-0000-0000-0000980E0000}"/>
    <cellStyle name="40% - Accent3 2 2 8" xfId="3741" xr:uid="{00000000-0005-0000-0000-0000990E0000}"/>
    <cellStyle name="40% - Accent3 2 2 9" xfId="3742" xr:uid="{00000000-0005-0000-0000-00009A0E0000}"/>
    <cellStyle name="40% - Accent3 2 3" xfId="3743" xr:uid="{00000000-0005-0000-0000-00009B0E0000}"/>
    <cellStyle name="40% - Accent3 2 3 2" xfId="3744" xr:uid="{00000000-0005-0000-0000-00009C0E0000}"/>
    <cellStyle name="40% - Accent3 2 3 2 2" xfId="3745" xr:uid="{00000000-0005-0000-0000-00009D0E0000}"/>
    <cellStyle name="40% - Accent3 2 3 2 2 2" xfId="3746" xr:uid="{00000000-0005-0000-0000-00009E0E0000}"/>
    <cellStyle name="40% - Accent3 2 3 2 2 3" xfId="3747" xr:uid="{00000000-0005-0000-0000-00009F0E0000}"/>
    <cellStyle name="40% - Accent3 2 3 2 3" xfId="3748" xr:uid="{00000000-0005-0000-0000-0000A00E0000}"/>
    <cellStyle name="40% - Accent3 2 3 2 4" xfId="3749" xr:uid="{00000000-0005-0000-0000-0000A10E0000}"/>
    <cellStyle name="40% - Accent3 2 3 2 5" xfId="3750" xr:uid="{00000000-0005-0000-0000-0000A20E0000}"/>
    <cellStyle name="40% - Accent3 2 3 2 6" xfId="3751" xr:uid="{00000000-0005-0000-0000-0000A30E0000}"/>
    <cellStyle name="40% - Accent3 2 3 3" xfId="3752" xr:uid="{00000000-0005-0000-0000-0000A40E0000}"/>
    <cellStyle name="40% - Accent3 2 3 3 2" xfId="3753" xr:uid="{00000000-0005-0000-0000-0000A50E0000}"/>
    <cellStyle name="40% - Accent3 2 3 3 2 2" xfId="3754" xr:uid="{00000000-0005-0000-0000-0000A60E0000}"/>
    <cellStyle name="40% - Accent3 2 3 3 3" xfId="3755" xr:uid="{00000000-0005-0000-0000-0000A70E0000}"/>
    <cellStyle name="40% - Accent3 2 3 3 4" xfId="3756" xr:uid="{00000000-0005-0000-0000-0000A80E0000}"/>
    <cellStyle name="40% - Accent3 2 3 3 5" xfId="3757" xr:uid="{00000000-0005-0000-0000-0000A90E0000}"/>
    <cellStyle name="40% - Accent3 2 3 4" xfId="3758" xr:uid="{00000000-0005-0000-0000-0000AA0E0000}"/>
    <cellStyle name="40% - Accent3 2 3 4 2" xfId="3759" xr:uid="{00000000-0005-0000-0000-0000AB0E0000}"/>
    <cellStyle name="40% - Accent3 2 3 4 3" xfId="3760" xr:uid="{00000000-0005-0000-0000-0000AC0E0000}"/>
    <cellStyle name="40% - Accent3 2 3 4 4" xfId="3761" xr:uid="{00000000-0005-0000-0000-0000AD0E0000}"/>
    <cellStyle name="40% - Accent3 2 3 5" xfId="3762" xr:uid="{00000000-0005-0000-0000-0000AE0E0000}"/>
    <cellStyle name="40% - Accent3 2 3 5 2" xfId="3763" xr:uid="{00000000-0005-0000-0000-0000AF0E0000}"/>
    <cellStyle name="40% - Accent3 2 3 6" xfId="3764" xr:uid="{00000000-0005-0000-0000-0000B00E0000}"/>
    <cellStyle name="40% - Accent3 2 3 7" xfId="3765" xr:uid="{00000000-0005-0000-0000-0000B10E0000}"/>
    <cellStyle name="40% - Accent3 2 3 8" xfId="3766" xr:uid="{00000000-0005-0000-0000-0000B20E0000}"/>
    <cellStyle name="40% - Accent3 2 3 9" xfId="3767" xr:uid="{00000000-0005-0000-0000-0000B30E0000}"/>
    <cellStyle name="40% - Accent3 2 4" xfId="3768" xr:uid="{00000000-0005-0000-0000-0000B40E0000}"/>
    <cellStyle name="40% - Accent3 2 4 2" xfId="3769" xr:uid="{00000000-0005-0000-0000-0000B50E0000}"/>
    <cellStyle name="40% - Accent3 2 4 2 2" xfId="3770" xr:uid="{00000000-0005-0000-0000-0000B60E0000}"/>
    <cellStyle name="40% - Accent3 2 4 2 3" xfId="3771" xr:uid="{00000000-0005-0000-0000-0000B70E0000}"/>
    <cellStyle name="40% - Accent3 2 4 3" xfId="3772" xr:uid="{00000000-0005-0000-0000-0000B80E0000}"/>
    <cellStyle name="40% - Accent3 2 4 4" xfId="3773" xr:uid="{00000000-0005-0000-0000-0000B90E0000}"/>
    <cellStyle name="40% - Accent3 2 4 5" xfId="3774" xr:uid="{00000000-0005-0000-0000-0000BA0E0000}"/>
    <cellStyle name="40% - Accent3 2 4 6" xfId="3775" xr:uid="{00000000-0005-0000-0000-0000BB0E0000}"/>
    <cellStyle name="40% - Accent3 2 5" xfId="3776" xr:uid="{00000000-0005-0000-0000-0000BC0E0000}"/>
    <cellStyle name="40% - Accent3 2 5 2" xfId="3777" xr:uid="{00000000-0005-0000-0000-0000BD0E0000}"/>
    <cellStyle name="40% - Accent3 2 5 2 2" xfId="3778" xr:uid="{00000000-0005-0000-0000-0000BE0E0000}"/>
    <cellStyle name="40% - Accent3 2 5 3" xfId="3779" xr:uid="{00000000-0005-0000-0000-0000BF0E0000}"/>
    <cellStyle name="40% - Accent3 2 5 4" xfId="3780" xr:uid="{00000000-0005-0000-0000-0000C00E0000}"/>
    <cellStyle name="40% - Accent3 2 5 5" xfId="3781" xr:uid="{00000000-0005-0000-0000-0000C10E0000}"/>
    <cellStyle name="40% - Accent3 2 6" xfId="3782" xr:uid="{00000000-0005-0000-0000-0000C20E0000}"/>
    <cellStyle name="40% - Accent3 2 6 2" xfId="3783" xr:uid="{00000000-0005-0000-0000-0000C30E0000}"/>
    <cellStyle name="40% - Accent3 2 6 2 2" xfId="3784" xr:uid="{00000000-0005-0000-0000-0000C40E0000}"/>
    <cellStyle name="40% - Accent3 2 6 3" xfId="3785" xr:uid="{00000000-0005-0000-0000-0000C50E0000}"/>
    <cellStyle name="40% - Accent3 2 6 4" xfId="3786" xr:uid="{00000000-0005-0000-0000-0000C60E0000}"/>
    <cellStyle name="40% - Accent3 2 6 5" xfId="3787" xr:uid="{00000000-0005-0000-0000-0000C70E0000}"/>
    <cellStyle name="40% - Accent3 2 7" xfId="3788" xr:uid="{00000000-0005-0000-0000-0000C80E0000}"/>
    <cellStyle name="40% - Accent3 2 7 2" xfId="3789" xr:uid="{00000000-0005-0000-0000-0000C90E0000}"/>
    <cellStyle name="40% - Accent3 2 8" xfId="3790" xr:uid="{00000000-0005-0000-0000-0000CA0E0000}"/>
    <cellStyle name="40% - Accent3 2 9" xfId="3791" xr:uid="{00000000-0005-0000-0000-0000CB0E0000}"/>
    <cellStyle name="40% - Accent3 3" xfId="3792" xr:uid="{00000000-0005-0000-0000-0000CC0E0000}"/>
    <cellStyle name="40% - Accent3 3 10" xfId="3793" xr:uid="{00000000-0005-0000-0000-0000CD0E0000}"/>
    <cellStyle name="40% - Accent3 3 2" xfId="3794" xr:uid="{00000000-0005-0000-0000-0000CE0E0000}"/>
    <cellStyle name="40% - Accent3 3 2 2" xfId="3795" xr:uid="{00000000-0005-0000-0000-0000CF0E0000}"/>
    <cellStyle name="40% - Accent3 3 2 2 2" xfId="3796" xr:uid="{00000000-0005-0000-0000-0000D00E0000}"/>
    <cellStyle name="40% - Accent3 3 2 2 2 2" xfId="3797" xr:uid="{00000000-0005-0000-0000-0000D10E0000}"/>
    <cellStyle name="40% - Accent3 3 2 2 2 3" xfId="3798" xr:uid="{00000000-0005-0000-0000-0000D20E0000}"/>
    <cellStyle name="40% - Accent3 3 2 2 3" xfId="3799" xr:uid="{00000000-0005-0000-0000-0000D30E0000}"/>
    <cellStyle name="40% - Accent3 3 2 2 4" xfId="3800" xr:uid="{00000000-0005-0000-0000-0000D40E0000}"/>
    <cellStyle name="40% - Accent3 3 2 2 5" xfId="3801" xr:uid="{00000000-0005-0000-0000-0000D50E0000}"/>
    <cellStyle name="40% - Accent3 3 2 2 6" xfId="3802" xr:uid="{00000000-0005-0000-0000-0000D60E0000}"/>
    <cellStyle name="40% - Accent3 3 2 3" xfId="3803" xr:uid="{00000000-0005-0000-0000-0000D70E0000}"/>
    <cellStyle name="40% - Accent3 3 2 3 2" xfId="3804" xr:uid="{00000000-0005-0000-0000-0000D80E0000}"/>
    <cellStyle name="40% - Accent3 3 2 3 2 2" xfId="3805" xr:uid="{00000000-0005-0000-0000-0000D90E0000}"/>
    <cellStyle name="40% - Accent3 3 2 3 3" xfId="3806" xr:uid="{00000000-0005-0000-0000-0000DA0E0000}"/>
    <cellStyle name="40% - Accent3 3 2 3 4" xfId="3807" xr:uid="{00000000-0005-0000-0000-0000DB0E0000}"/>
    <cellStyle name="40% - Accent3 3 2 3 5" xfId="3808" xr:uid="{00000000-0005-0000-0000-0000DC0E0000}"/>
    <cellStyle name="40% - Accent3 3 2 4" xfId="3809" xr:uid="{00000000-0005-0000-0000-0000DD0E0000}"/>
    <cellStyle name="40% - Accent3 3 2 4 2" xfId="3810" xr:uid="{00000000-0005-0000-0000-0000DE0E0000}"/>
    <cellStyle name="40% - Accent3 3 2 4 3" xfId="3811" xr:uid="{00000000-0005-0000-0000-0000DF0E0000}"/>
    <cellStyle name="40% - Accent3 3 2 4 4" xfId="3812" xr:uid="{00000000-0005-0000-0000-0000E00E0000}"/>
    <cellStyle name="40% - Accent3 3 2 5" xfId="3813" xr:uid="{00000000-0005-0000-0000-0000E10E0000}"/>
    <cellStyle name="40% - Accent3 3 2 5 2" xfId="3814" xr:uid="{00000000-0005-0000-0000-0000E20E0000}"/>
    <cellStyle name="40% - Accent3 3 2 6" xfId="3815" xr:uid="{00000000-0005-0000-0000-0000E30E0000}"/>
    <cellStyle name="40% - Accent3 3 2 7" xfId="3816" xr:uid="{00000000-0005-0000-0000-0000E40E0000}"/>
    <cellStyle name="40% - Accent3 3 2 8" xfId="3817" xr:uid="{00000000-0005-0000-0000-0000E50E0000}"/>
    <cellStyle name="40% - Accent3 3 2 9" xfId="3818" xr:uid="{00000000-0005-0000-0000-0000E60E0000}"/>
    <cellStyle name="40% - Accent3 3 3" xfId="3819" xr:uid="{00000000-0005-0000-0000-0000E70E0000}"/>
    <cellStyle name="40% - Accent3 3 3 2" xfId="3820" xr:uid="{00000000-0005-0000-0000-0000E80E0000}"/>
    <cellStyle name="40% - Accent3 3 3 2 2" xfId="3821" xr:uid="{00000000-0005-0000-0000-0000E90E0000}"/>
    <cellStyle name="40% - Accent3 3 3 2 3" xfId="3822" xr:uid="{00000000-0005-0000-0000-0000EA0E0000}"/>
    <cellStyle name="40% - Accent3 3 3 3" xfId="3823" xr:uid="{00000000-0005-0000-0000-0000EB0E0000}"/>
    <cellStyle name="40% - Accent3 3 3 4" xfId="3824" xr:uid="{00000000-0005-0000-0000-0000EC0E0000}"/>
    <cellStyle name="40% - Accent3 3 3 5" xfId="3825" xr:uid="{00000000-0005-0000-0000-0000ED0E0000}"/>
    <cellStyle name="40% - Accent3 3 3 6" xfId="3826" xr:uid="{00000000-0005-0000-0000-0000EE0E0000}"/>
    <cellStyle name="40% - Accent3 3 4" xfId="3827" xr:uid="{00000000-0005-0000-0000-0000EF0E0000}"/>
    <cellStyle name="40% - Accent3 3 4 2" xfId="3828" xr:uid="{00000000-0005-0000-0000-0000F00E0000}"/>
    <cellStyle name="40% - Accent3 3 4 2 2" xfId="3829" xr:uid="{00000000-0005-0000-0000-0000F10E0000}"/>
    <cellStyle name="40% - Accent3 3 4 3" xfId="3830" xr:uid="{00000000-0005-0000-0000-0000F20E0000}"/>
    <cellStyle name="40% - Accent3 3 4 4" xfId="3831" xr:uid="{00000000-0005-0000-0000-0000F30E0000}"/>
    <cellStyle name="40% - Accent3 3 4 5" xfId="3832" xr:uid="{00000000-0005-0000-0000-0000F40E0000}"/>
    <cellStyle name="40% - Accent3 3 5" xfId="3833" xr:uid="{00000000-0005-0000-0000-0000F50E0000}"/>
    <cellStyle name="40% - Accent3 3 5 2" xfId="3834" xr:uid="{00000000-0005-0000-0000-0000F60E0000}"/>
    <cellStyle name="40% - Accent3 3 5 2 2" xfId="3835" xr:uid="{00000000-0005-0000-0000-0000F70E0000}"/>
    <cellStyle name="40% - Accent3 3 5 3" xfId="3836" xr:uid="{00000000-0005-0000-0000-0000F80E0000}"/>
    <cellStyle name="40% - Accent3 3 5 4" xfId="3837" xr:uid="{00000000-0005-0000-0000-0000F90E0000}"/>
    <cellStyle name="40% - Accent3 3 5 5" xfId="3838" xr:uid="{00000000-0005-0000-0000-0000FA0E0000}"/>
    <cellStyle name="40% - Accent3 3 6" xfId="3839" xr:uid="{00000000-0005-0000-0000-0000FB0E0000}"/>
    <cellStyle name="40% - Accent3 3 6 2" xfId="3840" xr:uid="{00000000-0005-0000-0000-0000FC0E0000}"/>
    <cellStyle name="40% - Accent3 3 7" xfId="3841" xr:uid="{00000000-0005-0000-0000-0000FD0E0000}"/>
    <cellStyle name="40% - Accent3 3 8" xfId="3842" xr:uid="{00000000-0005-0000-0000-0000FE0E0000}"/>
    <cellStyle name="40% - Accent3 3 9" xfId="3843" xr:uid="{00000000-0005-0000-0000-0000FF0E0000}"/>
    <cellStyle name="40% - Accent3 4" xfId="3844" xr:uid="{00000000-0005-0000-0000-0000000F0000}"/>
    <cellStyle name="40% - Accent3 4 10" xfId="3845" xr:uid="{00000000-0005-0000-0000-0000010F0000}"/>
    <cellStyle name="40% - Accent3 4 2" xfId="3846" xr:uid="{00000000-0005-0000-0000-0000020F0000}"/>
    <cellStyle name="40% - Accent3 4 2 2" xfId="3847" xr:uid="{00000000-0005-0000-0000-0000030F0000}"/>
    <cellStyle name="40% - Accent3 4 2 2 2" xfId="3848" xr:uid="{00000000-0005-0000-0000-0000040F0000}"/>
    <cellStyle name="40% - Accent3 4 2 2 2 2" xfId="3849" xr:uid="{00000000-0005-0000-0000-0000050F0000}"/>
    <cellStyle name="40% - Accent3 4 2 2 2 3" xfId="3850" xr:uid="{00000000-0005-0000-0000-0000060F0000}"/>
    <cellStyle name="40% - Accent3 4 2 2 3" xfId="3851" xr:uid="{00000000-0005-0000-0000-0000070F0000}"/>
    <cellStyle name="40% - Accent3 4 2 2 4" xfId="3852" xr:uid="{00000000-0005-0000-0000-0000080F0000}"/>
    <cellStyle name="40% - Accent3 4 2 2 5" xfId="3853" xr:uid="{00000000-0005-0000-0000-0000090F0000}"/>
    <cellStyle name="40% - Accent3 4 2 2 6" xfId="3854" xr:uid="{00000000-0005-0000-0000-00000A0F0000}"/>
    <cellStyle name="40% - Accent3 4 2 3" xfId="3855" xr:uid="{00000000-0005-0000-0000-00000B0F0000}"/>
    <cellStyle name="40% - Accent3 4 2 3 2" xfId="3856" xr:uid="{00000000-0005-0000-0000-00000C0F0000}"/>
    <cellStyle name="40% - Accent3 4 2 3 2 2" xfId="3857" xr:uid="{00000000-0005-0000-0000-00000D0F0000}"/>
    <cellStyle name="40% - Accent3 4 2 3 3" xfId="3858" xr:uid="{00000000-0005-0000-0000-00000E0F0000}"/>
    <cellStyle name="40% - Accent3 4 2 3 4" xfId="3859" xr:uid="{00000000-0005-0000-0000-00000F0F0000}"/>
    <cellStyle name="40% - Accent3 4 2 3 5" xfId="3860" xr:uid="{00000000-0005-0000-0000-0000100F0000}"/>
    <cellStyle name="40% - Accent3 4 2 4" xfId="3861" xr:uid="{00000000-0005-0000-0000-0000110F0000}"/>
    <cellStyle name="40% - Accent3 4 2 4 2" xfId="3862" xr:uid="{00000000-0005-0000-0000-0000120F0000}"/>
    <cellStyle name="40% - Accent3 4 2 4 3" xfId="3863" xr:uid="{00000000-0005-0000-0000-0000130F0000}"/>
    <cellStyle name="40% - Accent3 4 2 4 4" xfId="3864" xr:uid="{00000000-0005-0000-0000-0000140F0000}"/>
    <cellStyle name="40% - Accent3 4 2 5" xfId="3865" xr:uid="{00000000-0005-0000-0000-0000150F0000}"/>
    <cellStyle name="40% - Accent3 4 2 5 2" xfId="3866" xr:uid="{00000000-0005-0000-0000-0000160F0000}"/>
    <cellStyle name="40% - Accent3 4 2 6" xfId="3867" xr:uid="{00000000-0005-0000-0000-0000170F0000}"/>
    <cellStyle name="40% - Accent3 4 2 7" xfId="3868" xr:uid="{00000000-0005-0000-0000-0000180F0000}"/>
    <cellStyle name="40% - Accent3 4 2 8" xfId="3869" xr:uid="{00000000-0005-0000-0000-0000190F0000}"/>
    <cellStyle name="40% - Accent3 4 2 9" xfId="3870" xr:uid="{00000000-0005-0000-0000-00001A0F0000}"/>
    <cellStyle name="40% - Accent3 4 3" xfId="3871" xr:uid="{00000000-0005-0000-0000-00001B0F0000}"/>
    <cellStyle name="40% - Accent3 4 3 2" xfId="3872" xr:uid="{00000000-0005-0000-0000-00001C0F0000}"/>
    <cellStyle name="40% - Accent3 4 3 2 2" xfId="3873" xr:uid="{00000000-0005-0000-0000-00001D0F0000}"/>
    <cellStyle name="40% - Accent3 4 3 2 3" xfId="3874" xr:uid="{00000000-0005-0000-0000-00001E0F0000}"/>
    <cellStyle name="40% - Accent3 4 3 3" xfId="3875" xr:uid="{00000000-0005-0000-0000-00001F0F0000}"/>
    <cellStyle name="40% - Accent3 4 3 4" xfId="3876" xr:uid="{00000000-0005-0000-0000-0000200F0000}"/>
    <cellStyle name="40% - Accent3 4 3 5" xfId="3877" xr:uid="{00000000-0005-0000-0000-0000210F0000}"/>
    <cellStyle name="40% - Accent3 4 3 6" xfId="3878" xr:uid="{00000000-0005-0000-0000-0000220F0000}"/>
    <cellStyle name="40% - Accent3 4 4" xfId="3879" xr:uid="{00000000-0005-0000-0000-0000230F0000}"/>
    <cellStyle name="40% - Accent3 4 4 2" xfId="3880" xr:uid="{00000000-0005-0000-0000-0000240F0000}"/>
    <cellStyle name="40% - Accent3 4 4 2 2" xfId="3881" xr:uid="{00000000-0005-0000-0000-0000250F0000}"/>
    <cellStyle name="40% - Accent3 4 4 3" xfId="3882" xr:uid="{00000000-0005-0000-0000-0000260F0000}"/>
    <cellStyle name="40% - Accent3 4 4 4" xfId="3883" xr:uid="{00000000-0005-0000-0000-0000270F0000}"/>
    <cellStyle name="40% - Accent3 4 4 5" xfId="3884" xr:uid="{00000000-0005-0000-0000-0000280F0000}"/>
    <cellStyle name="40% - Accent3 4 5" xfId="3885" xr:uid="{00000000-0005-0000-0000-0000290F0000}"/>
    <cellStyle name="40% - Accent3 4 5 2" xfId="3886" xr:uid="{00000000-0005-0000-0000-00002A0F0000}"/>
    <cellStyle name="40% - Accent3 4 5 2 2" xfId="3887" xr:uid="{00000000-0005-0000-0000-00002B0F0000}"/>
    <cellStyle name="40% - Accent3 4 5 3" xfId="3888" xr:uid="{00000000-0005-0000-0000-00002C0F0000}"/>
    <cellStyle name="40% - Accent3 4 5 4" xfId="3889" xr:uid="{00000000-0005-0000-0000-00002D0F0000}"/>
    <cellStyle name="40% - Accent3 4 5 5" xfId="3890" xr:uid="{00000000-0005-0000-0000-00002E0F0000}"/>
    <cellStyle name="40% - Accent3 4 6" xfId="3891" xr:uid="{00000000-0005-0000-0000-00002F0F0000}"/>
    <cellStyle name="40% - Accent3 4 6 2" xfId="3892" xr:uid="{00000000-0005-0000-0000-0000300F0000}"/>
    <cellStyle name="40% - Accent3 4 7" xfId="3893" xr:uid="{00000000-0005-0000-0000-0000310F0000}"/>
    <cellStyle name="40% - Accent3 4 8" xfId="3894" xr:uid="{00000000-0005-0000-0000-0000320F0000}"/>
    <cellStyle name="40% - Accent3 4 9" xfId="3895" xr:uid="{00000000-0005-0000-0000-0000330F0000}"/>
    <cellStyle name="40% - Accent3 5" xfId="3896" xr:uid="{00000000-0005-0000-0000-0000340F0000}"/>
    <cellStyle name="40% - Accent3 5 10" xfId="3897" xr:uid="{00000000-0005-0000-0000-0000350F0000}"/>
    <cellStyle name="40% - Accent3 5 2" xfId="3898" xr:uid="{00000000-0005-0000-0000-0000360F0000}"/>
    <cellStyle name="40% - Accent3 5 2 2" xfId="3899" xr:uid="{00000000-0005-0000-0000-0000370F0000}"/>
    <cellStyle name="40% - Accent3 5 2 2 2" xfId="3900" xr:uid="{00000000-0005-0000-0000-0000380F0000}"/>
    <cellStyle name="40% - Accent3 5 2 2 2 2" xfId="3901" xr:uid="{00000000-0005-0000-0000-0000390F0000}"/>
    <cellStyle name="40% - Accent3 5 2 2 2 3" xfId="3902" xr:uid="{00000000-0005-0000-0000-00003A0F0000}"/>
    <cellStyle name="40% - Accent3 5 2 2 3" xfId="3903" xr:uid="{00000000-0005-0000-0000-00003B0F0000}"/>
    <cellStyle name="40% - Accent3 5 2 2 4" xfId="3904" xr:uid="{00000000-0005-0000-0000-00003C0F0000}"/>
    <cellStyle name="40% - Accent3 5 2 2 5" xfId="3905" xr:uid="{00000000-0005-0000-0000-00003D0F0000}"/>
    <cellStyle name="40% - Accent3 5 2 2 6" xfId="3906" xr:uid="{00000000-0005-0000-0000-00003E0F0000}"/>
    <cellStyle name="40% - Accent3 5 2 3" xfId="3907" xr:uid="{00000000-0005-0000-0000-00003F0F0000}"/>
    <cellStyle name="40% - Accent3 5 2 3 2" xfId="3908" xr:uid="{00000000-0005-0000-0000-0000400F0000}"/>
    <cellStyle name="40% - Accent3 5 2 3 2 2" xfId="3909" xr:uid="{00000000-0005-0000-0000-0000410F0000}"/>
    <cellStyle name="40% - Accent3 5 2 3 3" xfId="3910" xr:uid="{00000000-0005-0000-0000-0000420F0000}"/>
    <cellStyle name="40% - Accent3 5 2 3 4" xfId="3911" xr:uid="{00000000-0005-0000-0000-0000430F0000}"/>
    <cellStyle name="40% - Accent3 5 2 3 5" xfId="3912" xr:uid="{00000000-0005-0000-0000-0000440F0000}"/>
    <cellStyle name="40% - Accent3 5 2 4" xfId="3913" xr:uid="{00000000-0005-0000-0000-0000450F0000}"/>
    <cellStyle name="40% - Accent3 5 2 4 2" xfId="3914" xr:uid="{00000000-0005-0000-0000-0000460F0000}"/>
    <cellStyle name="40% - Accent3 5 2 4 3" xfId="3915" xr:uid="{00000000-0005-0000-0000-0000470F0000}"/>
    <cellStyle name="40% - Accent3 5 2 4 4" xfId="3916" xr:uid="{00000000-0005-0000-0000-0000480F0000}"/>
    <cellStyle name="40% - Accent3 5 2 5" xfId="3917" xr:uid="{00000000-0005-0000-0000-0000490F0000}"/>
    <cellStyle name="40% - Accent3 5 2 5 2" xfId="3918" xr:uid="{00000000-0005-0000-0000-00004A0F0000}"/>
    <cellStyle name="40% - Accent3 5 2 6" xfId="3919" xr:uid="{00000000-0005-0000-0000-00004B0F0000}"/>
    <cellStyle name="40% - Accent3 5 2 7" xfId="3920" xr:uid="{00000000-0005-0000-0000-00004C0F0000}"/>
    <cellStyle name="40% - Accent3 5 2 8" xfId="3921" xr:uid="{00000000-0005-0000-0000-00004D0F0000}"/>
    <cellStyle name="40% - Accent3 5 2 9" xfId="3922" xr:uid="{00000000-0005-0000-0000-00004E0F0000}"/>
    <cellStyle name="40% - Accent3 5 3" xfId="3923" xr:uid="{00000000-0005-0000-0000-00004F0F0000}"/>
    <cellStyle name="40% - Accent3 5 3 2" xfId="3924" xr:uid="{00000000-0005-0000-0000-0000500F0000}"/>
    <cellStyle name="40% - Accent3 5 3 2 2" xfId="3925" xr:uid="{00000000-0005-0000-0000-0000510F0000}"/>
    <cellStyle name="40% - Accent3 5 3 2 3" xfId="3926" xr:uid="{00000000-0005-0000-0000-0000520F0000}"/>
    <cellStyle name="40% - Accent3 5 3 3" xfId="3927" xr:uid="{00000000-0005-0000-0000-0000530F0000}"/>
    <cellStyle name="40% - Accent3 5 3 4" xfId="3928" xr:uid="{00000000-0005-0000-0000-0000540F0000}"/>
    <cellStyle name="40% - Accent3 5 3 5" xfId="3929" xr:uid="{00000000-0005-0000-0000-0000550F0000}"/>
    <cellStyle name="40% - Accent3 5 3 6" xfId="3930" xr:uid="{00000000-0005-0000-0000-0000560F0000}"/>
    <cellStyle name="40% - Accent3 5 4" xfId="3931" xr:uid="{00000000-0005-0000-0000-0000570F0000}"/>
    <cellStyle name="40% - Accent3 5 4 2" xfId="3932" xr:uid="{00000000-0005-0000-0000-0000580F0000}"/>
    <cellStyle name="40% - Accent3 5 4 2 2" xfId="3933" xr:uid="{00000000-0005-0000-0000-0000590F0000}"/>
    <cellStyle name="40% - Accent3 5 4 3" xfId="3934" xr:uid="{00000000-0005-0000-0000-00005A0F0000}"/>
    <cellStyle name="40% - Accent3 5 4 4" xfId="3935" xr:uid="{00000000-0005-0000-0000-00005B0F0000}"/>
    <cellStyle name="40% - Accent3 5 4 5" xfId="3936" xr:uid="{00000000-0005-0000-0000-00005C0F0000}"/>
    <cellStyle name="40% - Accent3 5 5" xfId="3937" xr:uid="{00000000-0005-0000-0000-00005D0F0000}"/>
    <cellStyle name="40% - Accent3 5 5 2" xfId="3938" xr:uid="{00000000-0005-0000-0000-00005E0F0000}"/>
    <cellStyle name="40% - Accent3 5 5 3" xfId="3939" xr:uid="{00000000-0005-0000-0000-00005F0F0000}"/>
    <cellStyle name="40% - Accent3 5 5 4" xfId="3940" xr:uid="{00000000-0005-0000-0000-0000600F0000}"/>
    <cellStyle name="40% - Accent3 5 6" xfId="3941" xr:uid="{00000000-0005-0000-0000-0000610F0000}"/>
    <cellStyle name="40% - Accent3 5 6 2" xfId="3942" xr:uid="{00000000-0005-0000-0000-0000620F0000}"/>
    <cellStyle name="40% - Accent3 5 7" xfId="3943" xr:uid="{00000000-0005-0000-0000-0000630F0000}"/>
    <cellStyle name="40% - Accent3 5 8" xfId="3944" xr:uid="{00000000-0005-0000-0000-0000640F0000}"/>
    <cellStyle name="40% - Accent3 5 9" xfId="3945" xr:uid="{00000000-0005-0000-0000-0000650F0000}"/>
    <cellStyle name="40% - Accent3 6" xfId="3946" xr:uid="{00000000-0005-0000-0000-0000660F0000}"/>
    <cellStyle name="40% - Accent3 6 10" xfId="3947" xr:uid="{00000000-0005-0000-0000-0000670F0000}"/>
    <cellStyle name="40% - Accent3 6 2" xfId="3948" xr:uid="{00000000-0005-0000-0000-0000680F0000}"/>
    <cellStyle name="40% - Accent3 6 2 2" xfId="3949" xr:uid="{00000000-0005-0000-0000-0000690F0000}"/>
    <cellStyle name="40% - Accent3 6 2 2 2" xfId="3950" xr:uid="{00000000-0005-0000-0000-00006A0F0000}"/>
    <cellStyle name="40% - Accent3 6 2 2 2 2" xfId="3951" xr:uid="{00000000-0005-0000-0000-00006B0F0000}"/>
    <cellStyle name="40% - Accent3 6 2 2 2 3" xfId="3952" xr:uid="{00000000-0005-0000-0000-00006C0F0000}"/>
    <cellStyle name="40% - Accent3 6 2 2 3" xfId="3953" xr:uid="{00000000-0005-0000-0000-00006D0F0000}"/>
    <cellStyle name="40% - Accent3 6 2 2 4" xfId="3954" xr:uid="{00000000-0005-0000-0000-00006E0F0000}"/>
    <cellStyle name="40% - Accent3 6 2 2 5" xfId="3955" xr:uid="{00000000-0005-0000-0000-00006F0F0000}"/>
    <cellStyle name="40% - Accent3 6 2 2 6" xfId="3956" xr:uid="{00000000-0005-0000-0000-0000700F0000}"/>
    <cellStyle name="40% - Accent3 6 2 3" xfId="3957" xr:uid="{00000000-0005-0000-0000-0000710F0000}"/>
    <cellStyle name="40% - Accent3 6 2 3 2" xfId="3958" xr:uid="{00000000-0005-0000-0000-0000720F0000}"/>
    <cellStyle name="40% - Accent3 6 2 3 2 2" xfId="3959" xr:uid="{00000000-0005-0000-0000-0000730F0000}"/>
    <cellStyle name="40% - Accent3 6 2 3 3" xfId="3960" xr:uid="{00000000-0005-0000-0000-0000740F0000}"/>
    <cellStyle name="40% - Accent3 6 2 3 4" xfId="3961" xr:uid="{00000000-0005-0000-0000-0000750F0000}"/>
    <cellStyle name="40% - Accent3 6 2 3 5" xfId="3962" xr:uid="{00000000-0005-0000-0000-0000760F0000}"/>
    <cellStyle name="40% - Accent3 6 2 4" xfId="3963" xr:uid="{00000000-0005-0000-0000-0000770F0000}"/>
    <cellStyle name="40% - Accent3 6 2 4 2" xfId="3964" xr:uid="{00000000-0005-0000-0000-0000780F0000}"/>
    <cellStyle name="40% - Accent3 6 2 4 3" xfId="3965" xr:uid="{00000000-0005-0000-0000-0000790F0000}"/>
    <cellStyle name="40% - Accent3 6 2 4 4" xfId="3966" xr:uid="{00000000-0005-0000-0000-00007A0F0000}"/>
    <cellStyle name="40% - Accent3 6 2 5" xfId="3967" xr:uid="{00000000-0005-0000-0000-00007B0F0000}"/>
    <cellStyle name="40% - Accent3 6 2 5 2" xfId="3968" xr:uid="{00000000-0005-0000-0000-00007C0F0000}"/>
    <cellStyle name="40% - Accent3 6 2 6" xfId="3969" xr:uid="{00000000-0005-0000-0000-00007D0F0000}"/>
    <cellStyle name="40% - Accent3 6 2 7" xfId="3970" xr:uid="{00000000-0005-0000-0000-00007E0F0000}"/>
    <cellStyle name="40% - Accent3 6 2 8" xfId="3971" xr:uid="{00000000-0005-0000-0000-00007F0F0000}"/>
    <cellStyle name="40% - Accent3 6 2 9" xfId="3972" xr:uid="{00000000-0005-0000-0000-0000800F0000}"/>
    <cellStyle name="40% - Accent3 6 3" xfId="3973" xr:uid="{00000000-0005-0000-0000-0000810F0000}"/>
    <cellStyle name="40% - Accent3 6 3 2" xfId="3974" xr:uid="{00000000-0005-0000-0000-0000820F0000}"/>
    <cellStyle name="40% - Accent3 6 3 2 2" xfId="3975" xr:uid="{00000000-0005-0000-0000-0000830F0000}"/>
    <cellStyle name="40% - Accent3 6 3 2 3" xfId="3976" xr:uid="{00000000-0005-0000-0000-0000840F0000}"/>
    <cellStyle name="40% - Accent3 6 3 3" xfId="3977" xr:uid="{00000000-0005-0000-0000-0000850F0000}"/>
    <cellStyle name="40% - Accent3 6 3 4" xfId="3978" xr:uid="{00000000-0005-0000-0000-0000860F0000}"/>
    <cellStyle name="40% - Accent3 6 3 5" xfId="3979" xr:uid="{00000000-0005-0000-0000-0000870F0000}"/>
    <cellStyle name="40% - Accent3 6 3 6" xfId="3980" xr:uid="{00000000-0005-0000-0000-0000880F0000}"/>
    <cellStyle name="40% - Accent3 6 4" xfId="3981" xr:uid="{00000000-0005-0000-0000-0000890F0000}"/>
    <cellStyle name="40% - Accent3 6 4 2" xfId="3982" xr:uid="{00000000-0005-0000-0000-00008A0F0000}"/>
    <cellStyle name="40% - Accent3 6 4 2 2" xfId="3983" xr:uid="{00000000-0005-0000-0000-00008B0F0000}"/>
    <cellStyle name="40% - Accent3 6 4 3" xfId="3984" xr:uid="{00000000-0005-0000-0000-00008C0F0000}"/>
    <cellStyle name="40% - Accent3 6 4 4" xfId="3985" xr:uid="{00000000-0005-0000-0000-00008D0F0000}"/>
    <cellStyle name="40% - Accent3 6 4 5" xfId="3986" xr:uid="{00000000-0005-0000-0000-00008E0F0000}"/>
    <cellStyle name="40% - Accent3 6 5" xfId="3987" xr:uid="{00000000-0005-0000-0000-00008F0F0000}"/>
    <cellStyle name="40% - Accent3 6 5 2" xfId="3988" xr:uid="{00000000-0005-0000-0000-0000900F0000}"/>
    <cellStyle name="40% - Accent3 6 5 3" xfId="3989" xr:uid="{00000000-0005-0000-0000-0000910F0000}"/>
    <cellStyle name="40% - Accent3 6 5 4" xfId="3990" xr:uid="{00000000-0005-0000-0000-0000920F0000}"/>
    <cellStyle name="40% - Accent3 6 6" xfId="3991" xr:uid="{00000000-0005-0000-0000-0000930F0000}"/>
    <cellStyle name="40% - Accent3 6 6 2" xfId="3992" xr:uid="{00000000-0005-0000-0000-0000940F0000}"/>
    <cellStyle name="40% - Accent3 6 7" xfId="3993" xr:uid="{00000000-0005-0000-0000-0000950F0000}"/>
    <cellStyle name="40% - Accent3 6 8" xfId="3994" xr:uid="{00000000-0005-0000-0000-0000960F0000}"/>
    <cellStyle name="40% - Accent3 6 9" xfId="3995" xr:uid="{00000000-0005-0000-0000-0000970F0000}"/>
    <cellStyle name="40% - Accent3 7" xfId="3996" xr:uid="{00000000-0005-0000-0000-0000980F0000}"/>
    <cellStyle name="40% - Accent3 7 2" xfId="3997" xr:uid="{00000000-0005-0000-0000-0000990F0000}"/>
    <cellStyle name="40% - Accent3 7 2 2" xfId="3998" xr:uid="{00000000-0005-0000-0000-00009A0F0000}"/>
    <cellStyle name="40% - Accent3 7 2 2 2" xfId="3999" xr:uid="{00000000-0005-0000-0000-00009B0F0000}"/>
    <cellStyle name="40% - Accent3 7 2 2 3" xfId="4000" xr:uid="{00000000-0005-0000-0000-00009C0F0000}"/>
    <cellStyle name="40% - Accent3 7 2 3" xfId="4001" xr:uid="{00000000-0005-0000-0000-00009D0F0000}"/>
    <cellStyle name="40% - Accent3 7 2 4" xfId="4002" xr:uid="{00000000-0005-0000-0000-00009E0F0000}"/>
    <cellStyle name="40% - Accent3 7 2 5" xfId="4003" xr:uid="{00000000-0005-0000-0000-00009F0F0000}"/>
    <cellStyle name="40% - Accent3 7 2 6" xfId="4004" xr:uid="{00000000-0005-0000-0000-0000A00F0000}"/>
    <cellStyle name="40% - Accent3 7 3" xfId="4005" xr:uid="{00000000-0005-0000-0000-0000A10F0000}"/>
    <cellStyle name="40% - Accent3 7 3 2" xfId="4006" xr:uid="{00000000-0005-0000-0000-0000A20F0000}"/>
    <cellStyle name="40% - Accent3 7 3 2 2" xfId="4007" xr:uid="{00000000-0005-0000-0000-0000A30F0000}"/>
    <cellStyle name="40% - Accent3 7 3 3" xfId="4008" xr:uid="{00000000-0005-0000-0000-0000A40F0000}"/>
    <cellStyle name="40% - Accent3 7 3 4" xfId="4009" xr:uid="{00000000-0005-0000-0000-0000A50F0000}"/>
    <cellStyle name="40% - Accent3 7 3 5" xfId="4010" xr:uid="{00000000-0005-0000-0000-0000A60F0000}"/>
    <cellStyle name="40% - Accent3 7 4" xfId="4011" xr:uid="{00000000-0005-0000-0000-0000A70F0000}"/>
    <cellStyle name="40% - Accent3 7 4 2" xfId="4012" xr:uid="{00000000-0005-0000-0000-0000A80F0000}"/>
    <cellStyle name="40% - Accent3 7 4 3" xfId="4013" xr:uid="{00000000-0005-0000-0000-0000A90F0000}"/>
    <cellStyle name="40% - Accent3 7 4 4" xfId="4014" xr:uid="{00000000-0005-0000-0000-0000AA0F0000}"/>
    <cellStyle name="40% - Accent3 7 5" xfId="4015" xr:uid="{00000000-0005-0000-0000-0000AB0F0000}"/>
    <cellStyle name="40% - Accent3 7 5 2" xfId="4016" xr:uid="{00000000-0005-0000-0000-0000AC0F0000}"/>
    <cellStyle name="40% - Accent3 7 6" xfId="4017" xr:uid="{00000000-0005-0000-0000-0000AD0F0000}"/>
    <cellStyle name="40% - Accent3 7 7" xfId="4018" xr:uid="{00000000-0005-0000-0000-0000AE0F0000}"/>
    <cellStyle name="40% - Accent3 7 8" xfId="4019" xr:uid="{00000000-0005-0000-0000-0000AF0F0000}"/>
    <cellStyle name="40% - Accent3 7 9" xfId="4020" xr:uid="{00000000-0005-0000-0000-0000B00F0000}"/>
    <cellStyle name="40% - Accent3 8" xfId="4021" xr:uid="{00000000-0005-0000-0000-0000B10F0000}"/>
    <cellStyle name="40% - Accent3 8 2" xfId="4022" xr:uid="{00000000-0005-0000-0000-0000B20F0000}"/>
    <cellStyle name="40% - Accent3 8 2 2" xfId="4023" xr:uid="{00000000-0005-0000-0000-0000B30F0000}"/>
    <cellStyle name="40% - Accent3 8 2 2 2" xfId="4024" xr:uid="{00000000-0005-0000-0000-0000B40F0000}"/>
    <cellStyle name="40% - Accent3 8 2 2 3" xfId="4025" xr:uid="{00000000-0005-0000-0000-0000B50F0000}"/>
    <cellStyle name="40% - Accent3 8 2 3" xfId="4026" xr:uid="{00000000-0005-0000-0000-0000B60F0000}"/>
    <cellStyle name="40% - Accent3 8 2 4" xfId="4027" xr:uid="{00000000-0005-0000-0000-0000B70F0000}"/>
    <cellStyle name="40% - Accent3 8 2 5" xfId="4028" xr:uid="{00000000-0005-0000-0000-0000B80F0000}"/>
    <cellStyle name="40% - Accent3 8 2 6" xfId="4029" xr:uid="{00000000-0005-0000-0000-0000B90F0000}"/>
    <cellStyle name="40% - Accent3 8 3" xfId="4030" xr:uid="{00000000-0005-0000-0000-0000BA0F0000}"/>
    <cellStyle name="40% - Accent3 8 3 2" xfId="4031" xr:uid="{00000000-0005-0000-0000-0000BB0F0000}"/>
    <cellStyle name="40% - Accent3 8 3 2 2" xfId="4032" xr:uid="{00000000-0005-0000-0000-0000BC0F0000}"/>
    <cellStyle name="40% - Accent3 8 3 3" xfId="4033" xr:uid="{00000000-0005-0000-0000-0000BD0F0000}"/>
    <cellStyle name="40% - Accent3 8 3 4" xfId="4034" xr:uid="{00000000-0005-0000-0000-0000BE0F0000}"/>
    <cellStyle name="40% - Accent3 8 3 5" xfId="4035" xr:uid="{00000000-0005-0000-0000-0000BF0F0000}"/>
    <cellStyle name="40% - Accent3 8 4" xfId="4036" xr:uid="{00000000-0005-0000-0000-0000C00F0000}"/>
    <cellStyle name="40% - Accent3 8 4 2" xfId="4037" xr:uid="{00000000-0005-0000-0000-0000C10F0000}"/>
    <cellStyle name="40% - Accent3 8 4 3" xfId="4038" xr:uid="{00000000-0005-0000-0000-0000C20F0000}"/>
    <cellStyle name="40% - Accent3 8 4 4" xfId="4039" xr:uid="{00000000-0005-0000-0000-0000C30F0000}"/>
    <cellStyle name="40% - Accent3 8 5" xfId="4040" xr:uid="{00000000-0005-0000-0000-0000C40F0000}"/>
    <cellStyle name="40% - Accent3 8 5 2" xfId="4041" xr:uid="{00000000-0005-0000-0000-0000C50F0000}"/>
    <cellStyle name="40% - Accent3 8 6" xfId="4042" xr:uid="{00000000-0005-0000-0000-0000C60F0000}"/>
    <cellStyle name="40% - Accent3 8 7" xfId="4043" xr:uid="{00000000-0005-0000-0000-0000C70F0000}"/>
    <cellStyle name="40% - Accent3 8 8" xfId="4044" xr:uid="{00000000-0005-0000-0000-0000C80F0000}"/>
    <cellStyle name="40% - Accent3 8 9" xfId="4045" xr:uid="{00000000-0005-0000-0000-0000C90F0000}"/>
    <cellStyle name="40% - Accent3 9" xfId="4046" xr:uid="{00000000-0005-0000-0000-0000CA0F0000}"/>
    <cellStyle name="40% - Accent3 9 2" xfId="4047" xr:uid="{00000000-0005-0000-0000-0000CB0F0000}"/>
    <cellStyle name="40% - Accent3 9 2 2" xfId="4048" xr:uid="{00000000-0005-0000-0000-0000CC0F0000}"/>
    <cellStyle name="40% - Accent3 9 2 2 2" xfId="4049" xr:uid="{00000000-0005-0000-0000-0000CD0F0000}"/>
    <cellStyle name="40% - Accent3 9 2 3" xfId="4050" xr:uid="{00000000-0005-0000-0000-0000CE0F0000}"/>
    <cellStyle name="40% - Accent3 9 2 4" xfId="4051" xr:uid="{00000000-0005-0000-0000-0000CF0F0000}"/>
    <cellStyle name="40% - Accent3 9 2 5" xfId="4052" xr:uid="{00000000-0005-0000-0000-0000D00F0000}"/>
    <cellStyle name="40% - Accent3 9 3" xfId="4053" xr:uid="{00000000-0005-0000-0000-0000D10F0000}"/>
    <cellStyle name="40% - Accent3 9 3 2" xfId="4054" xr:uid="{00000000-0005-0000-0000-0000D20F0000}"/>
    <cellStyle name="40% - Accent3 9 3 3" xfId="4055" xr:uid="{00000000-0005-0000-0000-0000D30F0000}"/>
    <cellStyle name="40% - Accent3 9 3 4" xfId="4056" xr:uid="{00000000-0005-0000-0000-0000D40F0000}"/>
    <cellStyle name="40% - Accent3 9 4" xfId="4057" xr:uid="{00000000-0005-0000-0000-0000D50F0000}"/>
    <cellStyle name="40% - Accent3 9 4 2" xfId="4058" xr:uid="{00000000-0005-0000-0000-0000D60F0000}"/>
    <cellStyle name="40% - Accent3 9 5" xfId="4059" xr:uid="{00000000-0005-0000-0000-0000D70F0000}"/>
    <cellStyle name="40% - Accent3 9 6" xfId="4060" xr:uid="{00000000-0005-0000-0000-0000D80F0000}"/>
    <cellStyle name="40% - Accent3 9 7" xfId="4061" xr:uid="{00000000-0005-0000-0000-0000D90F0000}"/>
    <cellStyle name="40% - Accent3 9 8" xfId="4062" xr:uid="{00000000-0005-0000-0000-0000DA0F0000}"/>
    <cellStyle name="40% - Accent4 10" xfId="4063" xr:uid="{00000000-0005-0000-0000-0000DB0F0000}"/>
    <cellStyle name="40% - Accent4 10 2" xfId="4064" xr:uid="{00000000-0005-0000-0000-0000DC0F0000}"/>
    <cellStyle name="40% - Accent4 10 2 2" xfId="4065" xr:uid="{00000000-0005-0000-0000-0000DD0F0000}"/>
    <cellStyle name="40% - Accent4 10 2 2 2" xfId="4066" xr:uid="{00000000-0005-0000-0000-0000DE0F0000}"/>
    <cellStyle name="40% - Accent4 10 2 3" xfId="4067" xr:uid="{00000000-0005-0000-0000-0000DF0F0000}"/>
    <cellStyle name="40% - Accent4 10 2 4" xfId="4068" xr:uid="{00000000-0005-0000-0000-0000E00F0000}"/>
    <cellStyle name="40% - Accent4 10 2 5" xfId="4069" xr:uid="{00000000-0005-0000-0000-0000E10F0000}"/>
    <cellStyle name="40% - Accent4 10 3" xfId="4070" xr:uid="{00000000-0005-0000-0000-0000E20F0000}"/>
    <cellStyle name="40% - Accent4 10 3 2" xfId="4071" xr:uid="{00000000-0005-0000-0000-0000E30F0000}"/>
    <cellStyle name="40% - Accent4 10 3 3" xfId="4072" xr:uid="{00000000-0005-0000-0000-0000E40F0000}"/>
    <cellStyle name="40% - Accent4 10 3 4" xfId="4073" xr:uid="{00000000-0005-0000-0000-0000E50F0000}"/>
    <cellStyle name="40% - Accent4 10 4" xfId="4074" xr:uid="{00000000-0005-0000-0000-0000E60F0000}"/>
    <cellStyle name="40% - Accent4 10 4 2" xfId="4075" xr:uid="{00000000-0005-0000-0000-0000E70F0000}"/>
    <cellStyle name="40% - Accent4 10 5" xfId="4076" xr:uid="{00000000-0005-0000-0000-0000E80F0000}"/>
    <cellStyle name="40% - Accent4 10 6" xfId="4077" xr:uid="{00000000-0005-0000-0000-0000E90F0000}"/>
    <cellStyle name="40% - Accent4 10 7" xfId="4078" xr:uid="{00000000-0005-0000-0000-0000EA0F0000}"/>
    <cellStyle name="40% - Accent4 10 8" xfId="4079" xr:uid="{00000000-0005-0000-0000-0000EB0F0000}"/>
    <cellStyle name="40% - Accent4 11" xfId="4080" xr:uid="{00000000-0005-0000-0000-0000EC0F0000}"/>
    <cellStyle name="40% - Accent4 11 2" xfId="4081" xr:uid="{00000000-0005-0000-0000-0000ED0F0000}"/>
    <cellStyle name="40% - Accent4 11 2 2" xfId="4082" xr:uid="{00000000-0005-0000-0000-0000EE0F0000}"/>
    <cellStyle name="40% - Accent4 11 2 2 2" xfId="4083" xr:uid="{00000000-0005-0000-0000-0000EF0F0000}"/>
    <cellStyle name="40% - Accent4 11 2 3" xfId="4084" xr:uid="{00000000-0005-0000-0000-0000F00F0000}"/>
    <cellStyle name="40% - Accent4 11 2 4" xfId="4085" xr:uid="{00000000-0005-0000-0000-0000F10F0000}"/>
    <cellStyle name="40% - Accent4 11 2 5" xfId="4086" xr:uid="{00000000-0005-0000-0000-0000F20F0000}"/>
    <cellStyle name="40% - Accent4 11 3" xfId="4087" xr:uid="{00000000-0005-0000-0000-0000F30F0000}"/>
    <cellStyle name="40% - Accent4 11 3 2" xfId="4088" xr:uid="{00000000-0005-0000-0000-0000F40F0000}"/>
    <cellStyle name="40% - Accent4 11 3 3" xfId="4089" xr:uid="{00000000-0005-0000-0000-0000F50F0000}"/>
    <cellStyle name="40% - Accent4 11 3 4" xfId="4090" xr:uid="{00000000-0005-0000-0000-0000F60F0000}"/>
    <cellStyle name="40% - Accent4 11 4" xfId="4091" xr:uid="{00000000-0005-0000-0000-0000F70F0000}"/>
    <cellStyle name="40% - Accent4 11 4 2" xfId="4092" xr:uid="{00000000-0005-0000-0000-0000F80F0000}"/>
    <cellStyle name="40% - Accent4 11 5" xfId="4093" xr:uid="{00000000-0005-0000-0000-0000F90F0000}"/>
    <cellStyle name="40% - Accent4 11 6" xfId="4094" xr:uid="{00000000-0005-0000-0000-0000FA0F0000}"/>
    <cellStyle name="40% - Accent4 11 7" xfId="4095" xr:uid="{00000000-0005-0000-0000-0000FB0F0000}"/>
    <cellStyle name="40% - Accent4 11 8" xfId="4096" xr:uid="{00000000-0005-0000-0000-0000FC0F0000}"/>
    <cellStyle name="40% - Accent4 12" xfId="4097" xr:uid="{00000000-0005-0000-0000-0000FD0F0000}"/>
    <cellStyle name="40% - Accent4 12 2" xfId="4098" xr:uid="{00000000-0005-0000-0000-0000FE0F0000}"/>
    <cellStyle name="40% - Accent4 12 2 2" xfId="4099" xr:uid="{00000000-0005-0000-0000-0000FF0F0000}"/>
    <cellStyle name="40% - Accent4 12 2 2 2" xfId="4100" xr:uid="{00000000-0005-0000-0000-000000100000}"/>
    <cellStyle name="40% - Accent4 12 2 3" xfId="4101" xr:uid="{00000000-0005-0000-0000-000001100000}"/>
    <cellStyle name="40% - Accent4 12 2 4" xfId="4102" xr:uid="{00000000-0005-0000-0000-000002100000}"/>
    <cellStyle name="40% - Accent4 12 2 5" xfId="4103" xr:uid="{00000000-0005-0000-0000-000003100000}"/>
    <cellStyle name="40% - Accent4 12 3" xfId="4104" xr:uid="{00000000-0005-0000-0000-000004100000}"/>
    <cellStyle name="40% - Accent4 12 3 2" xfId="4105" xr:uid="{00000000-0005-0000-0000-000005100000}"/>
    <cellStyle name="40% - Accent4 12 3 3" xfId="4106" xr:uid="{00000000-0005-0000-0000-000006100000}"/>
    <cellStyle name="40% - Accent4 12 3 4" xfId="4107" xr:uid="{00000000-0005-0000-0000-000007100000}"/>
    <cellStyle name="40% - Accent4 12 4" xfId="4108" xr:uid="{00000000-0005-0000-0000-000008100000}"/>
    <cellStyle name="40% - Accent4 12 4 2" xfId="4109" xr:uid="{00000000-0005-0000-0000-000009100000}"/>
    <cellStyle name="40% - Accent4 12 5" xfId="4110" xr:uid="{00000000-0005-0000-0000-00000A100000}"/>
    <cellStyle name="40% - Accent4 12 6" xfId="4111" xr:uid="{00000000-0005-0000-0000-00000B100000}"/>
    <cellStyle name="40% - Accent4 12 7" xfId="4112" xr:uid="{00000000-0005-0000-0000-00000C100000}"/>
    <cellStyle name="40% - Accent4 12 8" xfId="4113" xr:uid="{00000000-0005-0000-0000-00000D100000}"/>
    <cellStyle name="40% - Accent4 13" xfId="4114" xr:uid="{00000000-0005-0000-0000-00000E100000}"/>
    <cellStyle name="40% - Accent4 13 2" xfId="4115" xr:uid="{00000000-0005-0000-0000-00000F100000}"/>
    <cellStyle name="40% - Accent4 13 2 2" xfId="4116" xr:uid="{00000000-0005-0000-0000-000010100000}"/>
    <cellStyle name="40% - Accent4 13 2 3" xfId="4117" xr:uid="{00000000-0005-0000-0000-000011100000}"/>
    <cellStyle name="40% - Accent4 13 2 4" xfId="4118" xr:uid="{00000000-0005-0000-0000-000012100000}"/>
    <cellStyle name="40% - Accent4 13 3" xfId="4119" xr:uid="{00000000-0005-0000-0000-000013100000}"/>
    <cellStyle name="40% - Accent4 13 3 2" xfId="4120" xr:uid="{00000000-0005-0000-0000-000014100000}"/>
    <cellStyle name="40% - Accent4 13 4" xfId="4121" xr:uid="{00000000-0005-0000-0000-000015100000}"/>
    <cellStyle name="40% - Accent4 13 5" xfId="4122" xr:uid="{00000000-0005-0000-0000-000016100000}"/>
    <cellStyle name="40% - Accent4 13 6" xfId="4123" xr:uid="{00000000-0005-0000-0000-000017100000}"/>
    <cellStyle name="40% - Accent4 14" xfId="4124" xr:uid="{00000000-0005-0000-0000-000018100000}"/>
    <cellStyle name="40% - Accent4 14 2" xfId="4125" xr:uid="{00000000-0005-0000-0000-000019100000}"/>
    <cellStyle name="40% - Accent4 14 2 2" xfId="4126" xr:uid="{00000000-0005-0000-0000-00001A100000}"/>
    <cellStyle name="40% - Accent4 14 3" xfId="4127" xr:uid="{00000000-0005-0000-0000-00001B100000}"/>
    <cellStyle name="40% - Accent4 14 4" xfId="4128" xr:uid="{00000000-0005-0000-0000-00001C100000}"/>
    <cellStyle name="40% - Accent4 14 5" xfId="4129" xr:uid="{00000000-0005-0000-0000-00001D100000}"/>
    <cellStyle name="40% - Accent4 15" xfId="4130" xr:uid="{00000000-0005-0000-0000-00001E100000}"/>
    <cellStyle name="40% - Accent4 15 2" xfId="4131" xr:uid="{00000000-0005-0000-0000-00001F100000}"/>
    <cellStyle name="40% - Accent4 15 2 2" xfId="4132" xr:uid="{00000000-0005-0000-0000-000020100000}"/>
    <cellStyle name="40% - Accent4 15 3" xfId="4133" xr:uid="{00000000-0005-0000-0000-000021100000}"/>
    <cellStyle name="40% - Accent4 15 4" xfId="4134" xr:uid="{00000000-0005-0000-0000-000022100000}"/>
    <cellStyle name="40% - Accent4 15 5" xfId="4135" xr:uid="{00000000-0005-0000-0000-000023100000}"/>
    <cellStyle name="40% - Accent4 16" xfId="4136" xr:uid="{00000000-0005-0000-0000-000024100000}"/>
    <cellStyle name="40% - Accent4 16 2" xfId="4137" xr:uid="{00000000-0005-0000-0000-000025100000}"/>
    <cellStyle name="40% - Accent4 17" xfId="4138" xr:uid="{00000000-0005-0000-0000-000026100000}"/>
    <cellStyle name="40% - Accent4 18" xfId="4139" xr:uid="{00000000-0005-0000-0000-000027100000}"/>
    <cellStyle name="40% - Accent4 19" xfId="4140" xr:uid="{00000000-0005-0000-0000-000028100000}"/>
    <cellStyle name="40% - Accent4 2" xfId="4141" xr:uid="{00000000-0005-0000-0000-000029100000}"/>
    <cellStyle name="40% - Accent4 2 10" xfId="4142" xr:uid="{00000000-0005-0000-0000-00002A100000}"/>
    <cellStyle name="40% - Accent4 2 11" xfId="4143" xr:uid="{00000000-0005-0000-0000-00002B100000}"/>
    <cellStyle name="40% - Accent4 2 2" xfId="4144" xr:uid="{00000000-0005-0000-0000-00002C100000}"/>
    <cellStyle name="40% - Accent4 2 2 10" xfId="4145" xr:uid="{00000000-0005-0000-0000-00002D100000}"/>
    <cellStyle name="40% - Accent4 2 2 2" xfId="4146" xr:uid="{00000000-0005-0000-0000-00002E100000}"/>
    <cellStyle name="40% - Accent4 2 2 2 2" xfId="4147" xr:uid="{00000000-0005-0000-0000-00002F100000}"/>
    <cellStyle name="40% - Accent4 2 2 2 2 2" xfId="4148" xr:uid="{00000000-0005-0000-0000-000030100000}"/>
    <cellStyle name="40% - Accent4 2 2 2 2 2 2" xfId="4149" xr:uid="{00000000-0005-0000-0000-000031100000}"/>
    <cellStyle name="40% - Accent4 2 2 2 2 2 3" xfId="4150" xr:uid="{00000000-0005-0000-0000-000032100000}"/>
    <cellStyle name="40% - Accent4 2 2 2 2 3" xfId="4151" xr:uid="{00000000-0005-0000-0000-000033100000}"/>
    <cellStyle name="40% - Accent4 2 2 2 2 4" xfId="4152" xr:uid="{00000000-0005-0000-0000-000034100000}"/>
    <cellStyle name="40% - Accent4 2 2 2 2 5" xfId="4153" xr:uid="{00000000-0005-0000-0000-000035100000}"/>
    <cellStyle name="40% - Accent4 2 2 2 2 6" xfId="4154" xr:uid="{00000000-0005-0000-0000-000036100000}"/>
    <cellStyle name="40% - Accent4 2 2 2 3" xfId="4155" xr:uid="{00000000-0005-0000-0000-000037100000}"/>
    <cellStyle name="40% - Accent4 2 2 2 3 2" xfId="4156" xr:uid="{00000000-0005-0000-0000-000038100000}"/>
    <cellStyle name="40% - Accent4 2 2 2 3 2 2" xfId="4157" xr:uid="{00000000-0005-0000-0000-000039100000}"/>
    <cellStyle name="40% - Accent4 2 2 2 3 3" xfId="4158" xr:uid="{00000000-0005-0000-0000-00003A100000}"/>
    <cellStyle name="40% - Accent4 2 2 2 3 4" xfId="4159" xr:uid="{00000000-0005-0000-0000-00003B100000}"/>
    <cellStyle name="40% - Accent4 2 2 2 3 5" xfId="4160" xr:uid="{00000000-0005-0000-0000-00003C100000}"/>
    <cellStyle name="40% - Accent4 2 2 2 4" xfId="4161" xr:uid="{00000000-0005-0000-0000-00003D100000}"/>
    <cellStyle name="40% - Accent4 2 2 2 4 2" xfId="4162" xr:uid="{00000000-0005-0000-0000-00003E100000}"/>
    <cellStyle name="40% - Accent4 2 2 2 4 3" xfId="4163" xr:uid="{00000000-0005-0000-0000-00003F100000}"/>
    <cellStyle name="40% - Accent4 2 2 2 4 4" xfId="4164" xr:uid="{00000000-0005-0000-0000-000040100000}"/>
    <cellStyle name="40% - Accent4 2 2 2 5" xfId="4165" xr:uid="{00000000-0005-0000-0000-000041100000}"/>
    <cellStyle name="40% - Accent4 2 2 2 5 2" xfId="4166" xr:uid="{00000000-0005-0000-0000-000042100000}"/>
    <cellStyle name="40% - Accent4 2 2 2 6" xfId="4167" xr:uid="{00000000-0005-0000-0000-000043100000}"/>
    <cellStyle name="40% - Accent4 2 2 2 7" xfId="4168" xr:uid="{00000000-0005-0000-0000-000044100000}"/>
    <cellStyle name="40% - Accent4 2 2 2 8" xfId="4169" xr:uid="{00000000-0005-0000-0000-000045100000}"/>
    <cellStyle name="40% - Accent4 2 2 2 9" xfId="4170" xr:uid="{00000000-0005-0000-0000-000046100000}"/>
    <cellStyle name="40% - Accent4 2 2 3" xfId="4171" xr:uid="{00000000-0005-0000-0000-000047100000}"/>
    <cellStyle name="40% - Accent4 2 2 3 2" xfId="4172" xr:uid="{00000000-0005-0000-0000-000048100000}"/>
    <cellStyle name="40% - Accent4 2 2 3 2 2" xfId="4173" xr:uid="{00000000-0005-0000-0000-000049100000}"/>
    <cellStyle name="40% - Accent4 2 2 3 2 3" xfId="4174" xr:uid="{00000000-0005-0000-0000-00004A100000}"/>
    <cellStyle name="40% - Accent4 2 2 3 3" xfId="4175" xr:uid="{00000000-0005-0000-0000-00004B100000}"/>
    <cellStyle name="40% - Accent4 2 2 3 4" xfId="4176" xr:uid="{00000000-0005-0000-0000-00004C100000}"/>
    <cellStyle name="40% - Accent4 2 2 3 5" xfId="4177" xr:uid="{00000000-0005-0000-0000-00004D100000}"/>
    <cellStyle name="40% - Accent4 2 2 3 6" xfId="4178" xr:uid="{00000000-0005-0000-0000-00004E100000}"/>
    <cellStyle name="40% - Accent4 2 2 4" xfId="4179" xr:uid="{00000000-0005-0000-0000-00004F100000}"/>
    <cellStyle name="40% - Accent4 2 2 4 2" xfId="4180" xr:uid="{00000000-0005-0000-0000-000050100000}"/>
    <cellStyle name="40% - Accent4 2 2 4 2 2" xfId="4181" xr:uid="{00000000-0005-0000-0000-000051100000}"/>
    <cellStyle name="40% - Accent4 2 2 4 3" xfId="4182" xr:uid="{00000000-0005-0000-0000-000052100000}"/>
    <cellStyle name="40% - Accent4 2 2 4 4" xfId="4183" xr:uid="{00000000-0005-0000-0000-000053100000}"/>
    <cellStyle name="40% - Accent4 2 2 4 5" xfId="4184" xr:uid="{00000000-0005-0000-0000-000054100000}"/>
    <cellStyle name="40% - Accent4 2 2 5" xfId="4185" xr:uid="{00000000-0005-0000-0000-000055100000}"/>
    <cellStyle name="40% - Accent4 2 2 5 2" xfId="4186" xr:uid="{00000000-0005-0000-0000-000056100000}"/>
    <cellStyle name="40% - Accent4 2 2 5 3" xfId="4187" xr:uid="{00000000-0005-0000-0000-000057100000}"/>
    <cellStyle name="40% - Accent4 2 2 5 4" xfId="4188" xr:uid="{00000000-0005-0000-0000-000058100000}"/>
    <cellStyle name="40% - Accent4 2 2 6" xfId="4189" xr:uid="{00000000-0005-0000-0000-000059100000}"/>
    <cellStyle name="40% - Accent4 2 2 6 2" xfId="4190" xr:uid="{00000000-0005-0000-0000-00005A100000}"/>
    <cellStyle name="40% - Accent4 2 2 7" xfId="4191" xr:uid="{00000000-0005-0000-0000-00005B100000}"/>
    <cellStyle name="40% - Accent4 2 2 8" xfId="4192" xr:uid="{00000000-0005-0000-0000-00005C100000}"/>
    <cellStyle name="40% - Accent4 2 2 9" xfId="4193" xr:uid="{00000000-0005-0000-0000-00005D100000}"/>
    <cellStyle name="40% - Accent4 2 3" xfId="4194" xr:uid="{00000000-0005-0000-0000-00005E100000}"/>
    <cellStyle name="40% - Accent4 2 3 2" xfId="4195" xr:uid="{00000000-0005-0000-0000-00005F100000}"/>
    <cellStyle name="40% - Accent4 2 3 2 2" xfId="4196" xr:uid="{00000000-0005-0000-0000-000060100000}"/>
    <cellStyle name="40% - Accent4 2 3 2 2 2" xfId="4197" xr:uid="{00000000-0005-0000-0000-000061100000}"/>
    <cellStyle name="40% - Accent4 2 3 2 2 3" xfId="4198" xr:uid="{00000000-0005-0000-0000-000062100000}"/>
    <cellStyle name="40% - Accent4 2 3 2 3" xfId="4199" xr:uid="{00000000-0005-0000-0000-000063100000}"/>
    <cellStyle name="40% - Accent4 2 3 2 4" xfId="4200" xr:uid="{00000000-0005-0000-0000-000064100000}"/>
    <cellStyle name="40% - Accent4 2 3 2 5" xfId="4201" xr:uid="{00000000-0005-0000-0000-000065100000}"/>
    <cellStyle name="40% - Accent4 2 3 2 6" xfId="4202" xr:uid="{00000000-0005-0000-0000-000066100000}"/>
    <cellStyle name="40% - Accent4 2 3 3" xfId="4203" xr:uid="{00000000-0005-0000-0000-000067100000}"/>
    <cellStyle name="40% - Accent4 2 3 3 2" xfId="4204" xr:uid="{00000000-0005-0000-0000-000068100000}"/>
    <cellStyle name="40% - Accent4 2 3 3 2 2" xfId="4205" xr:uid="{00000000-0005-0000-0000-000069100000}"/>
    <cellStyle name="40% - Accent4 2 3 3 3" xfId="4206" xr:uid="{00000000-0005-0000-0000-00006A100000}"/>
    <cellStyle name="40% - Accent4 2 3 3 4" xfId="4207" xr:uid="{00000000-0005-0000-0000-00006B100000}"/>
    <cellStyle name="40% - Accent4 2 3 3 5" xfId="4208" xr:uid="{00000000-0005-0000-0000-00006C100000}"/>
    <cellStyle name="40% - Accent4 2 3 4" xfId="4209" xr:uid="{00000000-0005-0000-0000-00006D100000}"/>
    <cellStyle name="40% - Accent4 2 3 4 2" xfId="4210" xr:uid="{00000000-0005-0000-0000-00006E100000}"/>
    <cellStyle name="40% - Accent4 2 3 4 3" xfId="4211" xr:uid="{00000000-0005-0000-0000-00006F100000}"/>
    <cellStyle name="40% - Accent4 2 3 4 4" xfId="4212" xr:uid="{00000000-0005-0000-0000-000070100000}"/>
    <cellStyle name="40% - Accent4 2 3 5" xfId="4213" xr:uid="{00000000-0005-0000-0000-000071100000}"/>
    <cellStyle name="40% - Accent4 2 3 5 2" xfId="4214" xr:uid="{00000000-0005-0000-0000-000072100000}"/>
    <cellStyle name="40% - Accent4 2 3 6" xfId="4215" xr:uid="{00000000-0005-0000-0000-000073100000}"/>
    <cellStyle name="40% - Accent4 2 3 7" xfId="4216" xr:uid="{00000000-0005-0000-0000-000074100000}"/>
    <cellStyle name="40% - Accent4 2 3 8" xfId="4217" xr:uid="{00000000-0005-0000-0000-000075100000}"/>
    <cellStyle name="40% - Accent4 2 3 9" xfId="4218" xr:uid="{00000000-0005-0000-0000-000076100000}"/>
    <cellStyle name="40% - Accent4 2 4" xfId="4219" xr:uid="{00000000-0005-0000-0000-000077100000}"/>
    <cellStyle name="40% - Accent4 2 4 2" xfId="4220" xr:uid="{00000000-0005-0000-0000-000078100000}"/>
    <cellStyle name="40% - Accent4 2 4 2 2" xfId="4221" xr:uid="{00000000-0005-0000-0000-000079100000}"/>
    <cellStyle name="40% - Accent4 2 4 2 3" xfId="4222" xr:uid="{00000000-0005-0000-0000-00007A100000}"/>
    <cellStyle name="40% - Accent4 2 4 3" xfId="4223" xr:uid="{00000000-0005-0000-0000-00007B100000}"/>
    <cellStyle name="40% - Accent4 2 4 4" xfId="4224" xr:uid="{00000000-0005-0000-0000-00007C100000}"/>
    <cellStyle name="40% - Accent4 2 4 5" xfId="4225" xr:uid="{00000000-0005-0000-0000-00007D100000}"/>
    <cellStyle name="40% - Accent4 2 4 6" xfId="4226" xr:uid="{00000000-0005-0000-0000-00007E100000}"/>
    <cellStyle name="40% - Accent4 2 5" xfId="4227" xr:uid="{00000000-0005-0000-0000-00007F100000}"/>
    <cellStyle name="40% - Accent4 2 5 2" xfId="4228" xr:uid="{00000000-0005-0000-0000-000080100000}"/>
    <cellStyle name="40% - Accent4 2 5 2 2" xfId="4229" xr:uid="{00000000-0005-0000-0000-000081100000}"/>
    <cellStyle name="40% - Accent4 2 5 3" xfId="4230" xr:uid="{00000000-0005-0000-0000-000082100000}"/>
    <cellStyle name="40% - Accent4 2 5 4" xfId="4231" xr:uid="{00000000-0005-0000-0000-000083100000}"/>
    <cellStyle name="40% - Accent4 2 5 5" xfId="4232" xr:uid="{00000000-0005-0000-0000-000084100000}"/>
    <cellStyle name="40% - Accent4 2 6" xfId="4233" xr:uid="{00000000-0005-0000-0000-000085100000}"/>
    <cellStyle name="40% - Accent4 2 6 2" xfId="4234" xr:uid="{00000000-0005-0000-0000-000086100000}"/>
    <cellStyle name="40% - Accent4 2 6 2 2" xfId="4235" xr:uid="{00000000-0005-0000-0000-000087100000}"/>
    <cellStyle name="40% - Accent4 2 6 3" xfId="4236" xr:uid="{00000000-0005-0000-0000-000088100000}"/>
    <cellStyle name="40% - Accent4 2 6 4" xfId="4237" xr:uid="{00000000-0005-0000-0000-000089100000}"/>
    <cellStyle name="40% - Accent4 2 6 5" xfId="4238" xr:uid="{00000000-0005-0000-0000-00008A100000}"/>
    <cellStyle name="40% - Accent4 2 7" xfId="4239" xr:uid="{00000000-0005-0000-0000-00008B100000}"/>
    <cellStyle name="40% - Accent4 2 7 2" xfId="4240" xr:uid="{00000000-0005-0000-0000-00008C100000}"/>
    <cellStyle name="40% - Accent4 2 8" xfId="4241" xr:uid="{00000000-0005-0000-0000-00008D100000}"/>
    <cellStyle name="40% - Accent4 2 9" xfId="4242" xr:uid="{00000000-0005-0000-0000-00008E100000}"/>
    <cellStyle name="40% - Accent4 3" xfId="4243" xr:uid="{00000000-0005-0000-0000-00008F100000}"/>
    <cellStyle name="40% - Accent4 3 10" xfId="4244" xr:uid="{00000000-0005-0000-0000-000090100000}"/>
    <cellStyle name="40% - Accent4 3 2" xfId="4245" xr:uid="{00000000-0005-0000-0000-000091100000}"/>
    <cellStyle name="40% - Accent4 3 2 2" xfId="4246" xr:uid="{00000000-0005-0000-0000-000092100000}"/>
    <cellStyle name="40% - Accent4 3 2 2 2" xfId="4247" xr:uid="{00000000-0005-0000-0000-000093100000}"/>
    <cellStyle name="40% - Accent4 3 2 2 2 2" xfId="4248" xr:uid="{00000000-0005-0000-0000-000094100000}"/>
    <cellStyle name="40% - Accent4 3 2 2 2 3" xfId="4249" xr:uid="{00000000-0005-0000-0000-000095100000}"/>
    <cellStyle name="40% - Accent4 3 2 2 3" xfId="4250" xr:uid="{00000000-0005-0000-0000-000096100000}"/>
    <cellStyle name="40% - Accent4 3 2 2 4" xfId="4251" xr:uid="{00000000-0005-0000-0000-000097100000}"/>
    <cellStyle name="40% - Accent4 3 2 2 5" xfId="4252" xr:uid="{00000000-0005-0000-0000-000098100000}"/>
    <cellStyle name="40% - Accent4 3 2 2 6" xfId="4253" xr:uid="{00000000-0005-0000-0000-000099100000}"/>
    <cellStyle name="40% - Accent4 3 2 3" xfId="4254" xr:uid="{00000000-0005-0000-0000-00009A100000}"/>
    <cellStyle name="40% - Accent4 3 2 3 2" xfId="4255" xr:uid="{00000000-0005-0000-0000-00009B100000}"/>
    <cellStyle name="40% - Accent4 3 2 3 2 2" xfId="4256" xr:uid="{00000000-0005-0000-0000-00009C100000}"/>
    <cellStyle name="40% - Accent4 3 2 3 3" xfId="4257" xr:uid="{00000000-0005-0000-0000-00009D100000}"/>
    <cellStyle name="40% - Accent4 3 2 3 4" xfId="4258" xr:uid="{00000000-0005-0000-0000-00009E100000}"/>
    <cellStyle name="40% - Accent4 3 2 3 5" xfId="4259" xr:uid="{00000000-0005-0000-0000-00009F100000}"/>
    <cellStyle name="40% - Accent4 3 2 4" xfId="4260" xr:uid="{00000000-0005-0000-0000-0000A0100000}"/>
    <cellStyle name="40% - Accent4 3 2 4 2" xfId="4261" xr:uid="{00000000-0005-0000-0000-0000A1100000}"/>
    <cellStyle name="40% - Accent4 3 2 4 3" xfId="4262" xr:uid="{00000000-0005-0000-0000-0000A2100000}"/>
    <cellStyle name="40% - Accent4 3 2 4 4" xfId="4263" xr:uid="{00000000-0005-0000-0000-0000A3100000}"/>
    <cellStyle name="40% - Accent4 3 2 5" xfId="4264" xr:uid="{00000000-0005-0000-0000-0000A4100000}"/>
    <cellStyle name="40% - Accent4 3 2 5 2" xfId="4265" xr:uid="{00000000-0005-0000-0000-0000A5100000}"/>
    <cellStyle name="40% - Accent4 3 2 6" xfId="4266" xr:uid="{00000000-0005-0000-0000-0000A6100000}"/>
    <cellStyle name="40% - Accent4 3 2 7" xfId="4267" xr:uid="{00000000-0005-0000-0000-0000A7100000}"/>
    <cellStyle name="40% - Accent4 3 2 8" xfId="4268" xr:uid="{00000000-0005-0000-0000-0000A8100000}"/>
    <cellStyle name="40% - Accent4 3 2 9" xfId="4269" xr:uid="{00000000-0005-0000-0000-0000A9100000}"/>
    <cellStyle name="40% - Accent4 3 3" xfId="4270" xr:uid="{00000000-0005-0000-0000-0000AA100000}"/>
    <cellStyle name="40% - Accent4 3 3 2" xfId="4271" xr:uid="{00000000-0005-0000-0000-0000AB100000}"/>
    <cellStyle name="40% - Accent4 3 3 2 2" xfId="4272" xr:uid="{00000000-0005-0000-0000-0000AC100000}"/>
    <cellStyle name="40% - Accent4 3 3 2 3" xfId="4273" xr:uid="{00000000-0005-0000-0000-0000AD100000}"/>
    <cellStyle name="40% - Accent4 3 3 3" xfId="4274" xr:uid="{00000000-0005-0000-0000-0000AE100000}"/>
    <cellStyle name="40% - Accent4 3 3 4" xfId="4275" xr:uid="{00000000-0005-0000-0000-0000AF100000}"/>
    <cellStyle name="40% - Accent4 3 3 5" xfId="4276" xr:uid="{00000000-0005-0000-0000-0000B0100000}"/>
    <cellStyle name="40% - Accent4 3 3 6" xfId="4277" xr:uid="{00000000-0005-0000-0000-0000B1100000}"/>
    <cellStyle name="40% - Accent4 3 4" xfId="4278" xr:uid="{00000000-0005-0000-0000-0000B2100000}"/>
    <cellStyle name="40% - Accent4 3 4 2" xfId="4279" xr:uid="{00000000-0005-0000-0000-0000B3100000}"/>
    <cellStyle name="40% - Accent4 3 4 2 2" xfId="4280" xr:uid="{00000000-0005-0000-0000-0000B4100000}"/>
    <cellStyle name="40% - Accent4 3 4 3" xfId="4281" xr:uid="{00000000-0005-0000-0000-0000B5100000}"/>
    <cellStyle name="40% - Accent4 3 4 4" xfId="4282" xr:uid="{00000000-0005-0000-0000-0000B6100000}"/>
    <cellStyle name="40% - Accent4 3 4 5" xfId="4283" xr:uid="{00000000-0005-0000-0000-0000B7100000}"/>
    <cellStyle name="40% - Accent4 3 5" xfId="4284" xr:uid="{00000000-0005-0000-0000-0000B8100000}"/>
    <cellStyle name="40% - Accent4 3 5 2" xfId="4285" xr:uid="{00000000-0005-0000-0000-0000B9100000}"/>
    <cellStyle name="40% - Accent4 3 5 2 2" xfId="4286" xr:uid="{00000000-0005-0000-0000-0000BA100000}"/>
    <cellStyle name="40% - Accent4 3 5 3" xfId="4287" xr:uid="{00000000-0005-0000-0000-0000BB100000}"/>
    <cellStyle name="40% - Accent4 3 5 4" xfId="4288" xr:uid="{00000000-0005-0000-0000-0000BC100000}"/>
    <cellStyle name="40% - Accent4 3 5 5" xfId="4289" xr:uid="{00000000-0005-0000-0000-0000BD100000}"/>
    <cellStyle name="40% - Accent4 3 6" xfId="4290" xr:uid="{00000000-0005-0000-0000-0000BE100000}"/>
    <cellStyle name="40% - Accent4 3 6 2" xfId="4291" xr:uid="{00000000-0005-0000-0000-0000BF100000}"/>
    <cellStyle name="40% - Accent4 3 7" xfId="4292" xr:uid="{00000000-0005-0000-0000-0000C0100000}"/>
    <cellStyle name="40% - Accent4 3 8" xfId="4293" xr:uid="{00000000-0005-0000-0000-0000C1100000}"/>
    <cellStyle name="40% - Accent4 3 9" xfId="4294" xr:uid="{00000000-0005-0000-0000-0000C2100000}"/>
    <cellStyle name="40% - Accent4 4" xfId="4295" xr:uid="{00000000-0005-0000-0000-0000C3100000}"/>
    <cellStyle name="40% - Accent4 4 10" xfId="4296" xr:uid="{00000000-0005-0000-0000-0000C4100000}"/>
    <cellStyle name="40% - Accent4 4 2" xfId="4297" xr:uid="{00000000-0005-0000-0000-0000C5100000}"/>
    <cellStyle name="40% - Accent4 4 2 2" xfId="4298" xr:uid="{00000000-0005-0000-0000-0000C6100000}"/>
    <cellStyle name="40% - Accent4 4 2 2 2" xfId="4299" xr:uid="{00000000-0005-0000-0000-0000C7100000}"/>
    <cellStyle name="40% - Accent4 4 2 2 2 2" xfId="4300" xr:uid="{00000000-0005-0000-0000-0000C8100000}"/>
    <cellStyle name="40% - Accent4 4 2 2 2 3" xfId="4301" xr:uid="{00000000-0005-0000-0000-0000C9100000}"/>
    <cellStyle name="40% - Accent4 4 2 2 3" xfId="4302" xr:uid="{00000000-0005-0000-0000-0000CA100000}"/>
    <cellStyle name="40% - Accent4 4 2 2 4" xfId="4303" xr:uid="{00000000-0005-0000-0000-0000CB100000}"/>
    <cellStyle name="40% - Accent4 4 2 2 5" xfId="4304" xr:uid="{00000000-0005-0000-0000-0000CC100000}"/>
    <cellStyle name="40% - Accent4 4 2 2 6" xfId="4305" xr:uid="{00000000-0005-0000-0000-0000CD100000}"/>
    <cellStyle name="40% - Accent4 4 2 3" xfId="4306" xr:uid="{00000000-0005-0000-0000-0000CE100000}"/>
    <cellStyle name="40% - Accent4 4 2 3 2" xfId="4307" xr:uid="{00000000-0005-0000-0000-0000CF100000}"/>
    <cellStyle name="40% - Accent4 4 2 3 2 2" xfId="4308" xr:uid="{00000000-0005-0000-0000-0000D0100000}"/>
    <cellStyle name="40% - Accent4 4 2 3 3" xfId="4309" xr:uid="{00000000-0005-0000-0000-0000D1100000}"/>
    <cellStyle name="40% - Accent4 4 2 3 4" xfId="4310" xr:uid="{00000000-0005-0000-0000-0000D2100000}"/>
    <cellStyle name="40% - Accent4 4 2 3 5" xfId="4311" xr:uid="{00000000-0005-0000-0000-0000D3100000}"/>
    <cellStyle name="40% - Accent4 4 2 4" xfId="4312" xr:uid="{00000000-0005-0000-0000-0000D4100000}"/>
    <cellStyle name="40% - Accent4 4 2 4 2" xfId="4313" xr:uid="{00000000-0005-0000-0000-0000D5100000}"/>
    <cellStyle name="40% - Accent4 4 2 4 3" xfId="4314" xr:uid="{00000000-0005-0000-0000-0000D6100000}"/>
    <cellStyle name="40% - Accent4 4 2 4 4" xfId="4315" xr:uid="{00000000-0005-0000-0000-0000D7100000}"/>
    <cellStyle name="40% - Accent4 4 2 5" xfId="4316" xr:uid="{00000000-0005-0000-0000-0000D8100000}"/>
    <cellStyle name="40% - Accent4 4 2 5 2" xfId="4317" xr:uid="{00000000-0005-0000-0000-0000D9100000}"/>
    <cellStyle name="40% - Accent4 4 2 6" xfId="4318" xr:uid="{00000000-0005-0000-0000-0000DA100000}"/>
    <cellStyle name="40% - Accent4 4 2 7" xfId="4319" xr:uid="{00000000-0005-0000-0000-0000DB100000}"/>
    <cellStyle name="40% - Accent4 4 2 8" xfId="4320" xr:uid="{00000000-0005-0000-0000-0000DC100000}"/>
    <cellStyle name="40% - Accent4 4 2 9" xfId="4321" xr:uid="{00000000-0005-0000-0000-0000DD100000}"/>
    <cellStyle name="40% - Accent4 4 3" xfId="4322" xr:uid="{00000000-0005-0000-0000-0000DE100000}"/>
    <cellStyle name="40% - Accent4 4 3 2" xfId="4323" xr:uid="{00000000-0005-0000-0000-0000DF100000}"/>
    <cellStyle name="40% - Accent4 4 3 2 2" xfId="4324" xr:uid="{00000000-0005-0000-0000-0000E0100000}"/>
    <cellStyle name="40% - Accent4 4 3 2 3" xfId="4325" xr:uid="{00000000-0005-0000-0000-0000E1100000}"/>
    <cellStyle name="40% - Accent4 4 3 3" xfId="4326" xr:uid="{00000000-0005-0000-0000-0000E2100000}"/>
    <cellStyle name="40% - Accent4 4 3 4" xfId="4327" xr:uid="{00000000-0005-0000-0000-0000E3100000}"/>
    <cellStyle name="40% - Accent4 4 3 5" xfId="4328" xr:uid="{00000000-0005-0000-0000-0000E4100000}"/>
    <cellStyle name="40% - Accent4 4 3 6" xfId="4329" xr:uid="{00000000-0005-0000-0000-0000E5100000}"/>
    <cellStyle name="40% - Accent4 4 4" xfId="4330" xr:uid="{00000000-0005-0000-0000-0000E6100000}"/>
    <cellStyle name="40% - Accent4 4 4 2" xfId="4331" xr:uid="{00000000-0005-0000-0000-0000E7100000}"/>
    <cellStyle name="40% - Accent4 4 4 2 2" xfId="4332" xr:uid="{00000000-0005-0000-0000-0000E8100000}"/>
    <cellStyle name="40% - Accent4 4 4 3" xfId="4333" xr:uid="{00000000-0005-0000-0000-0000E9100000}"/>
    <cellStyle name="40% - Accent4 4 4 4" xfId="4334" xr:uid="{00000000-0005-0000-0000-0000EA100000}"/>
    <cellStyle name="40% - Accent4 4 4 5" xfId="4335" xr:uid="{00000000-0005-0000-0000-0000EB100000}"/>
    <cellStyle name="40% - Accent4 4 5" xfId="4336" xr:uid="{00000000-0005-0000-0000-0000EC100000}"/>
    <cellStyle name="40% - Accent4 4 5 2" xfId="4337" xr:uid="{00000000-0005-0000-0000-0000ED100000}"/>
    <cellStyle name="40% - Accent4 4 5 2 2" xfId="4338" xr:uid="{00000000-0005-0000-0000-0000EE100000}"/>
    <cellStyle name="40% - Accent4 4 5 3" xfId="4339" xr:uid="{00000000-0005-0000-0000-0000EF100000}"/>
    <cellStyle name="40% - Accent4 4 5 4" xfId="4340" xr:uid="{00000000-0005-0000-0000-0000F0100000}"/>
    <cellStyle name="40% - Accent4 4 5 5" xfId="4341" xr:uid="{00000000-0005-0000-0000-0000F1100000}"/>
    <cellStyle name="40% - Accent4 4 6" xfId="4342" xr:uid="{00000000-0005-0000-0000-0000F2100000}"/>
    <cellStyle name="40% - Accent4 4 6 2" xfId="4343" xr:uid="{00000000-0005-0000-0000-0000F3100000}"/>
    <cellStyle name="40% - Accent4 4 7" xfId="4344" xr:uid="{00000000-0005-0000-0000-0000F4100000}"/>
    <cellStyle name="40% - Accent4 4 8" xfId="4345" xr:uid="{00000000-0005-0000-0000-0000F5100000}"/>
    <cellStyle name="40% - Accent4 4 9" xfId="4346" xr:uid="{00000000-0005-0000-0000-0000F6100000}"/>
    <cellStyle name="40% - Accent4 5" xfId="4347" xr:uid="{00000000-0005-0000-0000-0000F7100000}"/>
    <cellStyle name="40% - Accent4 5 10" xfId="4348" xr:uid="{00000000-0005-0000-0000-0000F8100000}"/>
    <cellStyle name="40% - Accent4 5 2" xfId="4349" xr:uid="{00000000-0005-0000-0000-0000F9100000}"/>
    <cellStyle name="40% - Accent4 5 2 2" xfId="4350" xr:uid="{00000000-0005-0000-0000-0000FA100000}"/>
    <cellStyle name="40% - Accent4 5 2 2 2" xfId="4351" xr:uid="{00000000-0005-0000-0000-0000FB100000}"/>
    <cellStyle name="40% - Accent4 5 2 2 2 2" xfId="4352" xr:uid="{00000000-0005-0000-0000-0000FC100000}"/>
    <cellStyle name="40% - Accent4 5 2 2 2 3" xfId="4353" xr:uid="{00000000-0005-0000-0000-0000FD100000}"/>
    <cellStyle name="40% - Accent4 5 2 2 3" xfId="4354" xr:uid="{00000000-0005-0000-0000-0000FE100000}"/>
    <cellStyle name="40% - Accent4 5 2 2 4" xfId="4355" xr:uid="{00000000-0005-0000-0000-0000FF100000}"/>
    <cellStyle name="40% - Accent4 5 2 2 5" xfId="4356" xr:uid="{00000000-0005-0000-0000-000000110000}"/>
    <cellStyle name="40% - Accent4 5 2 2 6" xfId="4357" xr:uid="{00000000-0005-0000-0000-000001110000}"/>
    <cellStyle name="40% - Accent4 5 2 3" xfId="4358" xr:uid="{00000000-0005-0000-0000-000002110000}"/>
    <cellStyle name="40% - Accent4 5 2 3 2" xfId="4359" xr:uid="{00000000-0005-0000-0000-000003110000}"/>
    <cellStyle name="40% - Accent4 5 2 3 2 2" xfId="4360" xr:uid="{00000000-0005-0000-0000-000004110000}"/>
    <cellStyle name="40% - Accent4 5 2 3 3" xfId="4361" xr:uid="{00000000-0005-0000-0000-000005110000}"/>
    <cellStyle name="40% - Accent4 5 2 3 4" xfId="4362" xr:uid="{00000000-0005-0000-0000-000006110000}"/>
    <cellStyle name="40% - Accent4 5 2 3 5" xfId="4363" xr:uid="{00000000-0005-0000-0000-000007110000}"/>
    <cellStyle name="40% - Accent4 5 2 4" xfId="4364" xr:uid="{00000000-0005-0000-0000-000008110000}"/>
    <cellStyle name="40% - Accent4 5 2 4 2" xfId="4365" xr:uid="{00000000-0005-0000-0000-000009110000}"/>
    <cellStyle name="40% - Accent4 5 2 4 3" xfId="4366" xr:uid="{00000000-0005-0000-0000-00000A110000}"/>
    <cellStyle name="40% - Accent4 5 2 4 4" xfId="4367" xr:uid="{00000000-0005-0000-0000-00000B110000}"/>
    <cellStyle name="40% - Accent4 5 2 5" xfId="4368" xr:uid="{00000000-0005-0000-0000-00000C110000}"/>
    <cellStyle name="40% - Accent4 5 2 5 2" xfId="4369" xr:uid="{00000000-0005-0000-0000-00000D110000}"/>
    <cellStyle name="40% - Accent4 5 2 6" xfId="4370" xr:uid="{00000000-0005-0000-0000-00000E110000}"/>
    <cellStyle name="40% - Accent4 5 2 7" xfId="4371" xr:uid="{00000000-0005-0000-0000-00000F110000}"/>
    <cellStyle name="40% - Accent4 5 2 8" xfId="4372" xr:uid="{00000000-0005-0000-0000-000010110000}"/>
    <cellStyle name="40% - Accent4 5 2 9" xfId="4373" xr:uid="{00000000-0005-0000-0000-000011110000}"/>
    <cellStyle name="40% - Accent4 5 3" xfId="4374" xr:uid="{00000000-0005-0000-0000-000012110000}"/>
    <cellStyle name="40% - Accent4 5 3 2" xfId="4375" xr:uid="{00000000-0005-0000-0000-000013110000}"/>
    <cellStyle name="40% - Accent4 5 3 2 2" xfId="4376" xr:uid="{00000000-0005-0000-0000-000014110000}"/>
    <cellStyle name="40% - Accent4 5 3 2 3" xfId="4377" xr:uid="{00000000-0005-0000-0000-000015110000}"/>
    <cellStyle name="40% - Accent4 5 3 3" xfId="4378" xr:uid="{00000000-0005-0000-0000-000016110000}"/>
    <cellStyle name="40% - Accent4 5 3 4" xfId="4379" xr:uid="{00000000-0005-0000-0000-000017110000}"/>
    <cellStyle name="40% - Accent4 5 3 5" xfId="4380" xr:uid="{00000000-0005-0000-0000-000018110000}"/>
    <cellStyle name="40% - Accent4 5 3 6" xfId="4381" xr:uid="{00000000-0005-0000-0000-000019110000}"/>
    <cellStyle name="40% - Accent4 5 4" xfId="4382" xr:uid="{00000000-0005-0000-0000-00001A110000}"/>
    <cellStyle name="40% - Accent4 5 4 2" xfId="4383" xr:uid="{00000000-0005-0000-0000-00001B110000}"/>
    <cellStyle name="40% - Accent4 5 4 2 2" xfId="4384" xr:uid="{00000000-0005-0000-0000-00001C110000}"/>
    <cellStyle name="40% - Accent4 5 4 3" xfId="4385" xr:uid="{00000000-0005-0000-0000-00001D110000}"/>
    <cellStyle name="40% - Accent4 5 4 4" xfId="4386" xr:uid="{00000000-0005-0000-0000-00001E110000}"/>
    <cellStyle name="40% - Accent4 5 4 5" xfId="4387" xr:uid="{00000000-0005-0000-0000-00001F110000}"/>
    <cellStyle name="40% - Accent4 5 5" xfId="4388" xr:uid="{00000000-0005-0000-0000-000020110000}"/>
    <cellStyle name="40% - Accent4 5 5 2" xfId="4389" xr:uid="{00000000-0005-0000-0000-000021110000}"/>
    <cellStyle name="40% - Accent4 5 5 3" xfId="4390" xr:uid="{00000000-0005-0000-0000-000022110000}"/>
    <cellStyle name="40% - Accent4 5 5 4" xfId="4391" xr:uid="{00000000-0005-0000-0000-000023110000}"/>
    <cellStyle name="40% - Accent4 5 6" xfId="4392" xr:uid="{00000000-0005-0000-0000-000024110000}"/>
    <cellStyle name="40% - Accent4 5 6 2" xfId="4393" xr:uid="{00000000-0005-0000-0000-000025110000}"/>
    <cellStyle name="40% - Accent4 5 7" xfId="4394" xr:uid="{00000000-0005-0000-0000-000026110000}"/>
    <cellStyle name="40% - Accent4 5 8" xfId="4395" xr:uid="{00000000-0005-0000-0000-000027110000}"/>
    <cellStyle name="40% - Accent4 5 9" xfId="4396" xr:uid="{00000000-0005-0000-0000-000028110000}"/>
    <cellStyle name="40% - Accent4 6" xfId="4397" xr:uid="{00000000-0005-0000-0000-000029110000}"/>
    <cellStyle name="40% - Accent4 6 10" xfId="4398" xr:uid="{00000000-0005-0000-0000-00002A110000}"/>
    <cellStyle name="40% - Accent4 6 2" xfId="4399" xr:uid="{00000000-0005-0000-0000-00002B110000}"/>
    <cellStyle name="40% - Accent4 6 2 2" xfId="4400" xr:uid="{00000000-0005-0000-0000-00002C110000}"/>
    <cellStyle name="40% - Accent4 6 2 2 2" xfId="4401" xr:uid="{00000000-0005-0000-0000-00002D110000}"/>
    <cellStyle name="40% - Accent4 6 2 2 2 2" xfId="4402" xr:uid="{00000000-0005-0000-0000-00002E110000}"/>
    <cellStyle name="40% - Accent4 6 2 2 2 3" xfId="4403" xr:uid="{00000000-0005-0000-0000-00002F110000}"/>
    <cellStyle name="40% - Accent4 6 2 2 3" xfId="4404" xr:uid="{00000000-0005-0000-0000-000030110000}"/>
    <cellStyle name="40% - Accent4 6 2 2 4" xfId="4405" xr:uid="{00000000-0005-0000-0000-000031110000}"/>
    <cellStyle name="40% - Accent4 6 2 2 5" xfId="4406" xr:uid="{00000000-0005-0000-0000-000032110000}"/>
    <cellStyle name="40% - Accent4 6 2 2 6" xfId="4407" xr:uid="{00000000-0005-0000-0000-000033110000}"/>
    <cellStyle name="40% - Accent4 6 2 3" xfId="4408" xr:uid="{00000000-0005-0000-0000-000034110000}"/>
    <cellStyle name="40% - Accent4 6 2 3 2" xfId="4409" xr:uid="{00000000-0005-0000-0000-000035110000}"/>
    <cellStyle name="40% - Accent4 6 2 3 2 2" xfId="4410" xr:uid="{00000000-0005-0000-0000-000036110000}"/>
    <cellStyle name="40% - Accent4 6 2 3 3" xfId="4411" xr:uid="{00000000-0005-0000-0000-000037110000}"/>
    <cellStyle name="40% - Accent4 6 2 3 4" xfId="4412" xr:uid="{00000000-0005-0000-0000-000038110000}"/>
    <cellStyle name="40% - Accent4 6 2 3 5" xfId="4413" xr:uid="{00000000-0005-0000-0000-000039110000}"/>
    <cellStyle name="40% - Accent4 6 2 4" xfId="4414" xr:uid="{00000000-0005-0000-0000-00003A110000}"/>
    <cellStyle name="40% - Accent4 6 2 4 2" xfId="4415" xr:uid="{00000000-0005-0000-0000-00003B110000}"/>
    <cellStyle name="40% - Accent4 6 2 4 3" xfId="4416" xr:uid="{00000000-0005-0000-0000-00003C110000}"/>
    <cellStyle name="40% - Accent4 6 2 4 4" xfId="4417" xr:uid="{00000000-0005-0000-0000-00003D110000}"/>
    <cellStyle name="40% - Accent4 6 2 5" xfId="4418" xr:uid="{00000000-0005-0000-0000-00003E110000}"/>
    <cellStyle name="40% - Accent4 6 2 5 2" xfId="4419" xr:uid="{00000000-0005-0000-0000-00003F110000}"/>
    <cellStyle name="40% - Accent4 6 2 6" xfId="4420" xr:uid="{00000000-0005-0000-0000-000040110000}"/>
    <cellStyle name="40% - Accent4 6 2 7" xfId="4421" xr:uid="{00000000-0005-0000-0000-000041110000}"/>
    <cellStyle name="40% - Accent4 6 2 8" xfId="4422" xr:uid="{00000000-0005-0000-0000-000042110000}"/>
    <cellStyle name="40% - Accent4 6 2 9" xfId="4423" xr:uid="{00000000-0005-0000-0000-000043110000}"/>
    <cellStyle name="40% - Accent4 6 3" xfId="4424" xr:uid="{00000000-0005-0000-0000-000044110000}"/>
    <cellStyle name="40% - Accent4 6 3 2" xfId="4425" xr:uid="{00000000-0005-0000-0000-000045110000}"/>
    <cellStyle name="40% - Accent4 6 3 2 2" xfId="4426" xr:uid="{00000000-0005-0000-0000-000046110000}"/>
    <cellStyle name="40% - Accent4 6 3 2 3" xfId="4427" xr:uid="{00000000-0005-0000-0000-000047110000}"/>
    <cellStyle name="40% - Accent4 6 3 3" xfId="4428" xr:uid="{00000000-0005-0000-0000-000048110000}"/>
    <cellStyle name="40% - Accent4 6 3 4" xfId="4429" xr:uid="{00000000-0005-0000-0000-000049110000}"/>
    <cellStyle name="40% - Accent4 6 3 5" xfId="4430" xr:uid="{00000000-0005-0000-0000-00004A110000}"/>
    <cellStyle name="40% - Accent4 6 3 6" xfId="4431" xr:uid="{00000000-0005-0000-0000-00004B110000}"/>
    <cellStyle name="40% - Accent4 6 4" xfId="4432" xr:uid="{00000000-0005-0000-0000-00004C110000}"/>
    <cellStyle name="40% - Accent4 6 4 2" xfId="4433" xr:uid="{00000000-0005-0000-0000-00004D110000}"/>
    <cellStyle name="40% - Accent4 6 4 2 2" xfId="4434" xr:uid="{00000000-0005-0000-0000-00004E110000}"/>
    <cellStyle name="40% - Accent4 6 4 3" xfId="4435" xr:uid="{00000000-0005-0000-0000-00004F110000}"/>
    <cellStyle name="40% - Accent4 6 4 4" xfId="4436" xr:uid="{00000000-0005-0000-0000-000050110000}"/>
    <cellStyle name="40% - Accent4 6 4 5" xfId="4437" xr:uid="{00000000-0005-0000-0000-000051110000}"/>
    <cellStyle name="40% - Accent4 6 5" xfId="4438" xr:uid="{00000000-0005-0000-0000-000052110000}"/>
    <cellStyle name="40% - Accent4 6 5 2" xfId="4439" xr:uid="{00000000-0005-0000-0000-000053110000}"/>
    <cellStyle name="40% - Accent4 6 5 3" xfId="4440" xr:uid="{00000000-0005-0000-0000-000054110000}"/>
    <cellStyle name="40% - Accent4 6 5 4" xfId="4441" xr:uid="{00000000-0005-0000-0000-000055110000}"/>
    <cellStyle name="40% - Accent4 6 6" xfId="4442" xr:uid="{00000000-0005-0000-0000-000056110000}"/>
    <cellStyle name="40% - Accent4 6 6 2" xfId="4443" xr:uid="{00000000-0005-0000-0000-000057110000}"/>
    <cellStyle name="40% - Accent4 6 7" xfId="4444" xr:uid="{00000000-0005-0000-0000-000058110000}"/>
    <cellStyle name="40% - Accent4 6 8" xfId="4445" xr:uid="{00000000-0005-0000-0000-000059110000}"/>
    <cellStyle name="40% - Accent4 6 9" xfId="4446" xr:uid="{00000000-0005-0000-0000-00005A110000}"/>
    <cellStyle name="40% - Accent4 7" xfId="4447" xr:uid="{00000000-0005-0000-0000-00005B110000}"/>
    <cellStyle name="40% - Accent4 7 2" xfId="4448" xr:uid="{00000000-0005-0000-0000-00005C110000}"/>
    <cellStyle name="40% - Accent4 7 2 2" xfId="4449" xr:uid="{00000000-0005-0000-0000-00005D110000}"/>
    <cellStyle name="40% - Accent4 7 2 2 2" xfId="4450" xr:uid="{00000000-0005-0000-0000-00005E110000}"/>
    <cellStyle name="40% - Accent4 7 2 2 3" xfId="4451" xr:uid="{00000000-0005-0000-0000-00005F110000}"/>
    <cellStyle name="40% - Accent4 7 2 3" xfId="4452" xr:uid="{00000000-0005-0000-0000-000060110000}"/>
    <cellStyle name="40% - Accent4 7 2 4" xfId="4453" xr:uid="{00000000-0005-0000-0000-000061110000}"/>
    <cellStyle name="40% - Accent4 7 2 5" xfId="4454" xr:uid="{00000000-0005-0000-0000-000062110000}"/>
    <cellStyle name="40% - Accent4 7 2 6" xfId="4455" xr:uid="{00000000-0005-0000-0000-000063110000}"/>
    <cellStyle name="40% - Accent4 7 3" xfId="4456" xr:uid="{00000000-0005-0000-0000-000064110000}"/>
    <cellStyle name="40% - Accent4 7 3 2" xfId="4457" xr:uid="{00000000-0005-0000-0000-000065110000}"/>
    <cellStyle name="40% - Accent4 7 3 2 2" xfId="4458" xr:uid="{00000000-0005-0000-0000-000066110000}"/>
    <cellStyle name="40% - Accent4 7 3 3" xfId="4459" xr:uid="{00000000-0005-0000-0000-000067110000}"/>
    <cellStyle name="40% - Accent4 7 3 4" xfId="4460" xr:uid="{00000000-0005-0000-0000-000068110000}"/>
    <cellStyle name="40% - Accent4 7 3 5" xfId="4461" xr:uid="{00000000-0005-0000-0000-000069110000}"/>
    <cellStyle name="40% - Accent4 7 4" xfId="4462" xr:uid="{00000000-0005-0000-0000-00006A110000}"/>
    <cellStyle name="40% - Accent4 7 4 2" xfId="4463" xr:uid="{00000000-0005-0000-0000-00006B110000}"/>
    <cellStyle name="40% - Accent4 7 4 3" xfId="4464" xr:uid="{00000000-0005-0000-0000-00006C110000}"/>
    <cellStyle name="40% - Accent4 7 4 4" xfId="4465" xr:uid="{00000000-0005-0000-0000-00006D110000}"/>
    <cellStyle name="40% - Accent4 7 5" xfId="4466" xr:uid="{00000000-0005-0000-0000-00006E110000}"/>
    <cellStyle name="40% - Accent4 7 5 2" xfId="4467" xr:uid="{00000000-0005-0000-0000-00006F110000}"/>
    <cellStyle name="40% - Accent4 7 6" xfId="4468" xr:uid="{00000000-0005-0000-0000-000070110000}"/>
    <cellStyle name="40% - Accent4 7 7" xfId="4469" xr:uid="{00000000-0005-0000-0000-000071110000}"/>
    <cellStyle name="40% - Accent4 7 8" xfId="4470" xr:uid="{00000000-0005-0000-0000-000072110000}"/>
    <cellStyle name="40% - Accent4 7 9" xfId="4471" xr:uid="{00000000-0005-0000-0000-000073110000}"/>
    <cellStyle name="40% - Accent4 8" xfId="4472" xr:uid="{00000000-0005-0000-0000-000074110000}"/>
    <cellStyle name="40% - Accent4 8 2" xfId="4473" xr:uid="{00000000-0005-0000-0000-000075110000}"/>
    <cellStyle name="40% - Accent4 8 2 2" xfId="4474" xr:uid="{00000000-0005-0000-0000-000076110000}"/>
    <cellStyle name="40% - Accent4 8 2 2 2" xfId="4475" xr:uid="{00000000-0005-0000-0000-000077110000}"/>
    <cellStyle name="40% - Accent4 8 2 2 3" xfId="4476" xr:uid="{00000000-0005-0000-0000-000078110000}"/>
    <cellStyle name="40% - Accent4 8 2 3" xfId="4477" xr:uid="{00000000-0005-0000-0000-000079110000}"/>
    <cellStyle name="40% - Accent4 8 2 4" xfId="4478" xr:uid="{00000000-0005-0000-0000-00007A110000}"/>
    <cellStyle name="40% - Accent4 8 2 5" xfId="4479" xr:uid="{00000000-0005-0000-0000-00007B110000}"/>
    <cellStyle name="40% - Accent4 8 2 6" xfId="4480" xr:uid="{00000000-0005-0000-0000-00007C110000}"/>
    <cellStyle name="40% - Accent4 8 3" xfId="4481" xr:uid="{00000000-0005-0000-0000-00007D110000}"/>
    <cellStyle name="40% - Accent4 8 3 2" xfId="4482" xr:uid="{00000000-0005-0000-0000-00007E110000}"/>
    <cellStyle name="40% - Accent4 8 3 2 2" xfId="4483" xr:uid="{00000000-0005-0000-0000-00007F110000}"/>
    <cellStyle name="40% - Accent4 8 3 3" xfId="4484" xr:uid="{00000000-0005-0000-0000-000080110000}"/>
    <cellStyle name="40% - Accent4 8 3 4" xfId="4485" xr:uid="{00000000-0005-0000-0000-000081110000}"/>
    <cellStyle name="40% - Accent4 8 3 5" xfId="4486" xr:uid="{00000000-0005-0000-0000-000082110000}"/>
    <cellStyle name="40% - Accent4 8 4" xfId="4487" xr:uid="{00000000-0005-0000-0000-000083110000}"/>
    <cellStyle name="40% - Accent4 8 4 2" xfId="4488" xr:uid="{00000000-0005-0000-0000-000084110000}"/>
    <cellStyle name="40% - Accent4 8 4 3" xfId="4489" xr:uid="{00000000-0005-0000-0000-000085110000}"/>
    <cellStyle name="40% - Accent4 8 4 4" xfId="4490" xr:uid="{00000000-0005-0000-0000-000086110000}"/>
    <cellStyle name="40% - Accent4 8 5" xfId="4491" xr:uid="{00000000-0005-0000-0000-000087110000}"/>
    <cellStyle name="40% - Accent4 8 5 2" xfId="4492" xr:uid="{00000000-0005-0000-0000-000088110000}"/>
    <cellStyle name="40% - Accent4 8 6" xfId="4493" xr:uid="{00000000-0005-0000-0000-000089110000}"/>
    <cellStyle name="40% - Accent4 8 7" xfId="4494" xr:uid="{00000000-0005-0000-0000-00008A110000}"/>
    <cellStyle name="40% - Accent4 8 8" xfId="4495" xr:uid="{00000000-0005-0000-0000-00008B110000}"/>
    <cellStyle name="40% - Accent4 8 9" xfId="4496" xr:uid="{00000000-0005-0000-0000-00008C110000}"/>
    <cellStyle name="40% - Accent4 9" xfId="4497" xr:uid="{00000000-0005-0000-0000-00008D110000}"/>
    <cellStyle name="40% - Accent4 9 2" xfId="4498" xr:uid="{00000000-0005-0000-0000-00008E110000}"/>
    <cellStyle name="40% - Accent4 9 2 2" xfId="4499" xr:uid="{00000000-0005-0000-0000-00008F110000}"/>
    <cellStyle name="40% - Accent4 9 2 2 2" xfId="4500" xr:uid="{00000000-0005-0000-0000-000090110000}"/>
    <cellStyle name="40% - Accent4 9 2 3" xfId="4501" xr:uid="{00000000-0005-0000-0000-000091110000}"/>
    <cellStyle name="40% - Accent4 9 2 4" xfId="4502" xr:uid="{00000000-0005-0000-0000-000092110000}"/>
    <cellStyle name="40% - Accent4 9 2 5" xfId="4503" xr:uid="{00000000-0005-0000-0000-000093110000}"/>
    <cellStyle name="40% - Accent4 9 3" xfId="4504" xr:uid="{00000000-0005-0000-0000-000094110000}"/>
    <cellStyle name="40% - Accent4 9 3 2" xfId="4505" xr:uid="{00000000-0005-0000-0000-000095110000}"/>
    <cellStyle name="40% - Accent4 9 3 3" xfId="4506" xr:uid="{00000000-0005-0000-0000-000096110000}"/>
    <cellStyle name="40% - Accent4 9 3 4" xfId="4507" xr:uid="{00000000-0005-0000-0000-000097110000}"/>
    <cellStyle name="40% - Accent4 9 4" xfId="4508" xr:uid="{00000000-0005-0000-0000-000098110000}"/>
    <cellStyle name="40% - Accent4 9 4 2" xfId="4509" xr:uid="{00000000-0005-0000-0000-000099110000}"/>
    <cellStyle name="40% - Accent4 9 5" xfId="4510" xr:uid="{00000000-0005-0000-0000-00009A110000}"/>
    <cellStyle name="40% - Accent4 9 6" xfId="4511" xr:uid="{00000000-0005-0000-0000-00009B110000}"/>
    <cellStyle name="40% - Accent4 9 7" xfId="4512" xr:uid="{00000000-0005-0000-0000-00009C110000}"/>
    <cellStyle name="40% - Accent4 9 8" xfId="4513" xr:uid="{00000000-0005-0000-0000-00009D110000}"/>
    <cellStyle name="40% - Accent5 10" xfId="4514" xr:uid="{00000000-0005-0000-0000-00009E110000}"/>
    <cellStyle name="40% - Accent5 10 2" xfId="4515" xr:uid="{00000000-0005-0000-0000-00009F110000}"/>
    <cellStyle name="40% - Accent5 10 2 2" xfId="4516" xr:uid="{00000000-0005-0000-0000-0000A0110000}"/>
    <cellStyle name="40% - Accent5 10 2 2 2" xfId="4517" xr:uid="{00000000-0005-0000-0000-0000A1110000}"/>
    <cellStyle name="40% - Accent5 10 2 3" xfId="4518" xr:uid="{00000000-0005-0000-0000-0000A2110000}"/>
    <cellStyle name="40% - Accent5 10 2 4" xfId="4519" xr:uid="{00000000-0005-0000-0000-0000A3110000}"/>
    <cellStyle name="40% - Accent5 10 2 5" xfId="4520" xr:uid="{00000000-0005-0000-0000-0000A4110000}"/>
    <cellStyle name="40% - Accent5 10 3" xfId="4521" xr:uid="{00000000-0005-0000-0000-0000A5110000}"/>
    <cellStyle name="40% - Accent5 10 3 2" xfId="4522" xr:uid="{00000000-0005-0000-0000-0000A6110000}"/>
    <cellStyle name="40% - Accent5 10 3 3" xfId="4523" xr:uid="{00000000-0005-0000-0000-0000A7110000}"/>
    <cellStyle name="40% - Accent5 10 3 4" xfId="4524" xr:uid="{00000000-0005-0000-0000-0000A8110000}"/>
    <cellStyle name="40% - Accent5 10 4" xfId="4525" xr:uid="{00000000-0005-0000-0000-0000A9110000}"/>
    <cellStyle name="40% - Accent5 10 4 2" xfId="4526" xr:uid="{00000000-0005-0000-0000-0000AA110000}"/>
    <cellStyle name="40% - Accent5 10 5" xfId="4527" xr:uid="{00000000-0005-0000-0000-0000AB110000}"/>
    <cellStyle name="40% - Accent5 10 6" xfId="4528" xr:uid="{00000000-0005-0000-0000-0000AC110000}"/>
    <cellStyle name="40% - Accent5 10 7" xfId="4529" xr:uid="{00000000-0005-0000-0000-0000AD110000}"/>
    <cellStyle name="40% - Accent5 10 8" xfId="4530" xr:uid="{00000000-0005-0000-0000-0000AE110000}"/>
    <cellStyle name="40% - Accent5 11" xfId="4531" xr:uid="{00000000-0005-0000-0000-0000AF110000}"/>
    <cellStyle name="40% - Accent5 11 2" xfId="4532" xr:uid="{00000000-0005-0000-0000-0000B0110000}"/>
    <cellStyle name="40% - Accent5 11 2 2" xfId="4533" xr:uid="{00000000-0005-0000-0000-0000B1110000}"/>
    <cellStyle name="40% - Accent5 11 2 2 2" xfId="4534" xr:uid="{00000000-0005-0000-0000-0000B2110000}"/>
    <cellStyle name="40% - Accent5 11 2 3" xfId="4535" xr:uid="{00000000-0005-0000-0000-0000B3110000}"/>
    <cellStyle name="40% - Accent5 11 2 4" xfId="4536" xr:uid="{00000000-0005-0000-0000-0000B4110000}"/>
    <cellStyle name="40% - Accent5 11 2 5" xfId="4537" xr:uid="{00000000-0005-0000-0000-0000B5110000}"/>
    <cellStyle name="40% - Accent5 11 3" xfId="4538" xr:uid="{00000000-0005-0000-0000-0000B6110000}"/>
    <cellStyle name="40% - Accent5 11 3 2" xfId="4539" xr:uid="{00000000-0005-0000-0000-0000B7110000}"/>
    <cellStyle name="40% - Accent5 11 3 3" xfId="4540" xr:uid="{00000000-0005-0000-0000-0000B8110000}"/>
    <cellStyle name="40% - Accent5 11 3 4" xfId="4541" xr:uid="{00000000-0005-0000-0000-0000B9110000}"/>
    <cellStyle name="40% - Accent5 11 4" xfId="4542" xr:uid="{00000000-0005-0000-0000-0000BA110000}"/>
    <cellStyle name="40% - Accent5 11 4 2" xfId="4543" xr:uid="{00000000-0005-0000-0000-0000BB110000}"/>
    <cellStyle name="40% - Accent5 11 5" xfId="4544" xr:uid="{00000000-0005-0000-0000-0000BC110000}"/>
    <cellStyle name="40% - Accent5 11 6" xfId="4545" xr:uid="{00000000-0005-0000-0000-0000BD110000}"/>
    <cellStyle name="40% - Accent5 11 7" xfId="4546" xr:uid="{00000000-0005-0000-0000-0000BE110000}"/>
    <cellStyle name="40% - Accent5 11 8" xfId="4547" xr:uid="{00000000-0005-0000-0000-0000BF110000}"/>
    <cellStyle name="40% - Accent5 12" xfId="4548" xr:uid="{00000000-0005-0000-0000-0000C0110000}"/>
    <cellStyle name="40% - Accent5 12 2" xfId="4549" xr:uid="{00000000-0005-0000-0000-0000C1110000}"/>
    <cellStyle name="40% - Accent5 12 2 2" xfId="4550" xr:uid="{00000000-0005-0000-0000-0000C2110000}"/>
    <cellStyle name="40% - Accent5 12 2 2 2" xfId="4551" xr:uid="{00000000-0005-0000-0000-0000C3110000}"/>
    <cellStyle name="40% - Accent5 12 2 3" xfId="4552" xr:uid="{00000000-0005-0000-0000-0000C4110000}"/>
    <cellStyle name="40% - Accent5 12 2 4" xfId="4553" xr:uid="{00000000-0005-0000-0000-0000C5110000}"/>
    <cellStyle name="40% - Accent5 12 2 5" xfId="4554" xr:uid="{00000000-0005-0000-0000-0000C6110000}"/>
    <cellStyle name="40% - Accent5 12 3" xfId="4555" xr:uid="{00000000-0005-0000-0000-0000C7110000}"/>
    <cellStyle name="40% - Accent5 12 3 2" xfId="4556" xr:uid="{00000000-0005-0000-0000-0000C8110000}"/>
    <cellStyle name="40% - Accent5 12 3 3" xfId="4557" xr:uid="{00000000-0005-0000-0000-0000C9110000}"/>
    <cellStyle name="40% - Accent5 12 3 4" xfId="4558" xr:uid="{00000000-0005-0000-0000-0000CA110000}"/>
    <cellStyle name="40% - Accent5 12 4" xfId="4559" xr:uid="{00000000-0005-0000-0000-0000CB110000}"/>
    <cellStyle name="40% - Accent5 12 4 2" xfId="4560" xr:uid="{00000000-0005-0000-0000-0000CC110000}"/>
    <cellStyle name="40% - Accent5 12 5" xfId="4561" xr:uid="{00000000-0005-0000-0000-0000CD110000}"/>
    <cellStyle name="40% - Accent5 12 6" xfId="4562" xr:uid="{00000000-0005-0000-0000-0000CE110000}"/>
    <cellStyle name="40% - Accent5 12 7" xfId="4563" xr:uid="{00000000-0005-0000-0000-0000CF110000}"/>
    <cellStyle name="40% - Accent5 12 8" xfId="4564" xr:uid="{00000000-0005-0000-0000-0000D0110000}"/>
    <cellStyle name="40% - Accent5 13" xfId="4565" xr:uid="{00000000-0005-0000-0000-0000D1110000}"/>
    <cellStyle name="40% - Accent5 13 2" xfId="4566" xr:uid="{00000000-0005-0000-0000-0000D2110000}"/>
    <cellStyle name="40% - Accent5 13 2 2" xfId="4567" xr:uid="{00000000-0005-0000-0000-0000D3110000}"/>
    <cellStyle name="40% - Accent5 13 2 3" xfId="4568" xr:uid="{00000000-0005-0000-0000-0000D4110000}"/>
    <cellStyle name="40% - Accent5 13 2 4" xfId="4569" xr:uid="{00000000-0005-0000-0000-0000D5110000}"/>
    <cellStyle name="40% - Accent5 13 3" xfId="4570" xr:uid="{00000000-0005-0000-0000-0000D6110000}"/>
    <cellStyle name="40% - Accent5 13 3 2" xfId="4571" xr:uid="{00000000-0005-0000-0000-0000D7110000}"/>
    <cellStyle name="40% - Accent5 13 4" xfId="4572" xr:uid="{00000000-0005-0000-0000-0000D8110000}"/>
    <cellStyle name="40% - Accent5 13 5" xfId="4573" xr:uid="{00000000-0005-0000-0000-0000D9110000}"/>
    <cellStyle name="40% - Accent5 13 6" xfId="4574" xr:uid="{00000000-0005-0000-0000-0000DA110000}"/>
    <cellStyle name="40% - Accent5 14" xfId="4575" xr:uid="{00000000-0005-0000-0000-0000DB110000}"/>
    <cellStyle name="40% - Accent5 14 2" xfId="4576" xr:uid="{00000000-0005-0000-0000-0000DC110000}"/>
    <cellStyle name="40% - Accent5 14 2 2" xfId="4577" xr:uid="{00000000-0005-0000-0000-0000DD110000}"/>
    <cellStyle name="40% - Accent5 14 3" xfId="4578" xr:uid="{00000000-0005-0000-0000-0000DE110000}"/>
    <cellStyle name="40% - Accent5 14 4" xfId="4579" xr:uid="{00000000-0005-0000-0000-0000DF110000}"/>
    <cellStyle name="40% - Accent5 14 5" xfId="4580" xr:uid="{00000000-0005-0000-0000-0000E0110000}"/>
    <cellStyle name="40% - Accent5 15" xfId="4581" xr:uid="{00000000-0005-0000-0000-0000E1110000}"/>
    <cellStyle name="40% - Accent5 15 2" xfId="4582" xr:uid="{00000000-0005-0000-0000-0000E2110000}"/>
    <cellStyle name="40% - Accent5 15 2 2" xfId="4583" xr:uid="{00000000-0005-0000-0000-0000E3110000}"/>
    <cellStyle name="40% - Accent5 15 3" xfId="4584" xr:uid="{00000000-0005-0000-0000-0000E4110000}"/>
    <cellStyle name="40% - Accent5 15 4" xfId="4585" xr:uid="{00000000-0005-0000-0000-0000E5110000}"/>
    <cellStyle name="40% - Accent5 15 5" xfId="4586" xr:uid="{00000000-0005-0000-0000-0000E6110000}"/>
    <cellStyle name="40% - Accent5 16" xfId="4587" xr:uid="{00000000-0005-0000-0000-0000E7110000}"/>
    <cellStyle name="40% - Accent5 16 2" xfId="4588" xr:uid="{00000000-0005-0000-0000-0000E8110000}"/>
    <cellStyle name="40% - Accent5 17" xfId="4589" xr:uid="{00000000-0005-0000-0000-0000E9110000}"/>
    <cellStyle name="40% - Accent5 18" xfId="4590" xr:uid="{00000000-0005-0000-0000-0000EA110000}"/>
    <cellStyle name="40% - Accent5 19" xfId="4591" xr:uid="{00000000-0005-0000-0000-0000EB110000}"/>
    <cellStyle name="40% - Accent5 2" xfId="4592" xr:uid="{00000000-0005-0000-0000-0000EC110000}"/>
    <cellStyle name="40% - Accent5 2 10" xfId="4593" xr:uid="{00000000-0005-0000-0000-0000ED110000}"/>
    <cellStyle name="40% - Accent5 2 11" xfId="4594" xr:uid="{00000000-0005-0000-0000-0000EE110000}"/>
    <cellStyle name="40% - Accent5 2 2" xfId="4595" xr:uid="{00000000-0005-0000-0000-0000EF110000}"/>
    <cellStyle name="40% - Accent5 2 2 10" xfId="4596" xr:uid="{00000000-0005-0000-0000-0000F0110000}"/>
    <cellStyle name="40% - Accent5 2 2 2" xfId="4597" xr:uid="{00000000-0005-0000-0000-0000F1110000}"/>
    <cellStyle name="40% - Accent5 2 2 2 2" xfId="4598" xr:uid="{00000000-0005-0000-0000-0000F2110000}"/>
    <cellStyle name="40% - Accent5 2 2 2 2 2" xfId="4599" xr:uid="{00000000-0005-0000-0000-0000F3110000}"/>
    <cellStyle name="40% - Accent5 2 2 2 2 2 2" xfId="4600" xr:uid="{00000000-0005-0000-0000-0000F4110000}"/>
    <cellStyle name="40% - Accent5 2 2 2 2 2 3" xfId="4601" xr:uid="{00000000-0005-0000-0000-0000F5110000}"/>
    <cellStyle name="40% - Accent5 2 2 2 2 3" xfId="4602" xr:uid="{00000000-0005-0000-0000-0000F6110000}"/>
    <cellStyle name="40% - Accent5 2 2 2 2 4" xfId="4603" xr:uid="{00000000-0005-0000-0000-0000F7110000}"/>
    <cellStyle name="40% - Accent5 2 2 2 2 5" xfId="4604" xr:uid="{00000000-0005-0000-0000-0000F8110000}"/>
    <cellStyle name="40% - Accent5 2 2 2 2 6" xfId="4605" xr:uid="{00000000-0005-0000-0000-0000F9110000}"/>
    <cellStyle name="40% - Accent5 2 2 2 3" xfId="4606" xr:uid="{00000000-0005-0000-0000-0000FA110000}"/>
    <cellStyle name="40% - Accent5 2 2 2 3 2" xfId="4607" xr:uid="{00000000-0005-0000-0000-0000FB110000}"/>
    <cellStyle name="40% - Accent5 2 2 2 3 2 2" xfId="4608" xr:uid="{00000000-0005-0000-0000-0000FC110000}"/>
    <cellStyle name="40% - Accent5 2 2 2 3 3" xfId="4609" xr:uid="{00000000-0005-0000-0000-0000FD110000}"/>
    <cellStyle name="40% - Accent5 2 2 2 3 4" xfId="4610" xr:uid="{00000000-0005-0000-0000-0000FE110000}"/>
    <cellStyle name="40% - Accent5 2 2 2 3 5" xfId="4611" xr:uid="{00000000-0005-0000-0000-0000FF110000}"/>
    <cellStyle name="40% - Accent5 2 2 2 4" xfId="4612" xr:uid="{00000000-0005-0000-0000-000000120000}"/>
    <cellStyle name="40% - Accent5 2 2 2 4 2" xfId="4613" xr:uid="{00000000-0005-0000-0000-000001120000}"/>
    <cellStyle name="40% - Accent5 2 2 2 4 3" xfId="4614" xr:uid="{00000000-0005-0000-0000-000002120000}"/>
    <cellStyle name="40% - Accent5 2 2 2 4 4" xfId="4615" xr:uid="{00000000-0005-0000-0000-000003120000}"/>
    <cellStyle name="40% - Accent5 2 2 2 5" xfId="4616" xr:uid="{00000000-0005-0000-0000-000004120000}"/>
    <cellStyle name="40% - Accent5 2 2 2 5 2" xfId="4617" xr:uid="{00000000-0005-0000-0000-000005120000}"/>
    <cellStyle name="40% - Accent5 2 2 2 6" xfId="4618" xr:uid="{00000000-0005-0000-0000-000006120000}"/>
    <cellStyle name="40% - Accent5 2 2 2 7" xfId="4619" xr:uid="{00000000-0005-0000-0000-000007120000}"/>
    <cellStyle name="40% - Accent5 2 2 2 8" xfId="4620" xr:uid="{00000000-0005-0000-0000-000008120000}"/>
    <cellStyle name="40% - Accent5 2 2 2 9" xfId="4621" xr:uid="{00000000-0005-0000-0000-000009120000}"/>
    <cellStyle name="40% - Accent5 2 2 3" xfId="4622" xr:uid="{00000000-0005-0000-0000-00000A120000}"/>
    <cellStyle name="40% - Accent5 2 2 3 2" xfId="4623" xr:uid="{00000000-0005-0000-0000-00000B120000}"/>
    <cellStyle name="40% - Accent5 2 2 3 2 2" xfId="4624" xr:uid="{00000000-0005-0000-0000-00000C120000}"/>
    <cellStyle name="40% - Accent5 2 2 3 2 3" xfId="4625" xr:uid="{00000000-0005-0000-0000-00000D120000}"/>
    <cellStyle name="40% - Accent5 2 2 3 3" xfId="4626" xr:uid="{00000000-0005-0000-0000-00000E120000}"/>
    <cellStyle name="40% - Accent5 2 2 3 4" xfId="4627" xr:uid="{00000000-0005-0000-0000-00000F120000}"/>
    <cellStyle name="40% - Accent5 2 2 3 5" xfId="4628" xr:uid="{00000000-0005-0000-0000-000010120000}"/>
    <cellStyle name="40% - Accent5 2 2 3 6" xfId="4629" xr:uid="{00000000-0005-0000-0000-000011120000}"/>
    <cellStyle name="40% - Accent5 2 2 4" xfId="4630" xr:uid="{00000000-0005-0000-0000-000012120000}"/>
    <cellStyle name="40% - Accent5 2 2 4 2" xfId="4631" xr:uid="{00000000-0005-0000-0000-000013120000}"/>
    <cellStyle name="40% - Accent5 2 2 4 2 2" xfId="4632" xr:uid="{00000000-0005-0000-0000-000014120000}"/>
    <cellStyle name="40% - Accent5 2 2 4 3" xfId="4633" xr:uid="{00000000-0005-0000-0000-000015120000}"/>
    <cellStyle name="40% - Accent5 2 2 4 4" xfId="4634" xr:uid="{00000000-0005-0000-0000-000016120000}"/>
    <cellStyle name="40% - Accent5 2 2 4 5" xfId="4635" xr:uid="{00000000-0005-0000-0000-000017120000}"/>
    <cellStyle name="40% - Accent5 2 2 5" xfId="4636" xr:uid="{00000000-0005-0000-0000-000018120000}"/>
    <cellStyle name="40% - Accent5 2 2 5 2" xfId="4637" xr:uid="{00000000-0005-0000-0000-000019120000}"/>
    <cellStyle name="40% - Accent5 2 2 5 3" xfId="4638" xr:uid="{00000000-0005-0000-0000-00001A120000}"/>
    <cellStyle name="40% - Accent5 2 2 5 4" xfId="4639" xr:uid="{00000000-0005-0000-0000-00001B120000}"/>
    <cellStyle name="40% - Accent5 2 2 6" xfId="4640" xr:uid="{00000000-0005-0000-0000-00001C120000}"/>
    <cellStyle name="40% - Accent5 2 2 6 2" xfId="4641" xr:uid="{00000000-0005-0000-0000-00001D120000}"/>
    <cellStyle name="40% - Accent5 2 2 7" xfId="4642" xr:uid="{00000000-0005-0000-0000-00001E120000}"/>
    <cellStyle name="40% - Accent5 2 2 8" xfId="4643" xr:uid="{00000000-0005-0000-0000-00001F120000}"/>
    <cellStyle name="40% - Accent5 2 2 9" xfId="4644" xr:uid="{00000000-0005-0000-0000-000020120000}"/>
    <cellStyle name="40% - Accent5 2 3" xfId="4645" xr:uid="{00000000-0005-0000-0000-000021120000}"/>
    <cellStyle name="40% - Accent5 2 3 2" xfId="4646" xr:uid="{00000000-0005-0000-0000-000022120000}"/>
    <cellStyle name="40% - Accent5 2 3 2 2" xfId="4647" xr:uid="{00000000-0005-0000-0000-000023120000}"/>
    <cellStyle name="40% - Accent5 2 3 2 2 2" xfId="4648" xr:uid="{00000000-0005-0000-0000-000024120000}"/>
    <cellStyle name="40% - Accent5 2 3 2 2 3" xfId="4649" xr:uid="{00000000-0005-0000-0000-000025120000}"/>
    <cellStyle name="40% - Accent5 2 3 2 3" xfId="4650" xr:uid="{00000000-0005-0000-0000-000026120000}"/>
    <cellStyle name="40% - Accent5 2 3 2 4" xfId="4651" xr:uid="{00000000-0005-0000-0000-000027120000}"/>
    <cellStyle name="40% - Accent5 2 3 2 5" xfId="4652" xr:uid="{00000000-0005-0000-0000-000028120000}"/>
    <cellStyle name="40% - Accent5 2 3 2 6" xfId="4653" xr:uid="{00000000-0005-0000-0000-000029120000}"/>
    <cellStyle name="40% - Accent5 2 3 3" xfId="4654" xr:uid="{00000000-0005-0000-0000-00002A120000}"/>
    <cellStyle name="40% - Accent5 2 3 3 2" xfId="4655" xr:uid="{00000000-0005-0000-0000-00002B120000}"/>
    <cellStyle name="40% - Accent5 2 3 3 2 2" xfId="4656" xr:uid="{00000000-0005-0000-0000-00002C120000}"/>
    <cellStyle name="40% - Accent5 2 3 3 3" xfId="4657" xr:uid="{00000000-0005-0000-0000-00002D120000}"/>
    <cellStyle name="40% - Accent5 2 3 3 4" xfId="4658" xr:uid="{00000000-0005-0000-0000-00002E120000}"/>
    <cellStyle name="40% - Accent5 2 3 3 5" xfId="4659" xr:uid="{00000000-0005-0000-0000-00002F120000}"/>
    <cellStyle name="40% - Accent5 2 3 4" xfId="4660" xr:uid="{00000000-0005-0000-0000-000030120000}"/>
    <cellStyle name="40% - Accent5 2 3 4 2" xfId="4661" xr:uid="{00000000-0005-0000-0000-000031120000}"/>
    <cellStyle name="40% - Accent5 2 3 4 3" xfId="4662" xr:uid="{00000000-0005-0000-0000-000032120000}"/>
    <cellStyle name="40% - Accent5 2 3 4 4" xfId="4663" xr:uid="{00000000-0005-0000-0000-000033120000}"/>
    <cellStyle name="40% - Accent5 2 3 5" xfId="4664" xr:uid="{00000000-0005-0000-0000-000034120000}"/>
    <cellStyle name="40% - Accent5 2 3 5 2" xfId="4665" xr:uid="{00000000-0005-0000-0000-000035120000}"/>
    <cellStyle name="40% - Accent5 2 3 6" xfId="4666" xr:uid="{00000000-0005-0000-0000-000036120000}"/>
    <cellStyle name="40% - Accent5 2 3 7" xfId="4667" xr:uid="{00000000-0005-0000-0000-000037120000}"/>
    <cellStyle name="40% - Accent5 2 3 8" xfId="4668" xr:uid="{00000000-0005-0000-0000-000038120000}"/>
    <cellStyle name="40% - Accent5 2 3 9" xfId="4669" xr:uid="{00000000-0005-0000-0000-000039120000}"/>
    <cellStyle name="40% - Accent5 2 4" xfId="4670" xr:uid="{00000000-0005-0000-0000-00003A120000}"/>
    <cellStyle name="40% - Accent5 2 4 2" xfId="4671" xr:uid="{00000000-0005-0000-0000-00003B120000}"/>
    <cellStyle name="40% - Accent5 2 4 2 2" xfId="4672" xr:uid="{00000000-0005-0000-0000-00003C120000}"/>
    <cellStyle name="40% - Accent5 2 4 2 3" xfId="4673" xr:uid="{00000000-0005-0000-0000-00003D120000}"/>
    <cellStyle name="40% - Accent5 2 4 3" xfId="4674" xr:uid="{00000000-0005-0000-0000-00003E120000}"/>
    <cellStyle name="40% - Accent5 2 4 4" xfId="4675" xr:uid="{00000000-0005-0000-0000-00003F120000}"/>
    <cellStyle name="40% - Accent5 2 4 5" xfId="4676" xr:uid="{00000000-0005-0000-0000-000040120000}"/>
    <cellStyle name="40% - Accent5 2 4 6" xfId="4677" xr:uid="{00000000-0005-0000-0000-000041120000}"/>
    <cellStyle name="40% - Accent5 2 5" xfId="4678" xr:uid="{00000000-0005-0000-0000-000042120000}"/>
    <cellStyle name="40% - Accent5 2 5 2" xfId="4679" xr:uid="{00000000-0005-0000-0000-000043120000}"/>
    <cellStyle name="40% - Accent5 2 5 2 2" xfId="4680" xr:uid="{00000000-0005-0000-0000-000044120000}"/>
    <cellStyle name="40% - Accent5 2 5 3" xfId="4681" xr:uid="{00000000-0005-0000-0000-000045120000}"/>
    <cellStyle name="40% - Accent5 2 5 4" xfId="4682" xr:uid="{00000000-0005-0000-0000-000046120000}"/>
    <cellStyle name="40% - Accent5 2 5 5" xfId="4683" xr:uid="{00000000-0005-0000-0000-000047120000}"/>
    <cellStyle name="40% - Accent5 2 6" xfId="4684" xr:uid="{00000000-0005-0000-0000-000048120000}"/>
    <cellStyle name="40% - Accent5 2 6 2" xfId="4685" xr:uid="{00000000-0005-0000-0000-000049120000}"/>
    <cellStyle name="40% - Accent5 2 6 2 2" xfId="4686" xr:uid="{00000000-0005-0000-0000-00004A120000}"/>
    <cellStyle name="40% - Accent5 2 6 3" xfId="4687" xr:uid="{00000000-0005-0000-0000-00004B120000}"/>
    <cellStyle name="40% - Accent5 2 6 4" xfId="4688" xr:uid="{00000000-0005-0000-0000-00004C120000}"/>
    <cellStyle name="40% - Accent5 2 6 5" xfId="4689" xr:uid="{00000000-0005-0000-0000-00004D120000}"/>
    <cellStyle name="40% - Accent5 2 7" xfId="4690" xr:uid="{00000000-0005-0000-0000-00004E120000}"/>
    <cellStyle name="40% - Accent5 2 7 2" xfId="4691" xr:uid="{00000000-0005-0000-0000-00004F120000}"/>
    <cellStyle name="40% - Accent5 2 8" xfId="4692" xr:uid="{00000000-0005-0000-0000-000050120000}"/>
    <cellStyle name="40% - Accent5 2 9" xfId="4693" xr:uid="{00000000-0005-0000-0000-000051120000}"/>
    <cellStyle name="40% - Accent5 3" xfId="4694" xr:uid="{00000000-0005-0000-0000-000052120000}"/>
    <cellStyle name="40% - Accent5 3 10" xfId="4695" xr:uid="{00000000-0005-0000-0000-000053120000}"/>
    <cellStyle name="40% - Accent5 3 2" xfId="4696" xr:uid="{00000000-0005-0000-0000-000054120000}"/>
    <cellStyle name="40% - Accent5 3 2 2" xfId="4697" xr:uid="{00000000-0005-0000-0000-000055120000}"/>
    <cellStyle name="40% - Accent5 3 2 2 2" xfId="4698" xr:uid="{00000000-0005-0000-0000-000056120000}"/>
    <cellStyle name="40% - Accent5 3 2 2 2 2" xfId="4699" xr:uid="{00000000-0005-0000-0000-000057120000}"/>
    <cellStyle name="40% - Accent5 3 2 2 2 3" xfId="4700" xr:uid="{00000000-0005-0000-0000-000058120000}"/>
    <cellStyle name="40% - Accent5 3 2 2 3" xfId="4701" xr:uid="{00000000-0005-0000-0000-000059120000}"/>
    <cellStyle name="40% - Accent5 3 2 2 4" xfId="4702" xr:uid="{00000000-0005-0000-0000-00005A120000}"/>
    <cellStyle name="40% - Accent5 3 2 2 5" xfId="4703" xr:uid="{00000000-0005-0000-0000-00005B120000}"/>
    <cellStyle name="40% - Accent5 3 2 2 6" xfId="4704" xr:uid="{00000000-0005-0000-0000-00005C120000}"/>
    <cellStyle name="40% - Accent5 3 2 3" xfId="4705" xr:uid="{00000000-0005-0000-0000-00005D120000}"/>
    <cellStyle name="40% - Accent5 3 2 3 2" xfId="4706" xr:uid="{00000000-0005-0000-0000-00005E120000}"/>
    <cellStyle name="40% - Accent5 3 2 3 2 2" xfId="4707" xr:uid="{00000000-0005-0000-0000-00005F120000}"/>
    <cellStyle name="40% - Accent5 3 2 3 3" xfId="4708" xr:uid="{00000000-0005-0000-0000-000060120000}"/>
    <cellStyle name="40% - Accent5 3 2 3 4" xfId="4709" xr:uid="{00000000-0005-0000-0000-000061120000}"/>
    <cellStyle name="40% - Accent5 3 2 3 5" xfId="4710" xr:uid="{00000000-0005-0000-0000-000062120000}"/>
    <cellStyle name="40% - Accent5 3 2 4" xfId="4711" xr:uid="{00000000-0005-0000-0000-000063120000}"/>
    <cellStyle name="40% - Accent5 3 2 4 2" xfId="4712" xr:uid="{00000000-0005-0000-0000-000064120000}"/>
    <cellStyle name="40% - Accent5 3 2 4 3" xfId="4713" xr:uid="{00000000-0005-0000-0000-000065120000}"/>
    <cellStyle name="40% - Accent5 3 2 4 4" xfId="4714" xr:uid="{00000000-0005-0000-0000-000066120000}"/>
    <cellStyle name="40% - Accent5 3 2 5" xfId="4715" xr:uid="{00000000-0005-0000-0000-000067120000}"/>
    <cellStyle name="40% - Accent5 3 2 5 2" xfId="4716" xr:uid="{00000000-0005-0000-0000-000068120000}"/>
    <cellStyle name="40% - Accent5 3 2 6" xfId="4717" xr:uid="{00000000-0005-0000-0000-000069120000}"/>
    <cellStyle name="40% - Accent5 3 2 7" xfId="4718" xr:uid="{00000000-0005-0000-0000-00006A120000}"/>
    <cellStyle name="40% - Accent5 3 2 8" xfId="4719" xr:uid="{00000000-0005-0000-0000-00006B120000}"/>
    <cellStyle name="40% - Accent5 3 2 9" xfId="4720" xr:uid="{00000000-0005-0000-0000-00006C120000}"/>
    <cellStyle name="40% - Accent5 3 3" xfId="4721" xr:uid="{00000000-0005-0000-0000-00006D120000}"/>
    <cellStyle name="40% - Accent5 3 3 2" xfId="4722" xr:uid="{00000000-0005-0000-0000-00006E120000}"/>
    <cellStyle name="40% - Accent5 3 3 2 2" xfId="4723" xr:uid="{00000000-0005-0000-0000-00006F120000}"/>
    <cellStyle name="40% - Accent5 3 3 2 3" xfId="4724" xr:uid="{00000000-0005-0000-0000-000070120000}"/>
    <cellStyle name="40% - Accent5 3 3 3" xfId="4725" xr:uid="{00000000-0005-0000-0000-000071120000}"/>
    <cellStyle name="40% - Accent5 3 3 4" xfId="4726" xr:uid="{00000000-0005-0000-0000-000072120000}"/>
    <cellStyle name="40% - Accent5 3 3 5" xfId="4727" xr:uid="{00000000-0005-0000-0000-000073120000}"/>
    <cellStyle name="40% - Accent5 3 3 6" xfId="4728" xr:uid="{00000000-0005-0000-0000-000074120000}"/>
    <cellStyle name="40% - Accent5 3 4" xfId="4729" xr:uid="{00000000-0005-0000-0000-000075120000}"/>
    <cellStyle name="40% - Accent5 3 4 2" xfId="4730" xr:uid="{00000000-0005-0000-0000-000076120000}"/>
    <cellStyle name="40% - Accent5 3 4 2 2" xfId="4731" xr:uid="{00000000-0005-0000-0000-000077120000}"/>
    <cellStyle name="40% - Accent5 3 4 3" xfId="4732" xr:uid="{00000000-0005-0000-0000-000078120000}"/>
    <cellStyle name="40% - Accent5 3 4 4" xfId="4733" xr:uid="{00000000-0005-0000-0000-000079120000}"/>
    <cellStyle name="40% - Accent5 3 4 5" xfId="4734" xr:uid="{00000000-0005-0000-0000-00007A120000}"/>
    <cellStyle name="40% - Accent5 3 5" xfId="4735" xr:uid="{00000000-0005-0000-0000-00007B120000}"/>
    <cellStyle name="40% - Accent5 3 5 2" xfId="4736" xr:uid="{00000000-0005-0000-0000-00007C120000}"/>
    <cellStyle name="40% - Accent5 3 5 2 2" xfId="4737" xr:uid="{00000000-0005-0000-0000-00007D120000}"/>
    <cellStyle name="40% - Accent5 3 5 3" xfId="4738" xr:uid="{00000000-0005-0000-0000-00007E120000}"/>
    <cellStyle name="40% - Accent5 3 5 4" xfId="4739" xr:uid="{00000000-0005-0000-0000-00007F120000}"/>
    <cellStyle name="40% - Accent5 3 5 5" xfId="4740" xr:uid="{00000000-0005-0000-0000-000080120000}"/>
    <cellStyle name="40% - Accent5 3 6" xfId="4741" xr:uid="{00000000-0005-0000-0000-000081120000}"/>
    <cellStyle name="40% - Accent5 3 6 2" xfId="4742" xr:uid="{00000000-0005-0000-0000-000082120000}"/>
    <cellStyle name="40% - Accent5 3 7" xfId="4743" xr:uid="{00000000-0005-0000-0000-000083120000}"/>
    <cellStyle name="40% - Accent5 3 8" xfId="4744" xr:uid="{00000000-0005-0000-0000-000084120000}"/>
    <cellStyle name="40% - Accent5 3 9" xfId="4745" xr:uid="{00000000-0005-0000-0000-000085120000}"/>
    <cellStyle name="40% - Accent5 4" xfId="4746" xr:uid="{00000000-0005-0000-0000-000086120000}"/>
    <cellStyle name="40% - Accent5 4 10" xfId="4747" xr:uid="{00000000-0005-0000-0000-000087120000}"/>
    <cellStyle name="40% - Accent5 4 2" xfId="4748" xr:uid="{00000000-0005-0000-0000-000088120000}"/>
    <cellStyle name="40% - Accent5 4 2 2" xfId="4749" xr:uid="{00000000-0005-0000-0000-000089120000}"/>
    <cellStyle name="40% - Accent5 4 2 2 2" xfId="4750" xr:uid="{00000000-0005-0000-0000-00008A120000}"/>
    <cellStyle name="40% - Accent5 4 2 2 2 2" xfId="4751" xr:uid="{00000000-0005-0000-0000-00008B120000}"/>
    <cellStyle name="40% - Accent5 4 2 2 2 3" xfId="4752" xr:uid="{00000000-0005-0000-0000-00008C120000}"/>
    <cellStyle name="40% - Accent5 4 2 2 3" xfId="4753" xr:uid="{00000000-0005-0000-0000-00008D120000}"/>
    <cellStyle name="40% - Accent5 4 2 2 4" xfId="4754" xr:uid="{00000000-0005-0000-0000-00008E120000}"/>
    <cellStyle name="40% - Accent5 4 2 2 5" xfId="4755" xr:uid="{00000000-0005-0000-0000-00008F120000}"/>
    <cellStyle name="40% - Accent5 4 2 2 6" xfId="4756" xr:uid="{00000000-0005-0000-0000-000090120000}"/>
    <cellStyle name="40% - Accent5 4 2 3" xfId="4757" xr:uid="{00000000-0005-0000-0000-000091120000}"/>
    <cellStyle name="40% - Accent5 4 2 3 2" xfId="4758" xr:uid="{00000000-0005-0000-0000-000092120000}"/>
    <cellStyle name="40% - Accent5 4 2 3 2 2" xfId="4759" xr:uid="{00000000-0005-0000-0000-000093120000}"/>
    <cellStyle name="40% - Accent5 4 2 3 3" xfId="4760" xr:uid="{00000000-0005-0000-0000-000094120000}"/>
    <cellStyle name="40% - Accent5 4 2 3 4" xfId="4761" xr:uid="{00000000-0005-0000-0000-000095120000}"/>
    <cellStyle name="40% - Accent5 4 2 3 5" xfId="4762" xr:uid="{00000000-0005-0000-0000-000096120000}"/>
    <cellStyle name="40% - Accent5 4 2 4" xfId="4763" xr:uid="{00000000-0005-0000-0000-000097120000}"/>
    <cellStyle name="40% - Accent5 4 2 4 2" xfId="4764" xr:uid="{00000000-0005-0000-0000-000098120000}"/>
    <cellStyle name="40% - Accent5 4 2 4 3" xfId="4765" xr:uid="{00000000-0005-0000-0000-000099120000}"/>
    <cellStyle name="40% - Accent5 4 2 4 4" xfId="4766" xr:uid="{00000000-0005-0000-0000-00009A120000}"/>
    <cellStyle name="40% - Accent5 4 2 5" xfId="4767" xr:uid="{00000000-0005-0000-0000-00009B120000}"/>
    <cellStyle name="40% - Accent5 4 2 5 2" xfId="4768" xr:uid="{00000000-0005-0000-0000-00009C120000}"/>
    <cellStyle name="40% - Accent5 4 2 6" xfId="4769" xr:uid="{00000000-0005-0000-0000-00009D120000}"/>
    <cellStyle name="40% - Accent5 4 2 7" xfId="4770" xr:uid="{00000000-0005-0000-0000-00009E120000}"/>
    <cellStyle name="40% - Accent5 4 2 8" xfId="4771" xr:uid="{00000000-0005-0000-0000-00009F120000}"/>
    <cellStyle name="40% - Accent5 4 2 9" xfId="4772" xr:uid="{00000000-0005-0000-0000-0000A0120000}"/>
    <cellStyle name="40% - Accent5 4 3" xfId="4773" xr:uid="{00000000-0005-0000-0000-0000A1120000}"/>
    <cellStyle name="40% - Accent5 4 3 2" xfId="4774" xr:uid="{00000000-0005-0000-0000-0000A2120000}"/>
    <cellStyle name="40% - Accent5 4 3 2 2" xfId="4775" xr:uid="{00000000-0005-0000-0000-0000A3120000}"/>
    <cellStyle name="40% - Accent5 4 3 2 3" xfId="4776" xr:uid="{00000000-0005-0000-0000-0000A4120000}"/>
    <cellStyle name="40% - Accent5 4 3 3" xfId="4777" xr:uid="{00000000-0005-0000-0000-0000A5120000}"/>
    <cellStyle name="40% - Accent5 4 3 4" xfId="4778" xr:uid="{00000000-0005-0000-0000-0000A6120000}"/>
    <cellStyle name="40% - Accent5 4 3 5" xfId="4779" xr:uid="{00000000-0005-0000-0000-0000A7120000}"/>
    <cellStyle name="40% - Accent5 4 3 6" xfId="4780" xr:uid="{00000000-0005-0000-0000-0000A8120000}"/>
    <cellStyle name="40% - Accent5 4 4" xfId="4781" xr:uid="{00000000-0005-0000-0000-0000A9120000}"/>
    <cellStyle name="40% - Accent5 4 4 2" xfId="4782" xr:uid="{00000000-0005-0000-0000-0000AA120000}"/>
    <cellStyle name="40% - Accent5 4 4 2 2" xfId="4783" xr:uid="{00000000-0005-0000-0000-0000AB120000}"/>
    <cellStyle name="40% - Accent5 4 4 3" xfId="4784" xr:uid="{00000000-0005-0000-0000-0000AC120000}"/>
    <cellStyle name="40% - Accent5 4 4 4" xfId="4785" xr:uid="{00000000-0005-0000-0000-0000AD120000}"/>
    <cellStyle name="40% - Accent5 4 4 5" xfId="4786" xr:uid="{00000000-0005-0000-0000-0000AE120000}"/>
    <cellStyle name="40% - Accent5 4 5" xfId="4787" xr:uid="{00000000-0005-0000-0000-0000AF120000}"/>
    <cellStyle name="40% - Accent5 4 5 2" xfId="4788" xr:uid="{00000000-0005-0000-0000-0000B0120000}"/>
    <cellStyle name="40% - Accent5 4 5 2 2" xfId="4789" xr:uid="{00000000-0005-0000-0000-0000B1120000}"/>
    <cellStyle name="40% - Accent5 4 5 3" xfId="4790" xr:uid="{00000000-0005-0000-0000-0000B2120000}"/>
    <cellStyle name="40% - Accent5 4 5 4" xfId="4791" xr:uid="{00000000-0005-0000-0000-0000B3120000}"/>
    <cellStyle name="40% - Accent5 4 5 5" xfId="4792" xr:uid="{00000000-0005-0000-0000-0000B4120000}"/>
    <cellStyle name="40% - Accent5 4 6" xfId="4793" xr:uid="{00000000-0005-0000-0000-0000B5120000}"/>
    <cellStyle name="40% - Accent5 4 6 2" xfId="4794" xr:uid="{00000000-0005-0000-0000-0000B6120000}"/>
    <cellStyle name="40% - Accent5 4 7" xfId="4795" xr:uid="{00000000-0005-0000-0000-0000B7120000}"/>
    <cellStyle name="40% - Accent5 4 8" xfId="4796" xr:uid="{00000000-0005-0000-0000-0000B8120000}"/>
    <cellStyle name="40% - Accent5 4 9" xfId="4797" xr:uid="{00000000-0005-0000-0000-0000B9120000}"/>
    <cellStyle name="40% - Accent5 5" xfId="4798" xr:uid="{00000000-0005-0000-0000-0000BA120000}"/>
    <cellStyle name="40% - Accent5 5 10" xfId="4799" xr:uid="{00000000-0005-0000-0000-0000BB120000}"/>
    <cellStyle name="40% - Accent5 5 2" xfId="4800" xr:uid="{00000000-0005-0000-0000-0000BC120000}"/>
    <cellStyle name="40% - Accent5 5 2 2" xfId="4801" xr:uid="{00000000-0005-0000-0000-0000BD120000}"/>
    <cellStyle name="40% - Accent5 5 2 2 2" xfId="4802" xr:uid="{00000000-0005-0000-0000-0000BE120000}"/>
    <cellStyle name="40% - Accent5 5 2 2 2 2" xfId="4803" xr:uid="{00000000-0005-0000-0000-0000BF120000}"/>
    <cellStyle name="40% - Accent5 5 2 2 2 3" xfId="4804" xr:uid="{00000000-0005-0000-0000-0000C0120000}"/>
    <cellStyle name="40% - Accent5 5 2 2 3" xfId="4805" xr:uid="{00000000-0005-0000-0000-0000C1120000}"/>
    <cellStyle name="40% - Accent5 5 2 2 4" xfId="4806" xr:uid="{00000000-0005-0000-0000-0000C2120000}"/>
    <cellStyle name="40% - Accent5 5 2 2 5" xfId="4807" xr:uid="{00000000-0005-0000-0000-0000C3120000}"/>
    <cellStyle name="40% - Accent5 5 2 2 6" xfId="4808" xr:uid="{00000000-0005-0000-0000-0000C4120000}"/>
    <cellStyle name="40% - Accent5 5 2 3" xfId="4809" xr:uid="{00000000-0005-0000-0000-0000C5120000}"/>
    <cellStyle name="40% - Accent5 5 2 3 2" xfId="4810" xr:uid="{00000000-0005-0000-0000-0000C6120000}"/>
    <cellStyle name="40% - Accent5 5 2 3 2 2" xfId="4811" xr:uid="{00000000-0005-0000-0000-0000C7120000}"/>
    <cellStyle name="40% - Accent5 5 2 3 3" xfId="4812" xr:uid="{00000000-0005-0000-0000-0000C8120000}"/>
    <cellStyle name="40% - Accent5 5 2 3 4" xfId="4813" xr:uid="{00000000-0005-0000-0000-0000C9120000}"/>
    <cellStyle name="40% - Accent5 5 2 3 5" xfId="4814" xr:uid="{00000000-0005-0000-0000-0000CA120000}"/>
    <cellStyle name="40% - Accent5 5 2 4" xfId="4815" xr:uid="{00000000-0005-0000-0000-0000CB120000}"/>
    <cellStyle name="40% - Accent5 5 2 4 2" xfId="4816" xr:uid="{00000000-0005-0000-0000-0000CC120000}"/>
    <cellStyle name="40% - Accent5 5 2 4 3" xfId="4817" xr:uid="{00000000-0005-0000-0000-0000CD120000}"/>
    <cellStyle name="40% - Accent5 5 2 4 4" xfId="4818" xr:uid="{00000000-0005-0000-0000-0000CE120000}"/>
    <cellStyle name="40% - Accent5 5 2 5" xfId="4819" xr:uid="{00000000-0005-0000-0000-0000CF120000}"/>
    <cellStyle name="40% - Accent5 5 2 5 2" xfId="4820" xr:uid="{00000000-0005-0000-0000-0000D0120000}"/>
    <cellStyle name="40% - Accent5 5 2 6" xfId="4821" xr:uid="{00000000-0005-0000-0000-0000D1120000}"/>
    <cellStyle name="40% - Accent5 5 2 7" xfId="4822" xr:uid="{00000000-0005-0000-0000-0000D2120000}"/>
    <cellStyle name="40% - Accent5 5 2 8" xfId="4823" xr:uid="{00000000-0005-0000-0000-0000D3120000}"/>
    <cellStyle name="40% - Accent5 5 2 9" xfId="4824" xr:uid="{00000000-0005-0000-0000-0000D4120000}"/>
    <cellStyle name="40% - Accent5 5 3" xfId="4825" xr:uid="{00000000-0005-0000-0000-0000D5120000}"/>
    <cellStyle name="40% - Accent5 5 3 2" xfId="4826" xr:uid="{00000000-0005-0000-0000-0000D6120000}"/>
    <cellStyle name="40% - Accent5 5 3 2 2" xfId="4827" xr:uid="{00000000-0005-0000-0000-0000D7120000}"/>
    <cellStyle name="40% - Accent5 5 3 2 3" xfId="4828" xr:uid="{00000000-0005-0000-0000-0000D8120000}"/>
    <cellStyle name="40% - Accent5 5 3 3" xfId="4829" xr:uid="{00000000-0005-0000-0000-0000D9120000}"/>
    <cellStyle name="40% - Accent5 5 3 4" xfId="4830" xr:uid="{00000000-0005-0000-0000-0000DA120000}"/>
    <cellStyle name="40% - Accent5 5 3 5" xfId="4831" xr:uid="{00000000-0005-0000-0000-0000DB120000}"/>
    <cellStyle name="40% - Accent5 5 3 6" xfId="4832" xr:uid="{00000000-0005-0000-0000-0000DC120000}"/>
    <cellStyle name="40% - Accent5 5 4" xfId="4833" xr:uid="{00000000-0005-0000-0000-0000DD120000}"/>
    <cellStyle name="40% - Accent5 5 4 2" xfId="4834" xr:uid="{00000000-0005-0000-0000-0000DE120000}"/>
    <cellStyle name="40% - Accent5 5 4 2 2" xfId="4835" xr:uid="{00000000-0005-0000-0000-0000DF120000}"/>
    <cellStyle name="40% - Accent5 5 4 3" xfId="4836" xr:uid="{00000000-0005-0000-0000-0000E0120000}"/>
    <cellStyle name="40% - Accent5 5 4 4" xfId="4837" xr:uid="{00000000-0005-0000-0000-0000E1120000}"/>
    <cellStyle name="40% - Accent5 5 4 5" xfId="4838" xr:uid="{00000000-0005-0000-0000-0000E2120000}"/>
    <cellStyle name="40% - Accent5 5 5" xfId="4839" xr:uid="{00000000-0005-0000-0000-0000E3120000}"/>
    <cellStyle name="40% - Accent5 5 5 2" xfId="4840" xr:uid="{00000000-0005-0000-0000-0000E4120000}"/>
    <cellStyle name="40% - Accent5 5 5 3" xfId="4841" xr:uid="{00000000-0005-0000-0000-0000E5120000}"/>
    <cellStyle name="40% - Accent5 5 5 4" xfId="4842" xr:uid="{00000000-0005-0000-0000-0000E6120000}"/>
    <cellStyle name="40% - Accent5 5 6" xfId="4843" xr:uid="{00000000-0005-0000-0000-0000E7120000}"/>
    <cellStyle name="40% - Accent5 5 6 2" xfId="4844" xr:uid="{00000000-0005-0000-0000-0000E8120000}"/>
    <cellStyle name="40% - Accent5 5 7" xfId="4845" xr:uid="{00000000-0005-0000-0000-0000E9120000}"/>
    <cellStyle name="40% - Accent5 5 8" xfId="4846" xr:uid="{00000000-0005-0000-0000-0000EA120000}"/>
    <cellStyle name="40% - Accent5 5 9" xfId="4847" xr:uid="{00000000-0005-0000-0000-0000EB120000}"/>
    <cellStyle name="40% - Accent5 6" xfId="4848" xr:uid="{00000000-0005-0000-0000-0000EC120000}"/>
    <cellStyle name="40% - Accent5 6 10" xfId="4849" xr:uid="{00000000-0005-0000-0000-0000ED120000}"/>
    <cellStyle name="40% - Accent5 6 2" xfId="4850" xr:uid="{00000000-0005-0000-0000-0000EE120000}"/>
    <cellStyle name="40% - Accent5 6 2 2" xfId="4851" xr:uid="{00000000-0005-0000-0000-0000EF120000}"/>
    <cellStyle name="40% - Accent5 6 2 2 2" xfId="4852" xr:uid="{00000000-0005-0000-0000-0000F0120000}"/>
    <cellStyle name="40% - Accent5 6 2 2 2 2" xfId="4853" xr:uid="{00000000-0005-0000-0000-0000F1120000}"/>
    <cellStyle name="40% - Accent5 6 2 2 2 3" xfId="4854" xr:uid="{00000000-0005-0000-0000-0000F2120000}"/>
    <cellStyle name="40% - Accent5 6 2 2 3" xfId="4855" xr:uid="{00000000-0005-0000-0000-0000F3120000}"/>
    <cellStyle name="40% - Accent5 6 2 2 4" xfId="4856" xr:uid="{00000000-0005-0000-0000-0000F4120000}"/>
    <cellStyle name="40% - Accent5 6 2 2 5" xfId="4857" xr:uid="{00000000-0005-0000-0000-0000F5120000}"/>
    <cellStyle name="40% - Accent5 6 2 2 6" xfId="4858" xr:uid="{00000000-0005-0000-0000-0000F6120000}"/>
    <cellStyle name="40% - Accent5 6 2 3" xfId="4859" xr:uid="{00000000-0005-0000-0000-0000F7120000}"/>
    <cellStyle name="40% - Accent5 6 2 3 2" xfId="4860" xr:uid="{00000000-0005-0000-0000-0000F8120000}"/>
    <cellStyle name="40% - Accent5 6 2 3 2 2" xfId="4861" xr:uid="{00000000-0005-0000-0000-0000F9120000}"/>
    <cellStyle name="40% - Accent5 6 2 3 3" xfId="4862" xr:uid="{00000000-0005-0000-0000-0000FA120000}"/>
    <cellStyle name="40% - Accent5 6 2 3 4" xfId="4863" xr:uid="{00000000-0005-0000-0000-0000FB120000}"/>
    <cellStyle name="40% - Accent5 6 2 3 5" xfId="4864" xr:uid="{00000000-0005-0000-0000-0000FC120000}"/>
    <cellStyle name="40% - Accent5 6 2 4" xfId="4865" xr:uid="{00000000-0005-0000-0000-0000FD120000}"/>
    <cellStyle name="40% - Accent5 6 2 4 2" xfId="4866" xr:uid="{00000000-0005-0000-0000-0000FE120000}"/>
    <cellStyle name="40% - Accent5 6 2 4 3" xfId="4867" xr:uid="{00000000-0005-0000-0000-0000FF120000}"/>
    <cellStyle name="40% - Accent5 6 2 4 4" xfId="4868" xr:uid="{00000000-0005-0000-0000-000000130000}"/>
    <cellStyle name="40% - Accent5 6 2 5" xfId="4869" xr:uid="{00000000-0005-0000-0000-000001130000}"/>
    <cellStyle name="40% - Accent5 6 2 5 2" xfId="4870" xr:uid="{00000000-0005-0000-0000-000002130000}"/>
    <cellStyle name="40% - Accent5 6 2 6" xfId="4871" xr:uid="{00000000-0005-0000-0000-000003130000}"/>
    <cellStyle name="40% - Accent5 6 2 7" xfId="4872" xr:uid="{00000000-0005-0000-0000-000004130000}"/>
    <cellStyle name="40% - Accent5 6 2 8" xfId="4873" xr:uid="{00000000-0005-0000-0000-000005130000}"/>
    <cellStyle name="40% - Accent5 6 2 9" xfId="4874" xr:uid="{00000000-0005-0000-0000-000006130000}"/>
    <cellStyle name="40% - Accent5 6 3" xfId="4875" xr:uid="{00000000-0005-0000-0000-000007130000}"/>
    <cellStyle name="40% - Accent5 6 3 2" xfId="4876" xr:uid="{00000000-0005-0000-0000-000008130000}"/>
    <cellStyle name="40% - Accent5 6 3 2 2" xfId="4877" xr:uid="{00000000-0005-0000-0000-000009130000}"/>
    <cellStyle name="40% - Accent5 6 3 2 3" xfId="4878" xr:uid="{00000000-0005-0000-0000-00000A130000}"/>
    <cellStyle name="40% - Accent5 6 3 3" xfId="4879" xr:uid="{00000000-0005-0000-0000-00000B130000}"/>
    <cellStyle name="40% - Accent5 6 3 4" xfId="4880" xr:uid="{00000000-0005-0000-0000-00000C130000}"/>
    <cellStyle name="40% - Accent5 6 3 5" xfId="4881" xr:uid="{00000000-0005-0000-0000-00000D130000}"/>
    <cellStyle name="40% - Accent5 6 3 6" xfId="4882" xr:uid="{00000000-0005-0000-0000-00000E130000}"/>
    <cellStyle name="40% - Accent5 6 4" xfId="4883" xr:uid="{00000000-0005-0000-0000-00000F130000}"/>
    <cellStyle name="40% - Accent5 6 4 2" xfId="4884" xr:uid="{00000000-0005-0000-0000-000010130000}"/>
    <cellStyle name="40% - Accent5 6 4 2 2" xfId="4885" xr:uid="{00000000-0005-0000-0000-000011130000}"/>
    <cellStyle name="40% - Accent5 6 4 3" xfId="4886" xr:uid="{00000000-0005-0000-0000-000012130000}"/>
    <cellStyle name="40% - Accent5 6 4 4" xfId="4887" xr:uid="{00000000-0005-0000-0000-000013130000}"/>
    <cellStyle name="40% - Accent5 6 4 5" xfId="4888" xr:uid="{00000000-0005-0000-0000-000014130000}"/>
    <cellStyle name="40% - Accent5 6 5" xfId="4889" xr:uid="{00000000-0005-0000-0000-000015130000}"/>
    <cellStyle name="40% - Accent5 6 5 2" xfId="4890" xr:uid="{00000000-0005-0000-0000-000016130000}"/>
    <cellStyle name="40% - Accent5 6 5 3" xfId="4891" xr:uid="{00000000-0005-0000-0000-000017130000}"/>
    <cellStyle name="40% - Accent5 6 5 4" xfId="4892" xr:uid="{00000000-0005-0000-0000-000018130000}"/>
    <cellStyle name="40% - Accent5 6 6" xfId="4893" xr:uid="{00000000-0005-0000-0000-000019130000}"/>
    <cellStyle name="40% - Accent5 6 6 2" xfId="4894" xr:uid="{00000000-0005-0000-0000-00001A130000}"/>
    <cellStyle name="40% - Accent5 6 7" xfId="4895" xr:uid="{00000000-0005-0000-0000-00001B130000}"/>
    <cellStyle name="40% - Accent5 6 8" xfId="4896" xr:uid="{00000000-0005-0000-0000-00001C130000}"/>
    <cellStyle name="40% - Accent5 6 9" xfId="4897" xr:uid="{00000000-0005-0000-0000-00001D130000}"/>
    <cellStyle name="40% - Accent5 7" xfId="4898" xr:uid="{00000000-0005-0000-0000-00001E130000}"/>
    <cellStyle name="40% - Accent5 7 2" xfId="4899" xr:uid="{00000000-0005-0000-0000-00001F130000}"/>
    <cellStyle name="40% - Accent5 7 2 2" xfId="4900" xr:uid="{00000000-0005-0000-0000-000020130000}"/>
    <cellStyle name="40% - Accent5 7 2 2 2" xfId="4901" xr:uid="{00000000-0005-0000-0000-000021130000}"/>
    <cellStyle name="40% - Accent5 7 2 2 3" xfId="4902" xr:uid="{00000000-0005-0000-0000-000022130000}"/>
    <cellStyle name="40% - Accent5 7 2 3" xfId="4903" xr:uid="{00000000-0005-0000-0000-000023130000}"/>
    <cellStyle name="40% - Accent5 7 2 4" xfId="4904" xr:uid="{00000000-0005-0000-0000-000024130000}"/>
    <cellStyle name="40% - Accent5 7 2 5" xfId="4905" xr:uid="{00000000-0005-0000-0000-000025130000}"/>
    <cellStyle name="40% - Accent5 7 2 6" xfId="4906" xr:uid="{00000000-0005-0000-0000-000026130000}"/>
    <cellStyle name="40% - Accent5 7 3" xfId="4907" xr:uid="{00000000-0005-0000-0000-000027130000}"/>
    <cellStyle name="40% - Accent5 7 3 2" xfId="4908" xr:uid="{00000000-0005-0000-0000-000028130000}"/>
    <cellStyle name="40% - Accent5 7 3 2 2" xfId="4909" xr:uid="{00000000-0005-0000-0000-000029130000}"/>
    <cellStyle name="40% - Accent5 7 3 3" xfId="4910" xr:uid="{00000000-0005-0000-0000-00002A130000}"/>
    <cellStyle name="40% - Accent5 7 3 4" xfId="4911" xr:uid="{00000000-0005-0000-0000-00002B130000}"/>
    <cellStyle name="40% - Accent5 7 3 5" xfId="4912" xr:uid="{00000000-0005-0000-0000-00002C130000}"/>
    <cellStyle name="40% - Accent5 7 4" xfId="4913" xr:uid="{00000000-0005-0000-0000-00002D130000}"/>
    <cellStyle name="40% - Accent5 7 4 2" xfId="4914" xr:uid="{00000000-0005-0000-0000-00002E130000}"/>
    <cellStyle name="40% - Accent5 7 4 3" xfId="4915" xr:uid="{00000000-0005-0000-0000-00002F130000}"/>
    <cellStyle name="40% - Accent5 7 4 4" xfId="4916" xr:uid="{00000000-0005-0000-0000-000030130000}"/>
    <cellStyle name="40% - Accent5 7 5" xfId="4917" xr:uid="{00000000-0005-0000-0000-000031130000}"/>
    <cellStyle name="40% - Accent5 7 5 2" xfId="4918" xr:uid="{00000000-0005-0000-0000-000032130000}"/>
    <cellStyle name="40% - Accent5 7 6" xfId="4919" xr:uid="{00000000-0005-0000-0000-000033130000}"/>
    <cellStyle name="40% - Accent5 7 7" xfId="4920" xr:uid="{00000000-0005-0000-0000-000034130000}"/>
    <cellStyle name="40% - Accent5 7 8" xfId="4921" xr:uid="{00000000-0005-0000-0000-000035130000}"/>
    <cellStyle name="40% - Accent5 7 9" xfId="4922" xr:uid="{00000000-0005-0000-0000-000036130000}"/>
    <cellStyle name="40% - Accent5 8" xfId="4923" xr:uid="{00000000-0005-0000-0000-000037130000}"/>
    <cellStyle name="40% - Accent5 8 2" xfId="4924" xr:uid="{00000000-0005-0000-0000-000038130000}"/>
    <cellStyle name="40% - Accent5 8 2 2" xfId="4925" xr:uid="{00000000-0005-0000-0000-000039130000}"/>
    <cellStyle name="40% - Accent5 8 2 2 2" xfId="4926" xr:uid="{00000000-0005-0000-0000-00003A130000}"/>
    <cellStyle name="40% - Accent5 8 2 2 3" xfId="4927" xr:uid="{00000000-0005-0000-0000-00003B130000}"/>
    <cellStyle name="40% - Accent5 8 2 3" xfId="4928" xr:uid="{00000000-0005-0000-0000-00003C130000}"/>
    <cellStyle name="40% - Accent5 8 2 4" xfId="4929" xr:uid="{00000000-0005-0000-0000-00003D130000}"/>
    <cellStyle name="40% - Accent5 8 2 5" xfId="4930" xr:uid="{00000000-0005-0000-0000-00003E130000}"/>
    <cellStyle name="40% - Accent5 8 2 6" xfId="4931" xr:uid="{00000000-0005-0000-0000-00003F130000}"/>
    <cellStyle name="40% - Accent5 8 3" xfId="4932" xr:uid="{00000000-0005-0000-0000-000040130000}"/>
    <cellStyle name="40% - Accent5 8 3 2" xfId="4933" xr:uid="{00000000-0005-0000-0000-000041130000}"/>
    <cellStyle name="40% - Accent5 8 3 2 2" xfId="4934" xr:uid="{00000000-0005-0000-0000-000042130000}"/>
    <cellStyle name="40% - Accent5 8 3 3" xfId="4935" xr:uid="{00000000-0005-0000-0000-000043130000}"/>
    <cellStyle name="40% - Accent5 8 3 4" xfId="4936" xr:uid="{00000000-0005-0000-0000-000044130000}"/>
    <cellStyle name="40% - Accent5 8 3 5" xfId="4937" xr:uid="{00000000-0005-0000-0000-000045130000}"/>
    <cellStyle name="40% - Accent5 8 4" xfId="4938" xr:uid="{00000000-0005-0000-0000-000046130000}"/>
    <cellStyle name="40% - Accent5 8 4 2" xfId="4939" xr:uid="{00000000-0005-0000-0000-000047130000}"/>
    <cellStyle name="40% - Accent5 8 4 3" xfId="4940" xr:uid="{00000000-0005-0000-0000-000048130000}"/>
    <cellStyle name="40% - Accent5 8 4 4" xfId="4941" xr:uid="{00000000-0005-0000-0000-000049130000}"/>
    <cellStyle name="40% - Accent5 8 5" xfId="4942" xr:uid="{00000000-0005-0000-0000-00004A130000}"/>
    <cellStyle name="40% - Accent5 8 5 2" xfId="4943" xr:uid="{00000000-0005-0000-0000-00004B130000}"/>
    <cellStyle name="40% - Accent5 8 6" xfId="4944" xr:uid="{00000000-0005-0000-0000-00004C130000}"/>
    <cellStyle name="40% - Accent5 8 7" xfId="4945" xr:uid="{00000000-0005-0000-0000-00004D130000}"/>
    <cellStyle name="40% - Accent5 8 8" xfId="4946" xr:uid="{00000000-0005-0000-0000-00004E130000}"/>
    <cellStyle name="40% - Accent5 8 9" xfId="4947" xr:uid="{00000000-0005-0000-0000-00004F130000}"/>
    <cellStyle name="40% - Accent5 9" xfId="4948" xr:uid="{00000000-0005-0000-0000-000050130000}"/>
    <cellStyle name="40% - Accent5 9 2" xfId="4949" xr:uid="{00000000-0005-0000-0000-000051130000}"/>
    <cellStyle name="40% - Accent5 9 2 2" xfId="4950" xr:uid="{00000000-0005-0000-0000-000052130000}"/>
    <cellStyle name="40% - Accent5 9 2 2 2" xfId="4951" xr:uid="{00000000-0005-0000-0000-000053130000}"/>
    <cellStyle name="40% - Accent5 9 2 3" xfId="4952" xr:uid="{00000000-0005-0000-0000-000054130000}"/>
    <cellStyle name="40% - Accent5 9 2 4" xfId="4953" xr:uid="{00000000-0005-0000-0000-000055130000}"/>
    <cellStyle name="40% - Accent5 9 2 5" xfId="4954" xr:uid="{00000000-0005-0000-0000-000056130000}"/>
    <cellStyle name="40% - Accent5 9 3" xfId="4955" xr:uid="{00000000-0005-0000-0000-000057130000}"/>
    <cellStyle name="40% - Accent5 9 3 2" xfId="4956" xr:uid="{00000000-0005-0000-0000-000058130000}"/>
    <cellStyle name="40% - Accent5 9 3 3" xfId="4957" xr:uid="{00000000-0005-0000-0000-000059130000}"/>
    <cellStyle name="40% - Accent5 9 3 4" xfId="4958" xr:uid="{00000000-0005-0000-0000-00005A130000}"/>
    <cellStyle name="40% - Accent5 9 4" xfId="4959" xr:uid="{00000000-0005-0000-0000-00005B130000}"/>
    <cellStyle name="40% - Accent5 9 4 2" xfId="4960" xr:uid="{00000000-0005-0000-0000-00005C130000}"/>
    <cellStyle name="40% - Accent5 9 5" xfId="4961" xr:uid="{00000000-0005-0000-0000-00005D130000}"/>
    <cellStyle name="40% - Accent5 9 6" xfId="4962" xr:uid="{00000000-0005-0000-0000-00005E130000}"/>
    <cellStyle name="40% - Accent5 9 7" xfId="4963" xr:uid="{00000000-0005-0000-0000-00005F130000}"/>
    <cellStyle name="40% - Accent5 9 8" xfId="4964" xr:uid="{00000000-0005-0000-0000-000060130000}"/>
    <cellStyle name="40% - Accent6 10" xfId="4965" xr:uid="{00000000-0005-0000-0000-000061130000}"/>
    <cellStyle name="40% - Accent6 10 2" xfId="4966" xr:uid="{00000000-0005-0000-0000-000062130000}"/>
    <cellStyle name="40% - Accent6 10 2 2" xfId="4967" xr:uid="{00000000-0005-0000-0000-000063130000}"/>
    <cellStyle name="40% - Accent6 10 2 2 2" xfId="4968" xr:uid="{00000000-0005-0000-0000-000064130000}"/>
    <cellStyle name="40% - Accent6 10 2 3" xfId="4969" xr:uid="{00000000-0005-0000-0000-000065130000}"/>
    <cellStyle name="40% - Accent6 10 2 4" xfId="4970" xr:uid="{00000000-0005-0000-0000-000066130000}"/>
    <cellStyle name="40% - Accent6 10 2 5" xfId="4971" xr:uid="{00000000-0005-0000-0000-000067130000}"/>
    <cellStyle name="40% - Accent6 10 3" xfId="4972" xr:uid="{00000000-0005-0000-0000-000068130000}"/>
    <cellStyle name="40% - Accent6 10 3 2" xfId="4973" xr:uid="{00000000-0005-0000-0000-000069130000}"/>
    <cellStyle name="40% - Accent6 10 3 3" xfId="4974" xr:uid="{00000000-0005-0000-0000-00006A130000}"/>
    <cellStyle name="40% - Accent6 10 3 4" xfId="4975" xr:uid="{00000000-0005-0000-0000-00006B130000}"/>
    <cellStyle name="40% - Accent6 10 4" xfId="4976" xr:uid="{00000000-0005-0000-0000-00006C130000}"/>
    <cellStyle name="40% - Accent6 10 4 2" xfId="4977" xr:uid="{00000000-0005-0000-0000-00006D130000}"/>
    <cellStyle name="40% - Accent6 10 5" xfId="4978" xr:uid="{00000000-0005-0000-0000-00006E130000}"/>
    <cellStyle name="40% - Accent6 10 6" xfId="4979" xr:uid="{00000000-0005-0000-0000-00006F130000}"/>
    <cellStyle name="40% - Accent6 10 7" xfId="4980" xr:uid="{00000000-0005-0000-0000-000070130000}"/>
    <cellStyle name="40% - Accent6 10 8" xfId="4981" xr:uid="{00000000-0005-0000-0000-000071130000}"/>
    <cellStyle name="40% - Accent6 11" xfId="4982" xr:uid="{00000000-0005-0000-0000-000072130000}"/>
    <cellStyle name="40% - Accent6 11 2" xfId="4983" xr:uid="{00000000-0005-0000-0000-000073130000}"/>
    <cellStyle name="40% - Accent6 11 2 2" xfId="4984" xr:uid="{00000000-0005-0000-0000-000074130000}"/>
    <cellStyle name="40% - Accent6 11 2 2 2" xfId="4985" xr:uid="{00000000-0005-0000-0000-000075130000}"/>
    <cellStyle name="40% - Accent6 11 2 3" xfId="4986" xr:uid="{00000000-0005-0000-0000-000076130000}"/>
    <cellStyle name="40% - Accent6 11 2 4" xfId="4987" xr:uid="{00000000-0005-0000-0000-000077130000}"/>
    <cellStyle name="40% - Accent6 11 2 5" xfId="4988" xr:uid="{00000000-0005-0000-0000-000078130000}"/>
    <cellStyle name="40% - Accent6 11 3" xfId="4989" xr:uid="{00000000-0005-0000-0000-000079130000}"/>
    <cellStyle name="40% - Accent6 11 3 2" xfId="4990" xr:uid="{00000000-0005-0000-0000-00007A130000}"/>
    <cellStyle name="40% - Accent6 11 3 3" xfId="4991" xr:uid="{00000000-0005-0000-0000-00007B130000}"/>
    <cellStyle name="40% - Accent6 11 3 4" xfId="4992" xr:uid="{00000000-0005-0000-0000-00007C130000}"/>
    <cellStyle name="40% - Accent6 11 4" xfId="4993" xr:uid="{00000000-0005-0000-0000-00007D130000}"/>
    <cellStyle name="40% - Accent6 11 4 2" xfId="4994" xr:uid="{00000000-0005-0000-0000-00007E130000}"/>
    <cellStyle name="40% - Accent6 11 5" xfId="4995" xr:uid="{00000000-0005-0000-0000-00007F130000}"/>
    <cellStyle name="40% - Accent6 11 6" xfId="4996" xr:uid="{00000000-0005-0000-0000-000080130000}"/>
    <cellStyle name="40% - Accent6 11 7" xfId="4997" xr:uid="{00000000-0005-0000-0000-000081130000}"/>
    <cellStyle name="40% - Accent6 11 8" xfId="4998" xr:uid="{00000000-0005-0000-0000-000082130000}"/>
    <cellStyle name="40% - Accent6 12" xfId="4999" xr:uid="{00000000-0005-0000-0000-000083130000}"/>
    <cellStyle name="40% - Accent6 12 2" xfId="5000" xr:uid="{00000000-0005-0000-0000-000084130000}"/>
    <cellStyle name="40% - Accent6 12 2 2" xfId="5001" xr:uid="{00000000-0005-0000-0000-000085130000}"/>
    <cellStyle name="40% - Accent6 12 2 2 2" xfId="5002" xr:uid="{00000000-0005-0000-0000-000086130000}"/>
    <cellStyle name="40% - Accent6 12 2 3" xfId="5003" xr:uid="{00000000-0005-0000-0000-000087130000}"/>
    <cellStyle name="40% - Accent6 12 2 4" xfId="5004" xr:uid="{00000000-0005-0000-0000-000088130000}"/>
    <cellStyle name="40% - Accent6 12 2 5" xfId="5005" xr:uid="{00000000-0005-0000-0000-000089130000}"/>
    <cellStyle name="40% - Accent6 12 3" xfId="5006" xr:uid="{00000000-0005-0000-0000-00008A130000}"/>
    <cellStyle name="40% - Accent6 12 3 2" xfId="5007" xr:uid="{00000000-0005-0000-0000-00008B130000}"/>
    <cellStyle name="40% - Accent6 12 3 3" xfId="5008" xr:uid="{00000000-0005-0000-0000-00008C130000}"/>
    <cellStyle name="40% - Accent6 12 3 4" xfId="5009" xr:uid="{00000000-0005-0000-0000-00008D130000}"/>
    <cellStyle name="40% - Accent6 12 4" xfId="5010" xr:uid="{00000000-0005-0000-0000-00008E130000}"/>
    <cellStyle name="40% - Accent6 12 4 2" xfId="5011" xr:uid="{00000000-0005-0000-0000-00008F130000}"/>
    <cellStyle name="40% - Accent6 12 5" xfId="5012" xr:uid="{00000000-0005-0000-0000-000090130000}"/>
    <cellStyle name="40% - Accent6 12 6" xfId="5013" xr:uid="{00000000-0005-0000-0000-000091130000}"/>
    <cellStyle name="40% - Accent6 12 7" xfId="5014" xr:uid="{00000000-0005-0000-0000-000092130000}"/>
    <cellStyle name="40% - Accent6 12 8" xfId="5015" xr:uid="{00000000-0005-0000-0000-000093130000}"/>
    <cellStyle name="40% - Accent6 13" xfId="5016" xr:uid="{00000000-0005-0000-0000-000094130000}"/>
    <cellStyle name="40% - Accent6 13 2" xfId="5017" xr:uid="{00000000-0005-0000-0000-000095130000}"/>
    <cellStyle name="40% - Accent6 13 2 2" xfId="5018" xr:uid="{00000000-0005-0000-0000-000096130000}"/>
    <cellStyle name="40% - Accent6 13 2 3" xfId="5019" xr:uid="{00000000-0005-0000-0000-000097130000}"/>
    <cellStyle name="40% - Accent6 13 2 4" xfId="5020" xr:uid="{00000000-0005-0000-0000-000098130000}"/>
    <cellStyle name="40% - Accent6 13 3" xfId="5021" xr:uid="{00000000-0005-0000-0000-000099130000}"/>
    <cellStyle name="40% - Accent6 13 3 2" xfId="5022" xr:uid="{00000000-0005-0000-0000-00009A130000}"/>
    <cellStyle name="40% - Accent6 13 4" xfId="5023" xr:uid="{00000000-0005-0000-0000-00009B130000}"/>
    <cellStyle name="40% - Accent6 13 5" xfId="5024" xr:uid="{00000000-0005-0000-0000-00009C130000}"/>
    <cellStyle name="40% - Accent6 13 6" xfId="5025" xr:uid="{00000000-0005-0000-0000-00009D130000}"/>
    <cellStyle name="40% - Accent6 14" xfId="5026" xr:uid="{00000000-0005-0000-0000-00009E130000}"/>
    <cellStyle name="40% - Accent6 14 2" xfId="5027" xr:uid="{00000000-0005-0000-0000-00009F130000}"/>
    <cellStyle name="40% - Accent6 14 2 2" xfId="5028" xr:uid="{00000000-0005-0000-0000-0000A0130000}"/>
    <cellStyle name="40% - Accent6 14 3" xfId="5029" xr:uid="{00000000-0005-0000-0000-0000A1130000}"/>
    <cellStyle name="40% - Accent6 14 4" xfId="5030" xr:uid="{00000000-0005-0000-0000-0000A2130000}"/>
    <cellStyle name="40% - Accent6 14 5" xfId="5031" xr:uid="{00000000-0005-0000-0000-0000A3130000}"/>
    <cellStyle name="40% - Accent6 15" xfId="5032" xr:uid="{00000000-0005-0000-0000-0000A4130000}"/>
    <cellStyle name="40% - Accent6 15 2" xfId="5033" xr:uid="{00000000-0005-0000-0000-0000A5130000}"/>
    <cellStyle name="40% - Accent6 15 2 2" xfId="5034" xr:uid="{00000000-0005-0000-0000-0000A6130000}"/>
    <cellStyle name="40% - Accent6 15 3" xfId="5035" xr:uid="{00000000-0005-0000-0000-0000A7130000}"/>
    <cellStyle name="40% - Accent6 15 4" xfId="5036" xr:uid="{00000000-0005-0000-0000-0000A8130000}"/>
    <cellStyle name="40% - Accent6 15 5" xfId="5037" xr:uid="{00000000-0005-0000-0000-0000A9130000}"/>
    <cellStyle name="40% - Accent6 16" xfId="5038" xr:uid="{00000000-0005-0000-0000-0000AA130000}"/>
    <cellStyle name="40% - Accent6 16 2" xfId="5039" xr:uid="{00000000-0005-0000-0000-0000AB130000}"/>
    <cellStyle name="40% - Accent6 17" xfId="5040" xr:uid="{00000000-0005-0000-0000-0000AC130000}"/>
    <cellStyle name="40% - Accent6 18" xfId="5041" xr:uid="{00000000-0005-0000-0000-0000AD130000}"/>
    <cellStyle name="40% - Accent6 19" xfId="5042" xr:uid="{00000000-0005-0000-0000-0000AE130000}"/>
    <cellStyle name="40% - Accent6 2" xfId="5043" xr:uid="{00000000-0005-0000-0000-0000AF130000}"/>
    <cellStyle name="40% - Accent6 2 10" xfId="5044" xr:uid="{00000000-0005-0000-0000-0000B0130000}"/>
    <cellStyle name="40% - Accent6 2 11" xfId="5045" xr:uid="{00000000-0005-0000-0000-0000B1130000}"/>
    <cellStyle name="40% - Accent6 2 2" xfId="5046" xr:uid="{00000000-0005-0000-0000-0000B2130000}"/>
    <cellStyle name="40% - Accent6 2 2 10" xfId="5047" xr:uid="{00000000-0005-0000-0000-0000B3130000}"/>
    <cellStyle name="40% - Accent6 2 2 2" xfId="5048" xr:uid="{00000000-0005-0000-0000-0000B4130000}"/>
    <cellStyle name="40% - Accent6 2 2 2 2" xfId="5049" xr:uid="{00000000-0005-0000-0000-0000B5130000}"/>
    <cellStyle name="40% - Accent6 2 2 2 2 2" xfId="5050" xr:uid="{00000000-0005-0000-0000-0000B6130000}"/>
    <cellStyle name="40% - Accent6 2 2 2 2 2 2" xfId="5051" xr:uid="{00000000-0005-0000-0000-0000B7130000}"/>
    <cellStyle name="40% - Accent6 2 2 2 2 2 3" xfId="5052" xr:uid="{00000000-0005-0000-0000-0000B8130000}"/>
    <cellStyle name="40% - Accent6 2 2 2 2 3" xfId="5053" xr:uid="{00000000-0005-0000-0000-0000B9130000}"/>
    <cellStyle name="40% - Accent6 2 2 2 2 4" xfId="5054" xr:uid="{00000000-0005-0000-0000-0000BA130000}"/>
    <cellStyle name="40% - Accent6 2 2 2 2 5" xfId="5055" xr:uid="{00000000-0005-0000-0000-0000BB130000}"/>
    <cellStyle name="40% - Accent6 2 2 2 2 6" xfId="5056" xr:uid="{00000000-0005-0000-0000-0000BC130000}"/>
    <cellStyle name="40% - Accent6 2 2 2 3" xfId="5057" xr:uid="{00000000-0005-0000-0000-0000BD130000}"/>
    <cellStyle name="40% - Accent6 2 2 2 3 2" xfId="5058" xr:uid="{00000000-0005-0000-0000-0000BE130000}"/>
    <cellStyle name="40% - Accent6 2 2 2 3 2 2" xfId="5059" xr:uid="{00000000-0005-0000-0000-0000BF130000}"/>
    <cellStyle name="40% - Accent6 2 2 2 3 3" xfId="5060" xr:uid="{00000000-0005-0000-0000-0000C0130000}"/>
    <cellStyle name="40% - Accent6 2 2 2 3 4" xfId="5061" xr:uid="{00000000-0005-0000-0000-0000C1130000}"/>
    <cellStyle name="40% - Accent6 2 2 2 3 5" xfId="5062" xr:uid="{00000000-0005-0000-0000-0000C2130000}"/>
    <cellStyle name="40% - Accent6 2 2 2 4" xfId="5063" xr:uid="{00000000-0005-0000-0000-0000C3130000}"/>
    <cellStyle name="40% - Accent6 2 2 2 4 2" xfId="5064" xr:uid="{00000000-0005-0000-0000-0000C4130000}"/>
    <cellStyle name="40% - Accent6 2 2 2 4 3" xfId="5065" xr:uid="{00000000-0005-0000-0000-0000C5130000}"/>
    <cellStyle name="40% - Accent6 2 2 2 4 4" xfId="5066" xr:uid="{00000000-0005-0000-0000-0000C6130000}"/>
    <cellStyle name="40% - Accent6 2 2 2 5" xfId="5067" xr:uid="{00000000-0005-0000-0000-0000C7130000}"/>
    <cellStyle name="40% - Accent6 2 2 2 5 2" xfId="5068" xr:uid="{00000000-0005-0000-0000-0000C8130000}"/>
    <cellStyle name="40% - Accent6 2 2 2 6" xfId="5069" xr:uid="{00000000-0005-0000-0000-0000C9130000}"/>
    <cellStyle name="40% - Accent6 2 2 2 7" xfId="5070" xr:uid="{00000000-0005-0000-0000-0000CA130000}"/>
    <cellStyle name="40% - Accent6 2 2 2 8" xfId="5071" xr:uid="{00000000-0005-0000-0000-0000CB130000}"/>
    <cellStyle name="40% - Accent6 2 2 2 9" xfId="5072" xr:uid="{00000000-0005-0000-0000-0000CC130000}"/>
    <cellStyle name="40% - Accent6 2 2 3" xfId="5073" xr:uid="{00000000-0005-0000-0000-0000CD130000}"/>
    <cellStyle name="40% - Accent6 2 2 3 2" xfId="5074" xr:uid="{00000000-0005-0000-0000-0000CE130000}"/>
    <cellStyle name="40% - Accent6 2 2 3 2 2" xfId="5075" xr:uid="{00000000-0005-0000-0000-0000CF130000}"/>
    <cellStyle name="40% - Accent6 2 2 3 2 3" xfId="5076" xr:uid="{00000000-0005-0000-0000-0000D0130000}"/>
    <cellStyle name="40% - Accent6 2 2 3 3" xfId="5077" xr:uid="{00000000-0005-0000-0000-0000D1130000}"/>
    <cellStyle name="40% - Accent6 2 2 3 4" xfId="5078" xr:uid="{00000000-0005-0000-0000-0000D2130000}"/>
    <cellStyle name="40% - Accent6 2 2 3 5" xfId="5079" xr:uid="{00000000-0005-0000-0000-0000D3130000}"/>
    <cellStyle name="40% - Accent6 2 2 3 6" xfId="5080" xr:uid="{00000000-0005-0000-0000-0000D4130000}"/>
    <cellStyle name="40% - Accent6 2 2 4" xfId="5081" xr:uid="{00000000-0005-0000-0000-0000D5130000}"/>
    <cellStyle name="40% - Accent6 2 2 4 2" xfId="5082" xr:uid="{00000000-0005-0000-0000-0000D6130000}"/>
    <cellStyle name="40% - Accent6 2 2 4 2 2" xfId="5083" xr:uid="{00000000-0005-0000-0000-0000D7130000}"/>
    <cellStyle name="40% - Accent6 2 2 4 3" xfId="5084" xr:uid="{00000000-0005-0000-0000-0000D8130000}"/>
    <cellStyle name="40% - Accent6 2 2 4 4" xfId="5085" xr:uid="{00000000-0005-0000-0000-0000D9130000}"/>
    <cellStyle name="40% - Accent6 2 2 4 5" xfId="5086" xr:uid="{00000000-0005-0000-0000-0000DA130000}"/>
    <cellStyle name="40% - Accent6 2 2 5" xfId="5087" xr:uid="{00000000-0005-0000-0000-0000DB130000}"/>
    <cellStyle name="40% - Accent6 2 2 5 2" xfId="5088" xr:uid="{00000000-0005-0000-0000-0000DC130000}"/>
    <cellStyle name="40% - Accent6 2 2 5 3" xfId="5089" xr:uid="{00000000-0005-0000-0000-0000DD130000}"/>
    <cellStyle name="40% - Accent6 2 2 5 4" xfId="5090" xr:uid="{00000000-0005-0000-0000-0000DE130000}"/>
    <cellStyle name="40% - Accent6 2 2 6" xfId="5091" xr:uid="{00000000-0005-0000-0000-0000DF130000}"/>
    <cellStyle name="40% - Accent6 2 2 6 2" xfId="5092" xr:uid="{00000000-0005-0000-0000-0000E0130000}"/>
    <cellStyle name="40% - Accent6 2 2 7" xfId="5093" xr:uid="{00000000-0005-0000-0000-0000E1130000}"/>
    <cellStyle name="40% - Accent6 2 2 8" xfId="5094" xr:uid="{00000000-0005-0000-0000-0000E2130000}"/>
    <cellStyle name="40% - Accent6 2 2 9" xfId="5095" xr:uid="{00000000-0005-0000-0000-0000E3130000}"/>
    <cellStyle name="40% - Accent6 2 3" xfId="5096" xr:uid="{00000000-0005-0000-0000-0000E4130000}"/>
    <cellStyle name="40% - Accent6 2 3 2" xfId="5097" xr:uid="{00000000-0005-0000-0000-0000E5130000}"/>
    <cellStyle name="40% - Accent6 2 3 2 2" xfId="5098" xr:uid="{00000000-0005-0000-0000-0000E6130000}"/>
    <cellStyle name="40% - Accent6 2 3 2 2 2" xfId="5099" xr:uid="{00000000-0005-0000-0000-0000E7130000}"/>
    <cellStyle name="40% - Accent6 2 3 2 2 3" xfId="5100" xr:uid="{00000000-0005-0000-0000-0000E8130000}"/>
    <cellStyle name="40% - Accent6 2 3 2 3" xfId="5101" xr:uid="{00000000-0005-0000-0000-0000E9130000}"/>
    <cellStyle name="40% - Accent6 2 3 2 4" xfId="5102" xr:uid="{00000000-0005-0000-0000-0000EA130000}"/>
    <cellStyle name="40% - Accent6 2 3 2 5" xfId="5103" xr:uid="{00000000-0005-0000-0000-0000EB130000}"/>
    <cellStyle name="40% - Accent6 2 3 2 6" xfId="5104" xr:uid="{00000000-0005-0000-0000-0000EC130000}"/>
    <cellStyle name="40% - Accent6 2 3 3" xfId="5105" xr:uid="{00000000-0005-0000-0000-0000ED130000}"/>
    <cellStyle name="40% - Accent6 2 3 3 2" xfId="5106" xr:uid="{00000000-0005-0000-0000-0000EE130000}"/>
    <cellStyle name="40% - Accent6 2 3 3 2 2" xfId="5107" xr:uid="{00000000-0005-0000-0000-0000EF130000}"/>
    <cellStyle name="40% - Accent6 2 3 3 3" xfId="5108" xr:uid="{00000000-0005-0000-0000-0000F0130000}"/>
    <cellStyle name="40% - Accent6 2 3 3 4" xfId="5109" xr:uid="{00000000-0005-0000-0000-0000F1130000}"/>
    <cellStyle name="40% - Accent6 2 3 3 5" xfId="5110" xr:uid="{00000000-0005-0000-0000-0000F2130000}"/>
    <cellStyle name="40% - Accent6 2 3 4" xfId="5111" xr:uid="{00000000-0005-0000-0000-0000F3130000}"/>
    <cellStyle name="40% - Accent6 2 3 4 2" xfId="5112" xr:uid="{00000000-0005-0000-0000-0000F4130000}"/>
    <cellStyle name="40% - Accent6 2 3 4 3" xfId="5113" xr:uid="{00000000-0005-0000-0000-0000F5130000}"/>
    <cellStyle name="40% - Accent6 2 3 4 4" xfId="5114" xr:uid="{00000000-0005-0000-0000-0000F6130000}"/>
    <cellStyle name="40% - Accent6 2 3 5" xfId="5115" xr:uid="{00000000-0005-0000-0000-0000F7130000}"/>
    <cellStyle name="40% - Accent6 2 3 5 2" xfId="5116" xr:uid="{00000000-0005-0000-0000-0000F8130000}"/>
    <cellStyle name="40% - Accent6 2 3 6" xfId="5117" xr:uid="{00000000-0005-0000-0000-0000F9130000}"/>
    <cellStyle name="40% - Accent6 2 3 7" xfId="5118" xr:uid="{00000000-0005-0000-0000-0000FA130000}"/>
    <cellStyle name="40% - Accent6 2 3 8" xfId="5119" xr:uid="{00000000-0005-0000-0000-0000FB130000}"/>
    <cellStyle name="40% - Accent6 2 3 9" xfId="5120" xr:uid="{00000000-0005-0000-0000-0000FC130000}"/>
    <cellStyle name="40% - Accent6 2 4" xfId="5121" xr:uid="{00000000-0005-0000-0000-0000FD130000}"/>
    <cellStyle name="40% - Accent6 2 4 2" xfId="5122" xr:uid="{00000000-0005-0000-0000-0000FE130000}"/>
    <cellStyle name="40% - Accent6 2 4 2 2" xfId="5123" xr:uid="{00000000-0005-0000-0000-0000FF130000}"/>
    <cellStyle name="40% - Accent6 2 4 2 3" xfId="5124" xr:uid="{00000000-0005-0000-0000-000000140000}"/>
    <cellStyle name="40% - Accent6 2 4 3" xfId="5125" xr:uid="{00000000-0005-0000-0000-000001140000}"/>
    <cellStyle name="40% - Accent6 2 4 4" xfId="5126" xr:uid="{00000000-0005-0000-0000-000002140000}"/>
    <cellStyle name="40% - Accent6 2 4 5" xfId="5127" xr:uid="{00000000-0005-0000-0000-000003140000}"/>
    <cellStyle name="40% - Accent6 2 4 6" xfId="5128" xr:uid="{00000000-0005-0000-0000-000004140000}"/>
    <cellStyle name="40% - Accent6 2 5" xfId="5129" xr:uid="{00000000-0005-0000-0000-000005140000}"/>
    <cellStyle name="40% - Accent6 2 5 2" xfId="5130" xr:uid="{00000000-0005-0000-0000-000006140000}"/>
    <cellStyle name="40% - Accent6 2 5 2 2" xfId="5131" xr:uid="{00000000-0005-0000-0000-000007140000}"/>
    <cellStyle name="40% - Accent6 2 5 3" xfId="5132" xr:uid="{00000000-0005-0000-0000-000008140000}"/>
    <cellStyle name="40% - Accent6 2 5 4" xfId="5133" xr:uid="{00000000-0005-0000-0000-000009140000}"/>
    <cellStyle name="40% - Accent6 2 5 5" xfId="5134" xr:uid="{00000000-0005-0000-0000-00000A140000}"/>
    <cellStyle name="40% - Accent6 2 6" xfId="5135" xr:uid="{00000000-0005-0000-0000-00000B140000}"/>
    <cellStyle name="40% - Accent6 2 6 2" xfId="5136" xr:uid="{00000000-0005-0000-0000-00000C140000}"/>
    <cellStyle name="40% - Accent6 2 6 2 2" xfId="5137" xr:uid="{00000000-0005-0000-0000-00000D140000}"/>
    <cellStyle name="40% - Accent6 2 6 3" xfId="5138" xr:uid="{00000000-0005-0000-0000-00000E140000}"/>
    <cellStyle name="40% - Accent6 2 6 4" xfId="5139" xr:uid="{00000000-0005-0000-0000-00000F140000}"/>
    <cellStyle name="40% - Accent6 2 6 5" xfId="5140" xr:uid="{00000000-0005-0000-0000-000010140000}"/>
    <cellStyle name="40% - Accent6 2 7" xfId="5141" xr:uid="{00000000-0005-0000-0000-000011140000}"/>
    <cellStyle name="40% - Accent6 2 7 2" xfId="5142" xr:uid="{00000000-0005-0000-0000-000012140000}"/>
    <cellStyle name="40% - Accent6 2 8" xfId="5143" xr:uid="{00000000-0005-0000-0000-000013140000}"/>
    <cellStyle name="40% - Accent6 2 9" xfId="5144" xr:uid="{00000000-0005-0000-0000-000014140000}"/>
    <cellStyle name="40% - Accent6 3" xfId="5145" xr:uid="{00000000-0005-0000-0000-000015140000}"/>
    <cellStyle name="40% - Accent6 3 10" xfId="5146" xr:uid="{00000000-0005-0000-0000-000016140000}"/>
    <cellStyle name="40% - Accent6 3 2" xfId="5147" xr:uid="{00000000-0005-0000-0000-000017140000}"/>
    <cellStyle name="40% - Accent6 3 2 2" xfId="5148" xr:uid="{00000000-0005-0000-0000-000018140000}"/>
    <cellStyle name="40% - Accent6 3 2 2 2" xfId="5149" xr:uid="{00000000-0005-0000-0000-000019140000}"/>
    <cellStyle name="40% - Accent6 3 2 2 2 2" xfId="5150" xr:uid="{00000000-0005-0000-0000-00001A140000}"/>
    <cellStyle name="40% - Accent6 3 2 2 2 3" xfId="5151" xr:uid="{00000000-0005-0000-0000-00001B140000}"/>
    <cellStyle name="40% - Accent6 3 2 2 3" xfId="5152" xr:uid="{00000000-0005-0000-0000-00001C140000}"/>
    <cellStyle name="40% - Accent6 3 2 2 4" xfId="5153" xr:uid="{00000000-0005-0000-0000-00001D140000}"/>
    <cellStyle name="40% - Accent6 3 2 2 5" xfId="5154" xr:uid="{00000000-0005-0000-0000-00001E140000}"/>
    <cellStyle name="40% - Accent6 3 2 2 6" xfId="5155" xr:uid="{00000000-0005-0000-0000-00001F140000}"/>
    <cellStyle name="40% - Accent6 3 2 3" xfId="5156" xr:uid="{00000000-0005-0000-0000-000020140000}"/>
    <cellStyle name="40% - Accent6 3 2 3 2" xfId="5157" xr:uid="{00000000-0005-0000-0000-000021140000}"/>
    <cellStyle name="40% - Accent6 3 2 3 2 2" xfId="5158" xr:uid="{00000000-0005-0000-0000-000022140000}"/>
    <cellStyle name="40% - Accent6 3 2 3 3" xfId="5159" xr:uid="{00000000-0005-0000-0000-000023140000}"/>
    <cellStyle name="40% - Accent6 3 2 3 4" xfId="5160" xr:uid="{00000000-0005-0000-0000-000024140000}"/>
    <cellStyle name="40% - Accent6 3 2 3 5" xfId="5161" xr:uid="{00000000-0005-0000-0000-000025140000}"/>
    <cellStyle name="40% - Accent6 3 2 4" xfId="5162" xr:uid="{00000000-0005-0000-0000-000026140000}"/>
    <cellStyle name="40% - Accent6 3 2 4 2" xfId="5163" xr:uid="{00000000-0005-0000-0000-000027140000}"/>
    <cellStyle name="40% - Accent6 3 2 4 3" xfId="5164" xr:uid="{00000000-0005-0000-0000-000028140000}"/>
    <cellStyle name="40% - Accent6 3 2 4 4" xfId="5165" xr:uid="{00000000-0005-0000-0000-000029140000}"/>
    <cellStyle name="40% - Accent6 3 2 5" xfId="5166" xr:uid="{00000000-0005-0000-0000-00002A140000}"/>
    <cellStyle name="40% - Accent6 3 2 5 2" xfId="5167" xr:uid="{00000000-0005-0000-0000-00002B140000}"/>
    <cellStyle name="40% - Accent6 3 2 6" xfId="5168" xr:uid="{00000000-0005-0000-0000-00002C140000}"/>
    <cellStyle name="40% - Accent6 3 2 7" xfId="5169" xr:uid="{00000000-0005-0000-0000-00002D140000}"/>
    <cellStyle name="40% - Accent6 3 2 8" xfId="5170" xr:uid="{00000000-0005-0000-0000-00002E140000}"/>
    <cellStyle name="40% - Accent6 3 2 9" xfId="5171" xr:uid="{00000000-0005-0000-0000-00002F140000}"/>
    <cellStyle name="40% - Accent6 3 3" xfId="5172" xr:uid="{00000000-0005-0000-0000-000030140000}"/>
    <cellStyle name="40% - Accent6 3 3 2" xfId="5173" xr:uid="{00000000-0005-0000-0000-000031140000}"/>
    <cellStyle name="40% - Accent6 3 3 2 2" xfId="5174" xr:uid="{00000000-0005-0000-0000-000032140000}"/>
    <cellStyle name="40% - Accent6 3 3 2 3" xfId="5175" xr:uid="{00000000-0005-0000-0000-000033140000}"/>
    <cellStyle name="40% - Accent6 3 3 3" xfId="5176" xr:uid="{00000000-0005-0000-0000-000034140000}"/>
    <cellStyle name="40% - Accent6 3 3 4" xfId="5177" xr:uid="{00000000-0005-0000-0000-000035140000}"/>
    <cellStyle name="40% - Accent6 3 3 5" xfId="5178" xr:uid="{00000000-0005-0000-0000-000036140000}"/>
    <cellStyle name="40% - Accent6 3 3 6" xfId="5179" xr:uid="{00000000-0005-0000-0000-000037140000}"/>
    <cellStyle name="40% - Accent6 3 4" xfId="5180" xr:uid="{00000000-0005-0000-0000-000038140000}"/>
    <cellStyle name="40% - Accent6 3 4 2" xfId="5181" xr:uid="{00000000-0005-0000-0000-000039140000}"/>
    <cellStyle name="40% - Accent6 3 4 2 2" xfId="5182" xr:uid="{00000000-0005-0000-0000-00003A140000}"/>
    <cellStyle name="40% - Accent6 3 4 3" xfId="5183" xr:uid="{00000000-0005-0000-0000-00003B140000}"/>
    <cellStyle name="40% - Accent6 3 4 4" xfId="5184" xr:uid="{00000000-0005-0000-0000-00003C140000}"/>
    <cellStyle name="40% - Accent6 3 4 5" xfId="5185" xr:uid="{00000000-0005-0000-0000-00003D140000}"/>
    <cellStyle name="40% - Accent6 3 5" xfId="5186" xr:uid="{00000000-0005-0000-0000-00003E140000}"/>
    <cellStyle name="40% - Accent6 3 5 2" xfId="5187" xr:uid="{00000000-0005-0000-0000-00003F140000}"/>
    <cellStyle name="40% - Accent6 3 5 2 2" xfId="5188" xr:uid="{00000000-0005-0000-0000-000040140000}"/>
    <cellStyle name="40% - Accent6 3 5 3" xfId="5189" xr:uid="{00000000-0005-0000-0000-000041140000}"/>
    <cellStyle name="40% - Accent6 3 5 4" xfId="5190" xr:uid="{00000000-0005-0000-0000-000042140000}"/>
    <cellStyle name="40% - Accent6 3 5 5" xfId="5191" xr:uid="{00000000-0005-0000-0000-000043140000}"/>
    <cellStyle name="40% - Accent6 3 6" xfId="5192" xr:uid="{00000000-0005-0000-0000-000044140000}"/>
    <cellStyle name="40% - Accent6 3 6 2" xfId="5193" xr:uid="{00000000-0005-0000-0000-000045140000}"/>
    <cellStyle name="40% - Accent6 3 7" xfId="5194" xr:uid="{00000000-0005-0000-0000-000046140000}"/>
    <cellStyle name="40% - Accent6 3 8" xfId="5195" xr:uid="{00000000-0005-0000-0000-000047140000}"/>
    <cellStyle name="40% - Accent6 3 9" xfId="5196" xr:uid="{00000000-0005-0000-0000-000048140000}"/>
    <cellStyle name="40% - Accent6 4" xfId="5197" xr:uid="{00000000-0005-0000-0000-000049140000}"/>
    <cellStyle name="40% - Accent6 4 10" xfId="5198" xr:uid="{00000000-0005-0000-0000-00004A140000}"/>
    <cellStyle name="40% - Accent6 4 2" xfId="5199" xr:uid="{00000000-0005-0000-0000-00004B140000}"/>
    <cellStyle name="40% - Accent6 4 2 2" xfId="5200" xr:uid="{00000000-0005-0000-0000-00004C140000}"/>
    <cellStyle name="40% - Accent6 4 2 2 2" xfId="5201" xr:uid="{00000000-0005-0000-0000-00004D140000}"/>
    <cellStyle name="40% - Accent6 4 2 2 2 2" xfId="5202" xr:uid="{00000000-0005-0000-0000-00004E140000}"/>
    <cellStyle name="40% - Accent6 4 2 2 2 3" xfId="5203" xr:uid="{00000000-0005-0000-0000-00004F140000}"/>
    <cellStyle name="40% - Accent6 4 2 2 3" xfId="5204" xr:uid="{00000000-0005-0000-0000-000050140000}"/>
    <cellStyle name="40% - Accent6 4 2 2 4" xfId="5205" xr:uid="{00000000-0005-0000-0000-000051140000}"/>
    <cellStyle name="40% - Accent6 4 2 2 5" xfId="5206" xr:uid="{00000000-0005-0000-0000-000052140000}"/>
    <cellStyle name="40% - Accent6 4 2 2 6" xfId="5207" xr:uid="{00000000-0005-0000-0000-000053140000}"/>
    <cellStyle name="40% - Accent6 4 2 3" xfId="5208" xr:uid="{00000000-0005-0000-0000-000054140000}"/>
    <cellStyle name="40% - Accent6 4 2 3 2" xfId="5209" xr:uid="{00000000-0005-0000-0000-000055140000}"/>
    <cellStyle name="40% - Accent6 4 2 3 2 2" xfId="5210" xr:uid="{00000000-0005-0000-0000-000056140000}"/>
    <cellStyle name="40% - Accent6 4 2 3 3" xfId="5211" xr:uid="{00000000-0005-0000-0000-000057140000}"/>
    <cellStyle name="40% - Accent6 4 2 3 4" xfId="5212" xr:uid="{00000000-0005-0000-0000-000058140000}"/>
    <cellStyle name="40% - Accent6 4 2 3 5" xfId="5213" xr:uid="{00000000-0005-0000-0000-000059140000}"/>
    <cellStyle name="40% - Accent6 4 2 4" xfId="5214" xr:uid="{00000000-0005-0000-0000-00005A140000}"/>
    <cellStyle name="40% - Accent6 4 2 4 2" xfId="5215" xr:uid="{00000000-0005-0000-0000-00005B140000}"/>
    <cellStyle name="40% - Accent6 4 2 4 3" xfId="5216" xr:uid="{00000000-0005-0000-0000-00005C140000}"/>
    <cellStyle name="40% - Accent6 4 2 4 4" xfId="5217" xr:uid="{00000000-0005-0000-0000-00005D140000}"/>
    <cellStyle name="40% - Accent6 4 2 5" xfId="5218" xr:uid="{00000000-0005-0000-0000-00005E140000}"/>
    <cellStyle name="40% - Accent6 4 2 5 2" xfId="5219" xr:uid="{00000000-0005-0000-0000-00005F140000}"/>
    <cellStyle name="40% - Accent6 4 2 6" xfId="5220" xr:uid="{00000000-0005-0000-0000-000060140000}"/>
    <cellStyle name="40% - Accent6 4 2 7" xfId="5221" xr:uid="{00000000-0005-0000-0000-000061140000}"/>
    <cellStyle name="40% - Accent6 4 2 8" xfId="5222" xr:uid="{00000000-0005-0000-0000-000062140000}"/>
    <cellStyle name="40% - Accent6 4 2 9" xfId="5223" xr:uid="{00000000-0005-0000-0000-000063140000}"/>
    <cellStyle name="40% - Accent6 4 3" xfId="5224" xr:uid="{00000000-0005-0000-0000-000064140000}"/>
    <cellStyle name="40% - Accent6 4 3 2" xfId="5225" xr:uid="{00000000-0005-0000-0000-000065140000}"/>
    <cellStyle name="40% - Accent6 4 3 2 2" xfId="5226" xr:uid="{00000000-0005-0000-0000-000066140000}"/>
    <cellStyle name="40% - Accent6 4 3 2 3" xfId="5227" xr:uid="{00000000-0005-0000-0000-000067140000}"/>
    <cellStyle name="40% - Accent6 4 3 3" xfId="5228" xr:uid="{00000000-0005-0000-0000-000068140000}"/>
    <cellStyle name="40% - Accent6 4 3 4" xfId="5229" xr:uid="{00000000-0005-0000-0000-000069140000}"/>
    <cellStyle name="40% - Accent6 4 3 5" xfId="5230" xr:uid="{00000000-0005-0000-0000-00006A140000}"/>
    <cellStyle name="40% - Accent6 4 3 6" xfId="5231" xr:uid="{00000000-0005-0000-0000-00006B140000}"/>
    <cellStyle name="40% - Accent6 4 4" xfId="5232" xr:uid="{00000000-0005-0000-0000-00006C140000}"/>
    <cellStyle name="40% - Accent6 4 4 2" xfId="5233" xr:uid="{00000000-0005-0000-0000-00006D140000}"/>
    <cellStyle name="40% - Accent6 4 4 2 2" xfId="5234" xr:uid="{00000000-0005-0000-0000-00006E140000}"/>
    <cellStyle name="40% - Accent6 4 4 3" xfId="5235" xr:uid="{00000000-0005-0000-0000-00006F140000}"/>
    <cellStyle name="40% - Accent6 4 4 4" xfId="5236" xr:uid="{00000000-0005-0000-0000-000070140000}"/>
    <cellStyle name="40% - Accent6 4 4 5" xfId="5237" xr:uid="{00000000-0005-0000-0000-000071140000}"/>
    <cellStyle name="40% - Accent6 4 5" xfId="5238" xr:uid="{00000000-0005-0000-0000-000072140000}"/>
    <cellStyle name="40% - Accent6 4 5 2" xfId="5239" xr:uid="{00000000-0005-0000-0000-000073140000}"/>
    <cellStyle name="40% - Accent6 4 5 2 2" xfId="5240" xr:uid="{00000000-0005-0000-0000-000074140000}"/>
    <cellStyle name="40% - Accent6 4 5 3" xfId="5241" xr:uid="{00000000-0005-0000-0000-000075140000}"/>
    <cellStyle name="40% - Accent6 4 5 4" xfId="5242" xr:uid="{00000000-0005-0000-0000-000076140000}"/>
    <cellStyle name="40% - Accent6 4 5 5" xfId="5243" xr:uid="{00000000-0005-0000-0000-000077140000}"/>
    <cellStyle name="40% - Accent6 4 6" xfId="5244" xr:uid="{00000000-0005-0000-0000-000078140000}"/>
    <cellStyle name="40% - Accent6 4 6 2" xfId="5245" xr:uid="{00000000-0005-0000-0000-000079140000}"/>
    <cellStyle name="40% - Accent6 4 7" xfId="5246" xr:uid="{00000000-0005-0000-0000-00007A140000}"/>
    <cellStyle name="40% - Accent6 4 8" xfId="5247" xr:uid="{00000000-0005-0000-0000-00007B140000}"/>
    <cellStyle name="40% - Accent6 4 9" xfId="5248" xr:uid="{00000000-0005-0000-0000-00007C140000}"/>
    <cellStyle name="40% - Accent6 5" xfId="5249" xr:uid="{00000000-0005-0000-0000-00007D140000}"/>
    <cellStyle name="40% - Accent6 5 10" xfId="5250" xr:uid="{00000000-0005-0000-0000-00007E140000}"/>
    <cellStyle name="40% - Accent6 5 2" xfId="5251" xr:uid="{00000000-0005-0000-0000-00007F140000}"/>
    <cellStyle name="40% - Accent6 5 2 2" xfId="5252" xr:uid="{00000000-0005-0000-0000-000080140000}"/>
    <cellStyle name="40% - Accent6 5 2 2 2" xfId="5253" xr:uid="{00000000-0005-0000-0000-000081140000}"/>
    <cellStyle name="40% - Accent6 5 2 2 2 2" xfId="5254" xr:uid="{00000000-0005-0000-0000-000082140000}"/>
    <cellStyle name="40% - Accent6 5 2 2 2 3" xfId="5255" xr:uid="{00000000-0005-0000-0000-000083140000}"/>
    <cellStyle name="40% - Accent6 5 2 2 3" xfId="5256" xr:uid="{00000000-0005-0000-0000-000084140000}"/>
    <cellStyle name="40% - Accent6 5 2 2 4" xfId="5257" xr:uid="{00000000-0005-0000-0000-000085140000}"/>
    <cellStyle name="40% - Accent6 5 2 2 5" xfId="5258" xr:uid="{00000000-0005-0000-0000-000086140000}"/>
    <cellStyle name="40% - Accent6 5 2 2 6" xfId="5259" xr:uid="{00000000-0005-0000-0000-000087140000}"/>
    <cellStyle name="40% - Accent6 5 2 3" xfId="5260" xr:uid="{00000000-0005-0000-0000-000088140000}"/>
    <cellStyle name="40% - Accent6 5 2 3 2" xfId="5261" xr:uid="{00000000-0005-0000-0000-000089140000}"/>
    <cellStyle name="40% - Accent6 5 2 3 2 2" xfId="5262" xr:uid="{00000000-0005-0000-0000-00008A140000}"/>
    <cellStyle name="40% - Accent6 5 2 3 3" xfId="5263" xr:uid="{00000000-0005-0000-0000-00008B140000}"/>
    <cellStyle name="40% - Accent6 5 2 3 4" xfId="5264" xr:uid="{00000000-0005-0000-0000-00008C140000}"/>
    <cellStyle name="40% - Accent6 5 2 3 5" xfId="5265" xr:uid="{00000000-0005-0000-0000-00008D140000}"/>
    <cellStyle name="40% - Accent6 5 2 4" xfId="5266" xr:uid="{00000000-0005-0000-0000-00008E140000}"/>
    <cellStyle name="40% - Accent6 5 2 4 2" xfId="5267" xr:uid="{00000000-0005-0000-0000-00008F140000}"/>
    <cellStyle name="40% - Accent6 5 2 4 3" xfId="5268" xr:uid="{00000000-0005-0000-0000-000090140000}"/>
    <cellStyle name="40% - Accent6 5 2 4 4" xfId="5269" xr:uid="{00000000-0005-0000-0000-000091140000}"/>
    <cellStyle name="40% - Accent6 5 2 5" xfId="5270" xr:uid="{00000000-0005-0000-0000-000092140000}"/>
    <cellStyle name="40% - Accent6 5 2 5 2" xfId="5271" xr:uid="{00000000-0005-0000-0000-000093140000}"/>
    <cellStyle name="40% - Accent6 5 2 6" xfId="5272" xr:uid="{00000000-0005-0000-0000-000094140000}"/>
    <cellStyle name="40% - Accent6 5 2 7" xfId="5273" xr:uid="{00000000-0005-0000-0000-000095140000}"/>
    <cellStyle name="40% - Accent6 5 2 8" xfId="5274" xr:uid="{00000000-0005-0000-0000-000096140000}"/>
    <cellStyle name="40% - Accent6 5 2 9" xfId="5275" xr:uid="{00000000-0005-0000-0000-000097140000}"/>
    <cellStyle name="40% - Accent6 5 3" xfId="5276" xr:uid="{00000000-0005-0000-0000-000098140000}"/>
    <cellStyle name="40% - Accent6 5 3 2" xfId="5277" xr:uid="{00000000-0005-0000-0000-000099140000}"/>
    <cellStyle name="40% - Accent6 5 3 2 2" xfId="5278" xr:uid="{00000000-0005-0000-0000-00009A140000}"/>
    <cellStyle name="40% - Accent6 5 3 2 3" xfId="5279" xr:uid="{00000000-0005-0000-0000-00009B140000}"/>
    <cellStyle name="40% - Accent6 5 3 3" xfId="5280" xr:uid="{00000000-0005-0000-0000-00009C140000}"/>
    <cellStyle name="40% - Accent6 5 3 4" xfId="5281" xr:uid="{00000000-0005-0000-0000-00009D140000}"/>
    <cellStyle name="40% - Accent6 5 3 5" xfId="5282" xr:uid="{00000000-0005-0000-0000-00009E140000}"/>
    <cellStyle name="40% - Accent6 5 3 6" xfId="5283" xr:uid="{00000000-0005-0000-0000-00009F140000}"/>
    <cellStyle name="40% - Accent6 5 4" xfId="5284" xr:uid="{00000000-0005-0000-0000-0000A0140000}"/>
    <cellStyle name="40% - Accent6 5 4 2" xfId="5285" xr:uid="{00000000-0005-0000-0000-0000A1140000}"/>
    <cellStyle name="40% - Accent6 5 4 2 2" xfId="5286" xr:uid="{00000000-0005-0000-0000-0000A2140000}"/>
    <cellStyle name="40% - Accent6 5 4 3" xfId="5287" xr:uid="{00000000-0005-0000-0000-0000A3140000}"/>
    <cellStyle name="40% - Accent6 5 4 4" xfId="5288" xr:uid="{00000000-0005-0000-0000-0000A4140000}"/>
    <cellStyle name="40% - Accent6 5 4 5" xfId="5289" xr:uid="{00000000-0005-0000-0000-0000A5140000}"/>
    <cellStyle name="40% - Accent6 5 5" xfId="5290" xr:uid="{00000000-0005-0000-0000-0000A6140000}"/>
    <cellStyle name="40% - Accent6 5 5 2" xfId="5291" xr:uid="{00000000-0005-0000-0000-0000A7140000}"/>
    <cellStyle name="40% - Accent6 5 5 3" xfId="5292" xr:uid="{00000000-0005-0000-0000-0000A8140000}"/>
    <cellStyle name="40% - Accent6 5 5 4" xfId="5293" xr:uid="{00000000-0005-0000-0000-0000A9140000}"/>
    <cellStyle name="40% - Accent6 5 6" xfId="5294" xr:uid="{00000000-0005-0000-0000-0000AA140000}"/>
    <cellStyle name="40% - Accent6 5 6 2" xfId="5295" xr:uid="{00000000-0005-0000-0000-0000AB140000}"/>
    <cellStyle name="40% - Accent6 5 7" xfId="5296" xr:uid="{00000000-0005-0000-0000-0000AC140000}"/>
    <cellStyle name="40% - Accent6 5 8" xfId="5297" xr:uid="{00000000-0005-0000-0000-0000AD140000}"/>
    <cellStyle name="40% - Accent6 5 9" xfId="5298" xr:uid="{00000000-0005-0000-0000-0000AE140000}"/>
    <cellStyle name="40% - Accent6 6" xfId="5299" xr:uid="{00000000-0005-0000-0000-0000AF140000}"/>
    <cellStyle name="40% - Accent6 6 10" xfId="5300" xr:uid="{00000000-0005-0000-0000-0000B0140000}"/>
    <cellStyle name="40% - Accent6 6 2" xfId="5301" xr:uid="{00000000-0005-0000-0000-0000B1140000}"/>
    <cellStyle name="40% - Accent6 6 2 2" xfId="5302" xr:uid="{00000000-0005-0000-0000-0000B2140000}"/>
    <cellStyle name="40% - Accent6 6 2 2 2" xfId="5303" xr:uid="{00000000-0005-0000-0000-0000B3140000}"/>
    <cellStyle name="40% - Accent6 6 2 2 2 2" xfId="5304" xr:uid="{00000000-0005-0000-0000-0000B4140000}"/>
    <cellStyle name="40% - Accent6 6 2 2 2 3" xfId="5305" xr:uid="{00000000-0005-0000-0000-0000B5140000}"/>
    <cellStyle name="40% - Accent6 6 2 2 3" xfId="5306" xr:uid="{00000000-0005-0000-0000-0000B6140000}"/>
    <cellStyle name="40% - Accent6 6 2 2 4" xfId="5307" xr:uid="{00000000-0005-0000-0000-0000B7140000}"/>
    <cellStyle name="40% - Accent6 6 2 2 5" xfId="5308" xr:uid="{00000000-0005-0000-0000-0000B8140000}"/>
    <cellStyle name="40% - Accent6 6 2 2 6" xfId="5309" xr:uid="{00000000-0005-0000-0000-0000B9140000}"/>
    <cellStyle name="40% - Accent6 6 2 3" xfId="5310" xr:uid="{00000000-0005-0000-0000-0000BA140000}"/>
    <cellStyle name="40% - Accent6 6 2 3 2" xfId="5311" xr:uid="{00000000-0005-0000-0000-0000BB140000}"/>
    <cellStyle name="40% - Accent6 6 2 3 2 2" xfId="5312" xr:uid="{00000000-0005-0000-0000-0000BC140000}"/>
    <cellStyle name="40% - Accent6 6 2 3 3" xfId="5313" xr:uid="{00000000-0005-0000-0000-0000BD140000}"/>
    <cellStyle name="40% - Accent6 6 2 3 4" xfId="5314" xr:uid="{00000000-0005-0000-0000-0000BE140000}"/>
    <cellStyle name="40% - Accent6 6 2 3 5" xfId="5315" xr:uid="{00000000-0005-0000-0000-0000BF140000}"/>
    <cellStyle name="40% - Accent6 6 2 4" xfId="5316" xr:uid="{00000000-0005-0000-0000-0000C0140000}"/>
    <cellStyle name="40% - Accent6 6 2 4 2" xfId="5317" xr:uid="{00000000-0005-0000-0000-0000C1140000}"/>
    <cellStyle name="40% - Accent6 6 2 4 3" xfId="5318" xr:uid="{00000000-0005-0000-0000-0000C2140000}"/>
    <cellStyle name="40% - Accent6 6 2 4 4" xfId="5319" xr:uid="{00000000-0005-0000-0000-0000C3140000}"/>
    <cellStyle name="40% - Accent6 6 2 5" xfId="5320" xr:uid="{00000000-0005-0000-0000-0000C4140000}"/>
    <cellStyle name="40% - Accent6 6 2 5 2" xfId="5321" xr:uid="{00000000-0005-0000-0000-0000C5140000}"/>
    <cellStyle name="40% - Accent6 6 2 6" xfId="5322" xr:uid="{00000000-0005-0000-0000-0000C6140000}"/>
    <cellStyle name="40% - Accent6 6 2 7" xfId="5323" xr:uid="{00000000-0005-0000-0000-0000C7140000}"/>
    <cellStyle name="40% - Accent6 6 2 8" xfId="5324" xr:uid="{00000000-0005-0000-0000-0000C8140000}"/>
    <cellStyle name="40% - Accent6 6 2 9" xfId="5325" xr:uid="{00000000-0005-0000-0000-0000C9140000}"/>
    <cellStyle name="40% - Accent6 6 3" xfId="5326" xr:uid="{00000000-0005-0000-0000-0000CA140000}"/>
    <cellStyle name="40% - Accent6 6 3 2" xfId="5327" xr:uid="{00000000-0005-0000-0000-0000CB140000}"/>
    <cellStyle name="40% - Accent6 6 3 2 2" xfId="5328" xr:uid="{00000000-0005-0000-0000-0000CC140000}"/>
    <cellStyle name="40% - Accent6 6 3 2 3" xfId="5329" xr:uid="{00000000-0005-0000-0000-0000CD140000}"/>
    <cellStyle name="40% - Accent6 6 3 3" xfId="5330" xr:uid="{00000000-0005-0000-0000-0000CE140000}"/>
    <cellStyle name="40% - Accent6 6 3 4" xfId="5331" xr:uid="{00000000-0005-0000-0000-0000CF140000}"/>
    <cellStyle name="40% - Accent6 6 3 5" xfId="5332" xr:uid="{00000000-0005-0000-0000-0000D0140000}"/>
    <cellStyle name="40% - Accent6 6 3 6" xfId="5333" xr:uid="{00000000-0005-0000-0000-0000D1140000}"/>
    <cellStyle name="40% - Accent6 6 4" xfId="5334" xr:uid="{00000000-0005-0000-0000-0000D2140000}"/>
    <cellStyle name="40% - Accent6 6 4 2" xfId="5335" xr:uid="{00000000-0005-0000-0000-0000D3140000}"/>
    <cellStyle name="40% - Accent6 6 4 2 2" xfId="5336" xr:uid="{00000000-0005-0000-0000-0000D4140000}"/>
    <cellStyle name="40% - Accent6 6 4 3" xfId="5337" xr:uid="{00000000-0005-0000-0000-0000D5140000}"/>
    <cellStyle name="40% - Accent6 6 4 4" xfId="5338" xr:uid="{00000000-0005-0000-0000-0000D6140000}"/>
    <cellStyle name="40% - Accent6 6 4 5" xfId="5339" xr:uid="{00000000-0005-0000-0000-0000D7140000}"/>
    <cellStyle name="40% - Accent6 6 5" xfId="5340" xr:uid="{00000000-0005-0000-0000-0000D8140000}"/>
    <cellStyle name="40% - Accent6 6 5 2" xfId="5341" xr:uid="{00000000-0005-0000-0000-0000D9140000}"/>
    <cellStyle name="40% - Accent6 6 5 3" xfId="5342" xr:uid="{00000000-0005-0000-0000-0000DA140000}"/>
    <cellStyle name="40% - Accent6 6 5 4" xfId="5343" xr:uid="{00000000-0005-0000-0000-0000DB140000}"/>
    <cellStyle name="40% - Accent6 6 6" xfId="5344" xr:uid="{00000000-0005-0000-0000-0000DC140000}"/>
    <cellStyle name="40% - Accent6 6 6 2" xfId="5345" xr:uid="{00000000-0005-0000-0000-0000DD140000}"/>
    <cellStyle name="40% - Accent6 6 7" xfId="5346" xr:uid="{00000000-0005-0000-0000-0000DE140000}"/>
    <cellStyle name="40% - Accent6 6 8" xfId="5347" xr:uid="{00000000-0005-0000-0000-0000DF140000}"/>
    <cellStyle name="40% - Accent6 6 9" xfId="5348" xr:uid="{00000000-0005-0000-0000-0000E0140000}"/>
    <cellStyle name="40% - Accent6 7" xfId="5349" xr:uid="{00000000-0005-0000-0000-0000E1140000}"/>
    <cellStyle name="40% - Accent6 7 2" xfId="5350" xr:uid="{00000000-0005-0000-0000-0000E2140000}"/>
    <cellStyle name="40% - Accent6 7 2 2" xfId="5351" xr:uid="{00000000-0005-0000-0000-0000E3140000}"/>
    <cellStyle name="40% - Accent6 7 2 2 2" xfId="5352" xr:uid="{00000000-0005-0000-0000-0000E4140000}"/>
    <cellStyle name="40% - Accent6 7 2 2 3" xfId="5353" xr:uid="{00000000-0005-0000-0000-0000E5140000}"/>
    <cellStyle name="40% - Accent6 7 2 3" xfId="5354" xr:uid="{00000000-0005-0000-0000-0000E6140000}"/>
    <cellStyle name="40% - Accent6 7 2 4" xfId="5355" xr:uid="{00000000-0005-0000-0000-0000E7140000}"/>
    <cellStyle name="40% - Accent6 7 2 5" xfId="5356" xr:uid="{00000000-0005-0000-0000-0000E8140000}"/>
    <cellStyle name="40% - Accent6 7 2 6" xfId="5357" xr:uid="{00000000-0005-0000-0000-0000E9140000}"/>
    <cellStyle name="40% - Accent6 7 3" xfId="5358" xr:uid="{00000000-0005-0000-0000-0000EA140000}"/>
    <cellStyle name="40% - Accent6 7 3 2" xfId="5359" xr:uid="{00000000-0005-0000-0000-0000EB140000}"/>
    <cellStyle name="40% - Accent6 7 3 2 2" xfId="5360" xr:uid="{00000000-0005-0000-0000-0000EC140000}"/>
    <cellStyle name="40% - Accent6 7 3 3" xfId="5361" xr:uid="{00000000-0005-0000-0000-0000ED140000}"/>
    <cellStyle name="40% - Accent6 7 3 4" xfId="5362" xr:uid="{00000000-0005-0000-0000-0000EE140000}"/>
    <cellStyle name="40% - Accent6 7 3 5" xfId="5363" xr:uid="{00000000-0005-0000-0000-0000EF140000}"/>
    <cellStyle name="40% - Accent6 7 4" xfId="5364" xr:uid="{00000000-0005-0000-0000-0000F0140000}"/>
    <cellStyle name="40% - Accent6 7 4 2" xfId="5365" xr:uid="{00000000-0005-0000-0000-0000F1140000}"/>
    <cellStyle name="40% - Accent6 7 4 3" xfId="5366" xr:uid="{00000000-0005-0000-0000-0000F2140000}"/>
    <cellStyle name="40% - Accent6 7 4 4" xfId="5367" xr:uid="{00000000-0005-0000-0000-0000F3140000}"/>
    <cellStyle name="40% - Accent6 7 5" xfId="5368" xr:uid="{00000000-0005-0000-0000-0000F4140000}"/>
    <cellStyle name="40% - Accent6 7 5 2" xfId="5369" xr:uid="{00000000-0005-0000-0000-0000F5140000}"/>
    <cellStyle name="40% - Accent6 7 6" xfId="5370" xr:uid="{00000000-0005-0000-0000-0000F6140000}"/>
    <cellStyle name="40% - Accent6 7 7" xfId="5371" xr:uid="{00000000-0005-0000-0000-0000F7140000}"/>
    <cellStyle name="40% - Accent6 7 8" xfId="5372" xr:uid="{00000000-0005-0000-0000-0000F8140000}"/>
    <cellStyle name="40% - Accent6 7 9" xfId="5373" xr:uid="{00000000-0005-0000-0000-0000F9140000}"/>
    <cellStyle name="40% - Accent6 8" xfId="5374" xr:uid="{00000000-0005-0000-0000-0000FA140000}"/>
    <cellStyle name="40% - Accent6 8 2" xfId="5375" xr:uid="{00000000-0005-0000-0000-0000FB140000}"/>
    <cellStyle name="40% - Accent6 8 2 2" xfId="5376" xr:uid="{00000000-0005-0000-0000-0000FC140000}"/>
    <cellStyle name="40% - Accent6 8 2 2 2" xfId="5377" xr:uid="{00000000-0005-0000-0000-0000FD140000}"/>
    <cellStyle name="40% - Accent6 8 2 2 3" xfId="5378" xr:uid="{00000000-0005-0000-0000-0000FE140000}"/>
    <cellStyle name="40% - Accent6 8 2 3" xfId="5379" xr:uid="{00000000-0005-0000-0000-0000FF140000}"/>
    <cellStyle name="40% - Accent6 8 2 4" xfId="5380" xr:uid="{00000000-0005-0000-0000-000000150000}"/>
    <cellStyle name="40% - Accent6 8 2 5" xfId="5381" xr:uid="{00000000-0005-0000-0000-000001150000}"/>
    <cellStyle name="40% - Accent6 8 2 6" xfId="5382" xr:uid="{00000000-0005-0000-0000-000002150000}"/>
    <cellStyle name="40% - Accent6 8 3" xfId="5383" xr:uid="{00000000-0005-0000-0000-000003150000}"/>
    <cellStyle name="40% - Accent6 8 3 2" xfId="5384" xr:uid="{00000000-0005-0000-0000-000004150000}"/>
    <cellStyle name="40% - Accent6 8 3 2 2" xfId="5385" xr:uid="{00000000-0005-0000-0000-000005150000}"/>
    <cellStyle name="40% - Accent6 8 3 3" xfId="5386" xr:uid="{00000000-0005-0000-0000-000006150000}"/>
    <cellStyle name="40% - Accent6 8 3 4" xfId="5387" xr:uid="{00000000-0005-0000-0000-000007150000}"/>
    <cellStyle name="40% - Accent6 8 3 5" xfId="5388" xr:uid="{00000000-0005-0000-0000-000008150000}"/>
    <cellStyle name="40% - Accent6 8 4" xfId="5389" xr:uid="{00000000-0005-0000-0000-000009150000}"/>
    <cellStyle name="40% - Accent6 8 4 2" xfId="5390" xr:uid="{00000000-0005-0000-0000-00000A150000}"/>
    <cellStyle name="40% - Accent6 8 4 3" xfId="5391" xr:uid="{00000000-0005-0000-0000-00000B150000}"/>
    <cellStyle name="40% - Accent6 8 4 4" xfId="5392" xr:uid="{00000000-0005-0000-0000-00000C150000}"/>
    <cellStyle name="40% - Accent6 8 5" xfId="5393" xr:uid="{00000000-0005-0000-0000-00000D150000}"/>
    <cellStyle name="40% - Accent6 8 5 2" xfId="5394" xr:uid="{00000000-0005-0000-0000-00000E150000}"/>
    <cellStyle name="40% - Accent6 8 6" xfId="5395" xr:uid="{00000000-0005-0000-0000-00000F150000}"/>
    <cellStyle name="40% - Accent6 8 7" xfId="5396" xr:uid="{00000000-0005-0000-0000-000010150000}"/>
    <cellStyle name="40% - Accent6 8 8" xfId="5397" xr:uid="{00000000-0005-0000-0000-000011150000}"/>
    <cellStyle name="40% - Accent6 8 9" xfId="5398" xr:uid="{00000000-0005-0000-0000-000012150000}"/>
    <cellStyle name="40% - Accent6 9" xfId="5399" xr:uid="{00000000-0005-0000-0000-000013150000}"/>
    <cellStyle name="40% - Accent6 9 2" xfId="5400" xr:uid="{00000000-0005-0000-0000-000014150000}"/>
    <cellStyle name="40% - Accent6 9 2 2" xfId="5401" xr:uid="{00000000-0005-0000-0000-000015150000}"/>
    <cellStyle name="40% - Accent6 9 2 2 2" xfId="5402" xr:uid="{00000000-0005-0000-0000-000016150000}"/>
    <cellStyle name="40% - Accent6 9 2 3" xfId="5403" xr:uid="{00000000-0005-0000-0000-000017150000}"/>
    <cellStyle name="40% - Accent6 9 2 4" xfId="5404" xr:uid="{00000000-0005-0000-0000-000018150000}"/>
    <cellStyle name="40% - Accent6 9 2 5" xfId="5405" xr:uid="{00000000-0005-0000-0000-000019150000}"/>
    <cellStyle name="40% - Accent6 9 3" xfId="5406" xr:uid="{00000000-0005-0000-0000-00001A150000}"/>
    <cellStyle name="40% - Accent6 9 3 2" xfId="5407" xr:uid="{00000000-0005-0000-0000-00001B150000}"/>
    <cellStyle name="40% - Accent6 9 3 3" xfId="5408" xr:uid="{00000000-0005-0000-0000-00001C150000}"/>
    <cellStyle name="40% - Accent6 9 3 4" xfId="5409" xr:uid="{00000000-0005-0000-0000-00001D150000}"/>
    <cellStyle name="40% - Accent6 9 4" xfId="5410" xr:uid="{00000000-0005-0000-0000-00001E150000}"/>
    <cellStyle name="40% - Accent6 9 4 2" xfId="5411" xr:uid="{00000000-0005-0000-0000-00001F150000}"/>
    <cellStyle name="40% - Accent6 9 5" xfId="5412" xr:uid="{00000000-0005-0000-0000-000020150000}"/>
    <cellStyle name="40% - Accent6 9 6" xfId="5413" xr:uid="{00000000-0005-0000-0000-000021150000}"/>
    <cellStyle name="40% - Accent6 9 7" xfId="5414" xr:uid="{00000000-0005-0000-0000-000022150000}"/>
    <cellStyle name="40% - Accent6 9 8" xfId="5415" xr:uid="{00000000-0005-0000-0000-000023150000}"/>
    <cellStyle name="C00A" xfId="5416" xr:uid="{00000000-0005-0000-0000-000024150000}"/>
    <cellStyle name="C00B" xfId="5417" xr:uid="{00000000-0005-0000-0000-000025150000}"/>
    <cellStyle name="C00L" xfId="5418" xr:uid="{00000000-0005-0000-0000-000026150000}"/>
    <cellStyle name="C01A" xfId="5419" xr:uid="{00000000-0005-0000-0000-000027150000}"/>
    <cellStyle name="C01B" xfId="5420" xr:uid="{00000000-0005-0000-0000-000028150000}"/>
    <cellStyle name="C01H" xfId="5421" xr:uid="{00000000-0005-0000-0000-000029150000}"/>
    <cellStyle name="C01L" xfId="5422" xr:uid="{00000000-0005-0000-0000-00002A150000}"/>
    <cellStyle name="C02A" xfId="5423" xr:uid="{00000000-0005-0000-0000-00002B150000}"/>
    <cellStyle name="C02B" xfId="5424" xr:uid="{00000000-0005-0000-0000-00002C150000}"/>
    <cellStyle name="C02H" xfId="5425" xr:uid="{00000000-0005-0000-0000-00002D150000}"/>
    <cellStyle name="C02L" xfId="5426" xr:uid="{00000000-0005-0000-0000-00002E150000}"/>
    <cellStyle name="C03A" xfId="5427" xr:uid="{00000000-0005-0000-0000-00002F150000}"/>
    <cellStyle name="C03B" xfId="5428" xr:uid="{00000000-0005-0000-0000-000030150000}"/>
    <cellStyle name="C03H" xfId="5429" xr:uid="{00000000-0005-0000-0000-000031150000}"/>
    <cellStyle name="C03L" xfId="5430" xr:uid="{00000000-0005-0000-0000-000032150000}"/>
    <cellStyle name="C04A" xfId="5431" xr:uid="{00000000-0005-0000-0000-000033150000}"/>
    <cellStyle name="C04B" xfId="5432" xr:uid="{00000000-0005-0000-0000-000034150000}"/>
    <cellStyle name="C04H" xfId="5433" xr:uid="{00000000-0005-0000-0000-000035150000}"/>
    <cellStyle name="C04L" xfId="5434" xr:uid="{00000000-0005-0000-0000-000036150000}"/>
    <cellStyle name="C05A" xfId="5435" xr:uid="{00000000-0005-0000-0000-000037150000}"/>
    <cellStyle name="C05B" xfId="5436" xr:uid="{00000000-0005-0000-0000-000038150000}"/>
    <cellStyle name="C05H" xfId="5437" xr:uid="{00000000-0005-0000-0000-000039150000}"/>
    <cellStyle name="C05L" xfId="5438" xr:uid="{00000000-0005-0000-0000-00003A150000}"/>
    <cellStyle name="C06A" xfId="5439" xr:uid="{00000000-0005-0000-0000-00003B150000}"/>
    <cellStyle name="C06B" xfId="5440" xr:uid="{00000000-0005-0000-0000-00003C150000}"/>
    <cellStyle name="C06H" xfId="5441" xr:uid="{00000000-0005-0000-0000-00003D150000}"/>
    <cellStyle name="C06L" xfId="5442" xr:uid="{00000000-0005-0000-0000-00003E150000}"/>
    <cellStyle name="C07A" xfId="5443" xr:uid="{00000000-0005-0000-0000-00003F150000}"/>
    <cellStyle name="C07B" xfId="5444" xr:uid="{00000000-0005-0000-0000-000040150000}"/>
    <cellStyle name="C07H" xfId="5445" xr:uid="{00000000-0005-0000-0000-000041150000}"/>
    <cellStyle name="C07L" xfId="5446" xr:uid="{00000000-0005-0000-0000-000042150000}"/>
    <cellStyle name="Comma" xfId="1" builtinId="3"/>
    <cellStyle name="Comma 10" xfId="5447" xr:uid="{00000000-0005-0000-0000-000044150000}"/>
    <cellStyle name="Comma 11" xfId="5448" xr:uid="{00000000-0005-0000-0000-000045150000}"/>
    <cellStyle name="Comma 12" xfId="5449" xr:uid="{00000000-0005-0000-0000-000046150000}"/>
    <cellStyle name="Comma 13" xfId="5450" xr:uid="{00000000-0005-0000-0000-000047150000}"/>
    <cellStyle name="Comma 14" xfId="5451" xr:uid="{00000000-0005-0000-0000-000048150000}"/>
    <cellStyle name="Comma 15" xfId="5452" xr:uid="{00000000-0005-0000-0000-000049150000}"/>
    <cellStyle name="Comma 16" xfId="5453" xr:uid="{00000000-0005-0000-0000-00004A150000}"/>
    <cellStyle name="Comma 17" xfId="5454" xr:uid="{00000000-0005-0000-0000-00004B150000}"/>
    <cellStyle name="Comma 18" xfId="5455" xr:uid="{00000000-0005-0000-0000-00004C150000}"/>
    <cellStyle name="Comma 19" xfId="5456" xr:uid="{00000000-0005-0000-0000-00004D150000}"/>
    <cellStyle name="Comma 2" xfId="5457" xr:uid="{00000000-0005-0000-0000-00004E150000}"/>
    <cellStyle name="Comma 2 10" xfId="5458" xr:uid="{00000000-0005-0000-0000-00004F150000}"/>
    <cellStyle name="Comma 2 10 10" xfId="5459" xr:uid="{00000000-0005-0000-0000-000050150000}"/>
    <cellStyle name="Comma 2 10 11" xfId="5460" xr:uid="{00000000-0005-0000-0000-000051150000}"/>
    <cellStyle name="Comma 2 10 2" xfId="5461" xr:uid="{00000000-0005-0000-0000-000052150000}"/>
    <cellStyle name="Comma 2 10 2 2" xfId="5462" xr:uid="{00000000-0005-0000-0000-000053150000}"/>
    <cellStyle name="Comma 2 10 2 2 2" xfId="5463" xr:uid="{00000000-0005-0000-0000-000054150000}"/>
    <cellStyle name="Comma 2 10 2 2 2 2" xfId="5464" xr:uid="{00000000-0005-0000-0000-000055150000}"/>
    <cellStyle name="Comma 2 10 2 2 2 3" xfId="5465" xr:uid="{00000000-0005-0000-0000-000056150000}"/>
    <cellStyle name="Comma 2 10 2 2 3" xfId="5466" xr:uid="{00000000-0005-0000-0000-000057150000}"/>
    <cellStyle name="Comma 2 10 2 2 4" xfId="5467" xr:uid="{00000000-0005-0000-0000-000058150000}"/>
    <cellStyle name="Comma 2 10 2 2 5" xfId="5468" xr:uid="{00000000-0005-0000-0000-000059150000}"/>
    <cellStyle name="Comma 2 10 2 2 6" xfId="5469" xr:uid="{00000000-0005-0000-0000-00005A150000}"/>
    <cellStyle name="Comma 2 10 2 3" xfId="5470" xr:uid="{00000000-0005-0000-0000-00005B150000}"/>
    <cellStyle name="Comma 2 10 2 3 2" xfId="5471" xr:uid="{00000000-0005-0000-0000-00005C150000}"/>
    <cellStyle name="Comma 2 10 2 3 2 2" xfId="5472" xr:uid="{00000000-0005-0000-0000-00005D150000}"/>
    <cellStyle name="Comma 2 10 2 3 3" xfId="5473" xr:uid="{00000000-0005-0000-0000-00005E150000}"/>
    <cellStyle name="Comma 2 10 2 3 4" xfId="5474" xr:uid="{00000000-0005-0000-0000-00005F150000}"/>
    <cellStyle name="Comma 2 10 2 3 5" xfId="5475" xr:uid="{00000000-0005-0000-0000-000060150000}"/>
    <cellStyle name="Comma 2 10 2 4" xfId="5476" xr:uid="{00000000-0005-0000-0000-000061150000}"/>
    <cellStyle name="Comma 2 10 2 4 2" xfId="5477" xr:uid="{00000000-0005-0000-0000-000062150000}"/>
    <cellStyle name="Comma 2 10 2 4 3" xfId="5478" xr:uid="{00000000-0005-0000-0000-000063150000}"/>
    <cellStyle name="Comma 2 10 2 4 4" xfId="5479" xr:uid="{00000000-0005-0000-0000-000064150000}"/>
    <cellStyle name="Comma 2 10 2 5" xfId="5480" xr:uid="{00000000-0005-0000-0000-000065150000}"/>
    <cellStyle name="Comma 2 10 2 5 2" xfId="5481" xr:uid="{00000000-0005-0000-0000-000066150000}"/>
    <cellStyle name="Comma 2 10 2 6" xfId="5482" xr:uid="{00000000-0005-0000-0000-000067150000}"/>
    <cellStyle name="Comma 2 10 2 7" xfId="5483" xr:uid="{00000000-0005-0000-0000-000068150000}"/>
    <cellStyle name="Comma 2 10 2 8" xfId="5484" xr:uid="{00000000-0005-0000-0000-000069150000}"/>
    <cellStyle name="Comma 2 10 2 9" xfId="5485" xr:uid="{00000000-0005-0000-0000-00006A150000}"/>
    <cellStyle name="Comma 2 10 3" xfId="5486" xr:uid="{00000000-0005-0000-0000-00006B150000}"/>
    <cellStyle name="Comma 2 10 3 2" xfId="5487" xr:uid="{00000000-0005-0000-0000-00006C150000}"/>
    <cellStyle name="Comma 2 10 3 2 2" xfId="5488" xr:uid="{00000000-0005-0000-0000-00006D150000}"/>
    <cellStyle name="Comma 2 10 3 2 2 2" xfId="5489" xr:uid="{00000000-0005-0000-0000-00006E150000}"/>
    <cellStyle name="Comma 2 10 3 2 2 3" xfId="5490" xr:uid="{00000000-0005-0000-0000-00006F150000}"/>
    <cellStyle name="Comma 2 10 3 2 3" xfId="5491" xr:uid="{00000000-0005-0000-0000-000070150000}"/>
    <cellStyle name="Comma 2 10 3 2 4" xfId="5492" xr:uid="{00000000-0005-0000-0000-000071150000}"/>
    <cellStyle name="Comma 2 10 3 2 5" xfId="5493" xr:uid="{00000000-0005-0000-0000-000072150000}"/>
    <cellStyle name="Comma 2 10 3 2 6" xfId="5494" xr:uid="{00000000-0005-0000-0000-000073150000}"/>
    <cellStyle name="Comma 2 10 3 3" xfId="5495" xr:uid="{00000000-0005-0000-0000-000074150000}"/>
    <cellStyle name="Comma 2 10 3 3 2" xfId="5496" xr:uid="{00000000-0005-0000-0000-000075150000}"/>
    <cellStyle name="Comma 2 10 3 3 2 2" xfId="5497" xr:uid="{00000000-0005-0000-0000-000076150000}"/>
    <cellStyle name="Comma 2 10 3 3 3" xfId="5498" xr:uid="{00000000-0005-0000-0000-000077150000}"/>
    <cellStyle name="Comma 2 10 3 3 4" xfId="5499" xr:uid="{00000000-0005-0000-0000-000078150000}"/>
    <cellStyle name="Comma 2 10 3 3 5" xfId="5500" xr:uid="{00000000-0005-0000-0000-000079150000}"/>
    <cellStyle name="Comma 2 10 3 4" xfId="5501" xr:uid="{00000000-0005-0000-0000-00007A150000}"/>
    <cellStyle name="Comma 2 10 3 4 2" xfId="5502" xr:uid="{00000000-0005-0000-0000-00007B150000}"/>
    <cellStyle name="Comma 2 10 3 4 3" xfId="5503" xr:uid="{00000000-0005-0000-0000-00007C150000}"/>
    <cellStyle name="Comma 2 10 3 4 4" xfId="5504" xr:uid="{00000000-0005-0000-0000-00007D150000}"/>
    <cellStyle name="Comma 2 10 3 5" xfId="5505" xr:uid="{00000000-0005-0000-0000-00007E150000}"/>
    <cellStyle name="Comma 2 10 3 5 2" xfId="5506" xr:uid="{00000000-0005-0000-0000-00007F150000}"/>
    <cellStyle name="Comma 2 10 3 6" xfId="5507" xr:uid="{00000000-0005-0000-0000-000080150000}"/>
    <cellStyle name="Comma 2 10 3 7" xfId="5508" xr:uid="{00000000-0005-0000-0000-000081150000}"/>
    <cellStyle name="Comma 2 10 3 8" xfId="5509" xr:uid="{00000000-0005-0000-0000-000082150000}"/>
    <cellStyle name="Comma 2 10 3 9" xfId="5510" xr:uid="{00000000-0005-0000-0000-000083150000}"/>
    <cellStyle name="Comma 2 10 4" xfId="5511" xr:uid="{00000000-0005-0000-0000-000084150000}"/>
    <cellStyle name="Comma 2 10 4 2" xfId="5512" xr:uid="{00000000-0005-0000-0000-000085150000}"/>
    <cellStyle name="Comma 2 10 4 2 2" xfId="5513" xr:uid="{00000000-0005-0000-0000-000086150000}"/>
    <cellStyle name="Comma 2 10 4 2 3" xfId="5514" xr:uid="{00000000-0005-0000-0000-000087150000}"/>
    <cellStyle name="Comma 2 10 4 3" xfId="5515" xr:uid="{00000000-0005-0000-0000-000088150000}"/>
    <cellStyle name="Comma 2 10 4 4" xfId="5516" xr:uid="{00000000-0005-0000-0000-000089150000}"/>
    <cellStyle name="Comma 2 10 4 5" xfId="5517" xr:uid="{00000000-0005-0000-0000-00008A150000}"/>
    <cellStyle name="Comma 2 10 4 6" xfId="5518" xr:uid="{00000000-0005-0000-0000-00008B150000}"/>
    <cellStyle name="Comma 2 10 5" xfId="5519" xr:uid="{00000000-0005-0000-0000-00008C150000}"/>
    <cellStyle name="Comma 2 10 5 2" xfId="5520" xr:uid="{00000000-0005-0000-0000-00008D150000}"/>
    <cellStyle name="Comma 2 10 5 2 2" xfId="5521" xr:uid="{00000000-0005-0000-0000-00008E150000}"/>
    <cellStyle name="Comma 2 10 5 3" xfId="5522" xr:uid="{00000000-0005-0000-0000-00008F150000}"/>
    <cellStyle name="Comma 2 10 5 4" xfId="5523" xr:uid="{00000000-0005-0000-0000-000090150000}"/>
    <cellStyle name="Comma 2 10 5 5" xfId="5524" xr:uid="{00000000-0005-0000-0000-000091150000}"/>
    <cellStyle name="Comma 2 10 5 6" xfId="5525" xr:uid="{00000000-0005-0000-0000-000092150000}"/>
    <cellStyle name="Comma 2 10 6" xfId="5526" xr:uid="{00000000-0005-0000-0000-000093150000}"/>
    <cellStyle name="Comma 2 10 6 2" xfId="5527" xr:uid="{00000000-0005-0000-0000-000094150000}"/>
    <cellStyle name="Comma 2 10 6 3" xfId="5528" xr:uid="{00000000-0005-0000-0000-000095150000}"/>
    <cellStyle name="Comma 2 10 6 4" xfId="5529" xr:uid="{00000000-0005-0000-0000-000096150000}"/>
    <cellStyle name="Comma 2 10 6 5" xfId="5530" xr:uid="{00000000-0005-0000-0000-000097150000}"/>
    <cellStyle name="Comma 2 10 7" xfId="5531" xr:uid="{00000000-0005-0000-0000-000098150000}"/>
    <cellStyle name="Comma 2 10 7 2" xfId="5532" xr:uid="{00000000-0005-0000-0000-000099150000}"/>
    <cellStyle name="Comma 2 10 7 3" xfId="5533" xr:uid="{00000000-0005-0000-0000-00009A150000}"/>
    <cellStyle name="Comma 2 10 8" xfId="5534" xr:uid="{00000000-0005-0000-0000-00009B150000}"/>
    <cellStyle name="Comma 2 10 9" xfId="5535" xr:uid="{00000000-0005-0000-0000-00009C150000}"/>
    <cellStyle name="Comma 2 11" xfId="5536" xr:uid="{00000000-0005-0000-0000-00009D150000}"/>
    <cellStyle name="Comma 2 11 10" xfId="5537" xr:uid="{00000000-0005-0000-0000-00009E150000}"/>
    <cellStyle name="Comma 2 11 11" xfId="5538" xr:uid="{00000000-0005-0000-0000-00009F150000}"/>
    <cellStyle name="Comma 2 11 2" xfId="5539" xr:uid="{00000000-0005-0000-0000-0000A0150000}"/>
    <cellStyle name="Comma 2 11 2 2" xfId="5540" xr:uid="{00000000-0005-0000-0000-0000A1150000}"/>
    <cellStyle name="Comma 2 11 2 2 2" xfId="5541" xr:uid="{00000000-0005-0000-0000-0000A2150000}"/>
    <cellStyle name="Comma 2 11 2 2 2 2" xfId="5542" xr:uid="{00000000-0005-0000-0000-0000A3150000}"/>
    <cellStyle name="Comma 2 11 2 2 2 3" xfId="5543" xr:uid="{00000000-0005-0000-0000-0000A4150000}"/>
    <cellStyle name="Comma 2 11 2 2 3" xfId="5544" xr:uid="{00000000-0005-0000-0000-0000A5150000}"/>
    <cellStyle name="Comma 2 11 2 2 4" xfId="5545" xr:uid="{00000000-0005-0000-0000-0000A6150000}"/>
    <cellStyle name="Comma 2 11 2 2 5" xfId="5546" xr:uid="{00000000-0005-0000-0000-0000A7150000}"/>
    <cellStyle name="Comma 2 11 2 2 6" xfId="5547" xr:uid="{00000000-0005-0000-0000-0000A8150000}"/>
    <cellStyle name="Comma 2 11 2 3" xfId="5548" xr:uid="{00000000-0005-0000-0000-0000A9150000}"/>
    <cellStyle name="Comma 2 11 2 3 2" xfId="5549" xr:uid="{00000000-0005-0000-0000-0000AA150000}"/>
    <cellStyle name="Comma 2 11 2 3 2 2" xfId="5550" xr:uid="{00000000-0005-0000-0000-0000AB150000}"/>
    <cellStyle name="Comma 2 11 2 3 3" xfId="5551" xr:uid="{00000000-0005-0000-0000-0000AC150000}"/>
    <cellStyle name="Comma 2 11 2 3 4" xfId="5552" xr:uid="{00000000-0005-0000-0000-0000AD150000}"/>
    <cellStyle name="Comma 2 11 2 3 5" xfId="5553" xr:uid="{00000000-0005-0000-0000-0000AE150000}"/>
    <cellStyle name="Comma 2 11 2 4" xfId="5554" xr:uid="{00000000-0005-0000-0000-0000AF150000}"/>
    <cellStyle name="Comma 2 11 2 4 2" xfId="5555" xr:uid="{00000000-0005-0000-0000-0000B0150000}"/>
    <cellStyle name="Comma 2 11 2 4 3" xfId="5556" xr:uid="{00000000-0005-0000-0000-0000B1150000}"/>
    <cellStyle name="Comma 2 11 2 4 4" xfId="5557" xr:uid="{00000000-0005-0000-0000-0000B2150000}"/>
    <cellStyle name="Comma 2 11 2 5" xfId="5558" xr:uid="{00000000-0005-0000-0000-0000B3150000}"/>
    <cellStyle name="Comma 2 11 2 5 2" xfId="5559" xr:uid="{00000000-0005-0000-0000-0000B4150000}"/>
    <cellStyle name="Comma 2 11 2 6" xfId="5560" xr:uid="{00000000-0005-0000-0000-0000B5150000}"/>
    <cellStyle name="Comma 2 11 2 7" xfId="5561" xr:uid="{00000000-0005-0000-0000-0000B6150000}"/>
    <cellStyle name="Comma 2 11 2 8" xfId="5562" xr:uid="{00000000-0005-0000-0000-0000B7150000}"/>
    <cellStyle name="Comma 2 11 2 9" xfId="5563" xr:uid="{00000000-0005-0000-0000-0000B8150000}"/>
    <cellStyle name="Comma 2 11 3" xfId="5564" xr:uid="{00000000-0005-0000-0000-0000B9150000}"/>
    <cellStyle name="Comma 2 11 3 2" xfId="5565" xr:uid="{00000000-0005-0000-0000-0000BA150000}"/>
    <cellStyle name="Comma 2 11 3 2 2" xfId="5566" xr:uid="{00000000-0005-0000-0000-0000BB150000}"/>
    <cellStyle name="Comma 2 11 3 2 2 2" xfId="5567" xr:uid="{00000000-0005-0000-0000-0000BC150000}"/>
    <cellStyle name="Comma 2 11 3 2 2 3" xfId="5568" xr:uid="{00000000-0005-0000-0000-0000BD150000}"/>
    <cellStyle name="Comma 2 11 3 2 3" xfId="5569" xr:uid="{00000000-0005-0000-0000-0000BE150000}"/>
    <cellStyle name="Comma 2 11 3 2 4" xfId="5570" xr:uid="{00000000-0005-0000-0000-0000BF150000}"/>
    <cellStyle name="Comma 2 11 3 2 5" xfId="5571" xr:uid="{00000000-0005-0000-0000-0000C0150000}"/>
    <cellStyle name="Comma 2 11 3 2 6" xfId="5572" xr:uid="{00000000-0005-0000-0000-0000C1150000}"/>
    <cellStyle name="Comma 2 11 3 3" xfId="5573" xr:uid="{00000000-0005-0000-0000-0000C2150000}"/>
    <cellStyle name="Comma 2 11 3 3 2" xfId="5574" xr:uid="{00000000-0005-0000-0000-0000C3150000}"/>
    <cellStyle name="Comma 2 11 3 3 2 2" xfId="5575" xr:uid="{00000000-0005-0000-0000-0000C4150000}"/>
    <cellStyle name="Comma 2 11 3 3 3" xfId="5576" xr:uid="{00000000-0005-0000-0000-0000C5150000}"/>
    <cellStyle name="Comma 2 11 3 3 4" xfId="5577" xr:uid="{00000000-0005-0000-0000-0000C6150000}"/>
    <cellStyle name="Comma 2 11 3 3 5" xfId="5578" xr:uid="{00000000-0005-0000-0000-0000C7150000}"/>
    <cellStyle name="Comma 2 11 3 4" xfId="5579" xr:uid="{00000000-0005-0000-0000-0000C8150000}"/>
    <cellStyle name="Comma 2 11 3 4 2" xfId="5580" xr:uid="{00000000-0005-0000-0000-0000C9150000}"/>
    <cellStyle name="Comma 2 11 3 4 3" xfId="5581" xr:uid="{00000000-0005-0000-0000-0000CA150000}"/>
    <cellStyle name="Comma 2 11 3 4 4" xfId="5582" xr:uid="{00000000-0005-0000-0000-0000CB150000}"/>
    <cellStyle name="Comma 2 11 3 5" xfId="5583" xr:uid="{00000000-0005-0000-0000-0000CC150000}"/>
    <cellStyle name="Comma 2 11 3 5 2" xfId="5584" xr:uid="{00000000-0005-0000-0000-0000CD150000}"/>
    <cellStyle name="Comma 2 11 3 6" xfId="5585" xr:uid="{00000000-0005-0000-0000-0000CE150000}"/>
    <cellStyle name="Comma 2 11 3 7" xfId="5586" xr:uid="{00000000-0005-0000-0000-0000CF150000}"/>
    <cellStyle name="Comma 2 11 3 8" xfId="5587" xr:uid="{00000000-0005-0000-0000-0000D0150000}"/>
    <cellStyle name="Comma 2 11 3 9" xfId="5588" xr:uid="{00000000-0005-0000-0000-0000D1150000}"/>
    <cellStyle name="Comma 2 11 4" xfId="5589" xr:uid="{00000000-0005-0000-0000-0000D2150000}"/>
    <cellStyle name="Comma 2 11 4 2" xfId="5590" xr:uid="{00000000-0005-0000-0000-0000D3150000}"/>
    <cellStyle name="Comma 2 11 4 2 2" xfId="5591" xr:uid="{00000000-0005-0000-0000-0000D4150000}"/>
    <cellStyle name="Comma 2 11 4 2 3" xfId="5592" xr:uid="{00000000-0005-0000-0000-0000D5150000}"/>
    <cellStyle name="Comma 2 11 4 3" xfId="5593" xr:uid="{00000000-0005-0000-0000-0000D6150000}"/>
    <cellStyle name="Comma 2 11 4 4" xfId="5594" xr:uid="{00000000-0005-0000-0000-0000D7150000}"/>
    <cellStyle name="Comma 2 11 4 5" xfId="5595" xr:uid="{00000000-0005-0000-0000-0000D8150000}"/>
    <cellStyle name="Comma 2 11 4 6" xfId="5596" xr:uid="{00000000-0005-0000-0000-0000D9150000}"/>
    <cellStyle name="Comma 2 11 5" xfId="5597" xr:uid="{00000000-0005-0000-0000-0000DA150000}"/>
    <cellStyle name="Comma 2 11 5 2" xfId="5598" xr:uid="{00000000-0005-0000-0000-0000DB150000}"/>
    <cellStyle name="Comma 2 11 5 2 2" xfId="5599" xr:uid="{00000000-0005-0000-0000-0000DC150000}"/>
    <cellStyle name="Comma 2 11 5 3" xfId="5600" xr:uid="{00000000-0005-0000-0000-0000DD150000}"/>
    <cellStyle name="Comma 2 11 5 4" xfId="5601" xr:uid="{00000000-0005-0000-0000-0000DE150000}"/>
    <cellStyle name="Comma 2 11 5 5" xfId="5602" xr:uid="{00000000-0005-0000-0000-0000DF150000}"/>
    <cellStyle name="Comma 2 11 5 6" xfId="5603" xr:uid="{00000000-0005-0000-0000-0000E0150000}"/>
    <cellStyle name="Comma 2 11 6" xfId="5604" xr:uid="{00000000-0005-0000-0000-0000E1150000}"/>
    <cellStyle name="Comma 2 11 6 2" xfId="5605" xr:uid="{00000000-0005-0000-0000-0000E2150000}"/>
    <cellStyle name="Comma 2 11 6 3" xfId="5606" xr:uid="{00000000-0005-0000-0000-0000E3150000}"/>
    <cellStyle name="Comma 2 11 6 4" xfId="5607" xr:uid="{00000000-0005-0000-0000-0000E4150000}"/>
    <cellStyle name="Comma 2 11 6 5" xfId="5608" xr:uid="{00000000-0005-0000-0000-0000E5150000}"/>
    <cellStyle name="Comma 2 11 7" xfId="5609" xr:uid="{00000000-0005-0000-0000-0000E6150000}"/>
    <cellStyle name="Comma 2 11 7 2" xfId="5610" xr:uid="{00000000-0005-0000-0000-0000E7150000}"/>
    <cellStyle name="Comma 2 11 7 3" xfId="5611" xr:uid="{00000000-0005-0000-0000-0000E8150000}"/>
    <cellStyle name="Comma 2 11 8" xfId="5612" xr:uid="{00000000-0005-0000-0000-0000E9150000}"/>
    <cellStyle name="Comma 2 11 9" xfId="5613" xr:uid="{00000000-0005-0000-0000-0000EA150000}"/>
    <cellStyle name="Comma 2 12" xfId="5614" xr:uid="{00000000-0005-0000-0000-0000EB150000}"/>
    <cellStyle name="Comma 2 12 10" xfId="5615" xr:uid="{00000000-0005-0000-0000-0000EC150000}"/>
    <cellStyle name="Comma 2 12 11" xfId="5616" xr:uid="{00000000-0005-0000-0000-0000ED150000}"/>
    <cellStyle name="Comma 2 12 12" xfId="5617" xr:uid="{00000000-0005-0000-0000-0000EE150000}"/>
    <cellStyle name="Comma 2 12 13" xfId="5618" xr:uid="{00000000-0005-0000-0000-0000EF150000}"/>
    <cellStyle name="Comma 2 12 14" xfId="5619" xr:uid="{00000000-0005-0000-0000-0000F0150000}"/>
    <cellStyle name="Comma 2 12 15" xfId="5620" xr:uid="{00000000-0005-0000-0000-0000F1150000}"/>
    <cellStyle name="Comma 2 12 16" xfId="5621" xr:uid="{00000000-0005-0000-0000-0000F2150000}"/>
    <cellStyle name="Comma 2 12 17" xfId="5622" xr:uid="{00000000-0005-0000-0000-0000F3150000}"/>
    <cellStyle name="Comma 2 12 18" xfId="5623" xr:uid="{00000000-0005-0000-0000-0000F4150000}"/>
    <cellStyle name="Comma 2 12 19" xfId="5624" xr:uid="{00000000-0005-0000-0000-0000F5150000}"/>
    <cellStyle name="Comma 2 12 2" xfId="5625" xr:uid="{00000000-0005-0000-0000-0000F6150000}"/>
    <cellStyle name="Comma 2 12 2 2" xfId="5626" xr:uid="{00000000-0005-0000-0000-0000F7150000}"/>
    <cellStyle name="Comma 2 12 2 2 2" xfId="5627" xr:uid="{00000000-0005-0000-0000-0000F8150000}"/>
    <cellStyle name="Comma 2 12 2 2 2 2" xfId="5628" xr:uid="{00000000-0005-0000-0000-0000F9150000}"/>
    <cellStyle name="Comma 2 12 2 2 2 3" xfId="5629" xr:uid="{00000000-0005-0000-0000-0000FA150000}"/>
    <cellStyle name="Comma 2 12 2 2 3" xfId="5630" xr:uid="{00000000-0005-0000-0000-0000FB150000}"/>
    <cellStyle name="Comma 2 12 2 2 4" xfId="5631" xr:uid="{00000000-0005-0000-0000-0000FC150000}"/>
    <cellStyle name="Comma 2 12 2 2 5" xfId="5632" xr:uid="{00000000-0005-0000-0000-0000FD150000}"/>
    <cellStyle name="Comma 2 12 2 2 6" xfId="5633" xr:uid="{00000000-0005-0000-0000-0000FE150000}"/>
    <cellStyle name="Comma 2 12 2 3" xfId="5634" xr:uid="{00000000-0005-0000-0000-0000FF150000}"/>
    <cellStyle name="Comma 2 12 2 3 2" xfId="5635" xr:uid="{00000000-0005-0000-0000-000000160000}"/>
    <cellStyle name="Comma 2 12 2 3 2 2" xfId="5636" xr:uid="{00000000-0005-0000-0000-000001160000}"/>
    <cellStyle name="Comma 2 12 2 3 3" xfId="5637" xr:uid="{00000000-0005-0000-0000-000002160000}"/>
    <cellStyle name="Comma 2 12 2 3 4" xfId="5638" xr:uid="{00000000-0005-0000-0000-000003160000}"/>
    <cellStyle name="Comma 2 12 2 3 5" xfId="5639" xr:uid="{00000000-0005-0000-0000-000004160000}"/>
    <cellStyle name="Comma 2 12 2 4" xfId="5640" xr:uid="{00000000-0005-0000-0000-000005160000}"/>
    <cellStyle name="Comma 2 12 2 4 2" xfId="5641" xr:uid="{00000000-0005-0000-0000-000006160000}"/>
    <cellStyle name="Comma 2 12 2 4 3" xfId="5642" xr:uid="{00000000-0005-0000-0000-000007160000}"/>
    <cellStyle name="Comma 2 12 2 4 4" xfId="5643" xr:uid="{00000000-0005-0000-0000-000008160000}"/>
    <cellStyle name="Comma 2 12 2 5" xfId="5644" xr:uid="{00000000-0005-0000-0000-000009160000}"/>
    <cellStyle name="Comma 2 12 2 5 2" xfId="5645" xr:uid="{00000000-0005-0000-0000-00000A160000}"/>
    <cellStyle name="Comma 2 12 2 6" xfId="5646" xr:uid="{00000000-0005-0000-0000-00000B160000}"/>
    <cellStyle name="Comma 2 12 2 7" xfId="5647" xr:uid="{00000000-0005-0000-0000-00000C160000}"/>
    <cellStyle name="Comma 2 12 2 8" xfId="5648" xr:uid="{00000000-0005-0000-0000-00000D160000}"/>
    <cellStyle name="Comma 2 12 2 9" xfId="5649" xr:uid="{00000000-0005-0000-0000-00000E160000}"/>
    <cellStyle name="Comma 2 12 20" xfId="5650" xr:uid="{00000000-0005-0000-0000-00000F160000}"/>
    <cellStyle name="Comma 2 12 21" xfId="5651" xr:uid="{00000000-0005-0000-0000-000010160000}"/>
    <cellStyle name="Comma 2 12 22" xfId="5652" xr:uid="{00000000-0005-0000-0000-000011160000}"/>
    <cellStyle name="Comma 2 12 23" xfId="5653" xr:uid="{00000000-0005-0000-0000-000012160000}"/>
    <cellStyle name="Comma 2 12 24" xfId="5654" xr:uid="{00000000-0005-0000-0000-000013160000}"/>
    <cellStyle name="Comma 2 12 25" xfId="5655" xr:uid="{00000000-0005-0000-0000-000014160000}"/>
    <cellStyle name="Comma 2 12 26" xfId="5656" xr:uid="{00000000-0005-0000-0000-000015160000}"/>
    <cellStyle name="Comma 2 12 27" xfId="5657" xr:uid="{00000000-0005-0000-0000-000016160000}"/>
    <cellStyle name="Comma 2 12 28" xfId="5658" xr:uid="{00000000-0005-0000-0000-000017160000}"/>
    <cellStyle name="Comma 2 12 29" xfId="5659" xr:uid="{00000000-0005-0000-0000-000018160000}"/>
    <cellStyle name="Comma 2 12 3" xfId="5660" xr:uid="{00000000-0005-0000-0000-000019160000}"/>
    <cellStyle name="Comma 2 12 3 2" xfId="5661" xr:uid="{00000000-0005-0000-0000-00001A160000}"/>
    <cellStyle name="Comma 2 12 3 2 2" xfId="5662" xr:uid="{00000000-0005-0000-0000-00001B160000}"/>
    <cellStyle name="Comma 2 12 3 2 2 2" xfId="5663" xr:uid="{00000000-0005-0000-0000-00001C160000}"/>
    <cellStyle name="Comma 2 12 3 2 2 3" xfId="5664" xr:uid="{00000000-0005-0000-0000-00001D160000}"/>
    <cellStyle name="Comma 2 12 3 2 3" xfId="5665" xr:uid="{00000000-0005-0000-0000-00001E160000}"/>
    <cellStyle name="Comma 2 12 3 2 4" xfId="5666" xr:uid="{00000000-0005-0000-0000-00001F160000}"/>
    <cellStyle name="Comma 2 12 3 2 5" xfId="5667" xr:uid="{00000000-0005-0000-0000-000020160000}"/>
    <cellStyle name="Comma 2 12 3 2 6" xfId="5668" xr:uid="{00000000-0005-0000-0000-000021160000}"/>
    <cellStyle name="Comma 2 12 3 3" xfId="5669" xr:uid="{00000000-0005-0000-0000-000022160000}"/>
    <cellStyle name="Comma 2 12 3 3 2" xfId="5670" xr:uid="{00000000-0005-0000-0000-000023160000}"/>
    <cellStyle name="Comma 2 12 3 3 2 2" xfId="5671" xr:uid="{00000000-0005-0000-0000-000024160000}"/>
    <cellStyle name="Comma 2 12 3 3 3" xfId="5672" xr:uid="{00000000-0005-0000-0000-000025160000}"/>
    <cellStyle name="Comma 2 12 3 3 4" xfId="5673" xr:uid="{00000000-0005-0000-0000-000026160000}"/>
    <cellStyle name="Comma 2 12 3 3 5" xfId="5674" xr:uid="{00000000-0005-0000-0000-000027160000}"/>
    <cellStyle name="Comma 2 12 3 4" xfId="5675" xr:uid="{00000000-0005-0000-0000-000028160000}"/>
    <cellStyle name="Comma 2 12 3 4 2" xfId="5676" xr:uid="{00000000-0005-0000-0000-000029160000}"/>
    <cellStyle name="Comma 2 12 3 4 3" xfId="5677" xr:uid="{00000000-0005-0000-0000-00002A160000}"/>
    <cellStyle name="Comma 2 12 3 4 4" xfId="5678" xr:uid="{00000000-0005-0000-0000-00002B160000}"/>
    <cellStyle name="Comma 2 12 3 5" xfId="5679" xr:uid="{00000000-0005-0000-0000-00002C160000}"/>
    <cellStyle name="Comma 2 12 3 5 2" xfId="5680" xr:uid="{00000000-0005-0000-0000-00002D160000}"/>
    <cellStyle name="Comma 2 12 3 6" xfId="5681" xr:uid="{00000000-0005-0000-0000-00002E160000}"/>
    <cellStyle name="Comma 2 12 3 7" xfId="5682" xr:uid="{00000000-0005-0000-0000-00002F160000}"/>
    <cellStyle name="Comma 2 12 3 8" xfId="5683" xr:uid="{00000000-0005-0000-0000-000030160000}"/>
    <cellStyle name="Comma 2 12 3 9" xfId="5684" xr:uid="{00000000-0005-0000-0000-000031160000}"/>
    <cellStyle name="Comma 2 12 30" xfId="5685" xr:uid="{00000000-0005-0000-0000-000032160000}"/>
    <cellStyle name="Comma 2 12 31" xfId="5686" xr:uid="{00000000-0005-0000-0000-000033160000}"/>
    <cellStyle name="Comma 2 12 32" xfId="5687" xr:uid="{00000000-0005-0000-0000-000034160000}"/>
    <cellStyle name="Comma 2 12 33" xfId="5688" xr:uid="{00000000-0005-0000-0000-000035160000}"/>
    <cellStyle name="Comma 2 12 34" xfId="5689" xr:uid="{00000000-0005-0000-0000-000036160000}"/>
    <cellStyle name="Comma 2 12 35" xfId="5690" xr:uid="{00000000-0005-0000-0000-000037160000}"/>
    <cellStyle name="Comma 2 12 36" xfId="5691" xr:uid="{00000000-0005-0000-0000-000038160000}"/>
    <cellStyle name="Comma 2 12 37" xfId="5692" xr:uid="{00000000-0005-0000-0000-000039160000}"/>
    <cellStyle name="Comma 2 12 37 2" xfId="5693" xr:uid="{00000000-0005-0000-0000-00003A160000}"/>
    <cellStyle name="Comma 2 12 38" xfId="5694" xr:uid="{00000000-0005-0000-0000-00003B160000}"/>
    <cellStyle name="Comma 2 12 39" xfId="5695" xr:uid="{00000000-0005-0000-0000-00003C160000}"/>
    <cellStyle name="Comma 2 12 4" xfId="5696" xr:uid="{00000000-0005-0000-0000-00003D160000}"/>
    <cellStyle name="Comma 2 12 4 2" xfId="5697" xr:uid="{00000000-0005-0000-0000-00003E160000}"/>
    <cellStyle name="Comma 2 12 4 2 2" xfId="5698" xr:uid="{00000000-0005-0000-0000-00003F160000}"/>
    <cellStyle name="Comma 2 12 4 2 3" xfId="5699" xr:uid="{00000000-0005-0000-0000-000040160000}"/>
    <cellStyle name="Comma 2 12 4 3" xfId="5700" xr:uid="{00000000-0005-0000-0000-000041160000}"/>
    <cellStyle name="Comma 2 12 4 4" xfId="5701" xr:uid="{00000000-0005-0000-0000-000042160000}"/>
    <cellStyle name="Comma 2 12 4 5" xfId="5702" xr:uid="{00000000-0005-0000-0000-000043160000}"/>
    <cellStyle name="Comma 2 12 4 6" xfId="5703" xr:uid="{00000000-0005-0000-0000-000044160000}"/>
    <cellStyle name="Comma 2 12 40" xfId="5704" xr:uid="{00000000-0005-0000-0000-000045160000}"/>
    <cellStyle name="Comma 2 12 5" xfId="5705" xr:uid="{00000000-0005-0000-0000-000046160000}"/>
    <cellStyle name="Comma 2 12 5 2" xfId="5706" xr:uid="{00000000-0005-0000-0000-000047160000}"/>
    <cellStyle name="Comma 2 12 5 2 2" xfId="5707" xr:uid="{00000000-0005-0000-0000-000048160000}"/>
    <cellStyle name="Comma 2 12 5 2 3" xfId="5708" xr:uid="{00000000-0005-0000-0000-000049160000}"/>
    <cellStyle name="Comma 2 12 5 3" xfId="5709" xr:uid="{00000000-0005-0000-0000-00004A160000}"/>
    <cellStyle name="Comma 2 12 5 4" xfId="5710" xr:uid="{00000000-0005-0000-0000-00004B160000}"/>
    <cellStyle name="Comma 2 12 5 5" xfId="5711" xr:uid="{00000000-0005-0000-0000-00004C160000}"/>
    <cellStyle name="Comma 2 12 5 6" xfId="5712" xr:uid="{00000000-0005-0000-0000-00004D160000}"/>
    <cellStyle name="Comma 2 12 6" xfId="5713" xr:uid="{00000000-0005-0000-0000-00004E160000}"/>
    <cellStyle name="Comma 2 12 6 2" xfId="5714" xr:uid="{00000000-0005-0000-0000-00004F160000}"/>
    <cellStyle name="Comma 2 12 6 2 2" xfId="5715" xr:uid="{00000000-0005-0000-0000-000050160000}"/>
    <cellStyle name="Comma 2 12 6 3" xfId="5716" xr:uid="{00000000-0005-0000-0000-000051160000}"/>
    <cellStyle name="Comma 2 12 6 4" xfId="5717" xr:uid="{00000000-0005-0000-0000-000052160000}"/>
    <cellStyle name="Comma 2 12 6 5" xfId="5718" xr:uid="{00000000-0005-0000-0000-000053160000}"/>
    <cellStyle name="Comma 2 12 7" xfId="5719" xr:uid="{00000000-0005-0000-0000-000054160000}"/>
    <cellStyle name="Comma 2 12 7 2" xfId="5720" xr:uid="{00000000-0005-0000-0000-000055160000}"/>
    <cellStyle name="Comma 2 12 7 3" xfId="5721" xr:uid="{00000000-0005-0000-0000-000056160000}"/>
    <cellStyle name="Comma 2 12 8" xfId="5722" xr:uid="{00000000-0005-0000-0000-000057160000}"/>
    <cellStyle name="Comma 2 12 8 2" xfId="5723" xr:uid="{00000000-0005-0000-0000-000058160000}"/>
    <cellStyle name="Comma 2 12 8 3" xfId="5724" xr:uid="{00000000-0005-0000-0000-000059160000}"/>
    <cellStyle name="Comma 2 12 9" xfId="5725" xr:uid="{00000000-0005-0000-0000-00005A160000}"/>
    <cellStyle name="Comma 2 13" xfId="5726" xr:uid="{00000000-0005-0000-0000-00005B160000}"/>
    <cellStyle name="Comma 2 13 10" xfId="5727" xr:uid="{00000000-0005-0000-0000-00005C160000}"/>
    <cellStyle name="Comma 2 13 11" xfId="5728" xr:uid="{00000000-0005-0000-0000-00005D160000}"/>
    <cellStyle name="Comma 2 13 2" xfId="5729" xr:uid="{00000000-0005-0000-0000-00005E160000}"/>
    <cellStyle name="Comma 2 13 2 2" xfId="5730" xr:uid="{00000000-0005-0000-0000-00005F160000}"/>
    <cellStyle name="Comma 2 13 2 2 2" xfId="5731" xr:uid="{00000000-0005-0000-0000-000060160000}"/>
    <cellStyle name="Comma 2 13 2 2 2 2" xfId="5732" xr:uid="{00000000-0005-0000-0000-000061160000}"/>
    <cellStyle name="Comma 2 13 2 2 2 3" xfId="5733" xr:uid="{00000000-0005-0000-0000-000062160000}"/>
    <cellStyle name="Comma 2 13 2 2 3" xfId="5734" xr:uid="{00000000-0005-0000-0000-000063160000}"/>
    <cellStyle name="Comma 2 13 2 2 4" xfId="5735" xr:uid="{00000000-0005-0000-0000-000064160000}"/>
    <cellStyle name="Comma 2 13 2 2 5" xfId="5736" xr:uid="{00000000-0005-0000-0000-000065160000}"/>
    <cellStyle name="Comma 2 13 2 2 6" xfId="5737" xr:uid="{00000000-0005-0000-0000-000066160000}"/>
    <cellStyle name="Comma 2 13 2 3" xfId="5738" xr:uid="{00000000-0005-0000-0000-000067160000}"/>
    <cellStyle name="Comma 2 13 2 3 2" xfId="5739" xr:uid="{00000000-0005-0000-0000-000068160000}"/>
    <cellStyle name="Comma 2 13 2 3 2 2" xfId="5740" xr:uid="{00000000-0005-0000-0000-000069160000}"/>
    <cellStyle name="Comma 2 13 2 3 3" xfId="5741" xr:uid="{00000000-0005-0000-0000-00006A160000}"/>
    <cellStyle name="Comma 2 13 2 3 4" xfId="5742" xr:uid="{00000000-0005-0000-0000-00006B160000}"/>
    <cellStyle name="Comma 2 13 2 3 5" xfId="5743" xr:uid="{00000000-0005-0000-0000-00006C160000}"/>
    <cellStyle name="Comma 2 13 2 4" xfId="5744" xr:uid="{00000000-0005-0000-0000-00006D160000}"/>
    <cellStyle name="Comma 2 13 2 4 2" xfId="5745" xr:uid="{00000000-0005-0000-0000-00006E160000}"/>
    <cellStyle name="Comma 2 13 2 4 3" xfId="5746" xr:uid="{00000000-0005-0000-0000-00006F160000}"/>
    <cellStyle name="Comma 2 13 2 4 4" xfId="5747" xr:uid="{00000000-0005-0000-0000-000070160000}"/>
    <cellStyle name="Comma 2 13 2 5" xfId="5748" xr:uid="{00000000-0005-0000-0000-000071160000}"/>
    <cellStyle name="Comma 2 13 2 5 2" xfId="5749" xr:uid="{00000000-0005-0000-0000-000072160000}"/>
    <cellStyle name="Comma 2 13 2 6" xfId="5750" xr:uid="{00000000-0005-0000-0000-000073160000}"/>
    <cellStyle name="Comma 2 13 2 7" xfId="5751" xr:uid="{00000000-0005-0000-0000-000074160000}"/>
    <cellStyle name="Comma 2 13 2 8" xfId="5752" xr:uid="{00000000-0005-0000-0000-000075160000}"/>
    <cellStyle name="Comma 2 13 2 9" xfId="5753" xr:uid="{00000000-0005-0000-0000-000076160000}"/>
    <cellStyle name="Comma 2 13 3" xfId="5754" xr:uid="{00000000-0005-0000-0000-000077160000}"/>
    <cellStyle name="Comma 2 13 3 2" xfId="5755" xr:uid="{00000000-0005-0000-0000-000078160000}"/>
    <cellStyle name="Comma 2 13 3 2 2" xfId="5756" xr:uid="{00000000-0005-0000-0000-000079160000}"/>
    <cellStyle name="Comma 2 13 3 2 2 2" xfId="5757" xr:uid="{00000000-0005-0000-0000-00007A160000}"/>
    <cellStyle name="Comma 2 13 3 2 2 3" xfId="5758" xr:uid="{00000000-0005-0000-0000-00007B160000}"/>
    <cellStyle name="Comma 2 13 3 2 3" xfId="5759" xr:uid="{00000000-0005-0000-0000-00007C160000}"/>
    <cellStyle name="Comma 2 13 3 2 4" xfId="5760" xr:uid="{00000000-0005-0000-0000-00007D160000}"/>
    <cellStyle name="Comma 2 13 3 2 5" xfId="5761" xr:uid="{00000000-0005-0000-0000-00007E160000}"/>
    <cellStyle name="Comma 2 13 3 2 6" xfId="5762" xr:uid="{00000000-0005-0000-0000-00007F160000}"/>
    <cellStyle name="Comma 2 13 3 3" xfId="5763" xr:uid="{00000000-0005-0000-0000-000080160000}"/>
    <cellStyle name="Comma 2 13 3 3 2" xfId="5764" xr:uid="{00000000-0005-0000-0000-000081160000}"/>
    <cellStyle name="Comma 2 13 3 3 2 2" xfId="5765" xr:uid="{00000000-0005-0000-0000-000082160000}"/>
    <cellStyle name="Comma 2 13 3 3 3" xfId="5766" xr:uid="{00000000-0005-0000-0000-000083160000}"/>
    <cellStyle name="Comma 2 13 3 3 4" xfId="5767" xr:uid="{00000000-0005-0000-0000-000084160000}"/>
    <cellStyle name="Comma 2 13 3 3 5" xfId="5768" xr:uid="{00000000-0005-0000-0000-000085160000}"/>
    <cellStyle name="Comma 2 13 3 4" xfId="5769" xr:uid="{00000000-0005-0000-0000-000086160000}"/>
    <cellStyle name="Comma 2 13 3 4 2" xfId="5770" xr:uid="{00000000-0005-0000-0000-000087160000}"/>
    <cellStyle name="Comma 2 13 3 4 3" xfId="5771" xr:uid="{00000000-0005-0000-0000-000088160000}"/>
    <cellStyle name="Comma 2 13 3 4 4" xfId="5772" xr:uid="{00000000-0005-0000-0000-000089160000}"/>
    <cellStyle name="Comma 2 13 3 5" xfId="5773" xr:uid="{00000000-0005-0000-0000-00008A160000}"/>
    <cellStyle name="Comma 2 13 3 5 2" xfId="5774" xr:uid="{00000000-0005-0000-0000-00008B160000}"/>
    <cellStyle name="Comma 2 13 3 6" xfId="5775" xr:uid="{00000000-0005-0000-0000-00008C160000}"/>
    <cellStyle name="Comma 2 13 3 7" xfId="5776" xr:uid="{00000000-0005-0000-0000-00008D160000}"/>
    <cellStyle name="Comma 2 13 3 8" xfId="5777" xr:uid="{00000000-0005-0000-0000-00008E160000}"/>
    <cellStyle name="Comma 2 13 3 9" xfId="5778" xr:uid="{00000000-0005-0000-0000-00008F160000}"/>
    <cellStyle name="Comma 2 13 4" xfId="5779" xr:uid="{00000000-0005-0000-0000-000090160000}"/>
    <cellStyle name="Comma 2 13 4 2" xfId="5780" xr:uid="{00000000-0005-0000-0000-000091160000}"/>
    <cellStyle name="Comma 2 13 4 2 2" xfId="5781" xr:uid="{00000000-0005-0000-0000-000092160000}"/>
    <cellStyle name="Comma 2 13 4 2 3" xfId="5782" xr:uid="{00000000-0005-0000-0000-000093160000}"/>
    <cellStyle name="Comma 2 13 4 3" xfId="5783" xr:uid="{00000000-0005-0000-0000-000094160000}"/>
    <cellStyle name="Comma 2 13 4 4" xfId="5784" xr:uid="{00000000-0005-0000-0000-000095160000}"/>
    <cellStyle name="Comma 2 13 4 5" xfId="5785" xr:uid="{00000000-0005-0000-0000-000096160000}"/>
    <cellStyle name="Comma 2 13 4 6" xfId="5786" xr:uid="{00000000-0005-0000-0000-000097160000}"/>
    <cellStyle name="Comma 2 13 5" xfId="5787" xr:uid="{00000000-0005-0000-0000-000098160000}"/>
    <cellStyle name="Comma 2 13 5 2" xfId="5788" xr:uid="{00000000-0005-0000-0000-000099160000}"/>
    <cellStyle name="Comma 2 13 5 2 2" xfId="5789" xr:uid="{00000000-0005-0000-0000-00009A160000}"/>
    <cellStyle name="Comma 2 13 5 3" xfId="5790" xr:uid="{00000000-0005-0000-0000-00009B160000}"/>
    <cellStyle name="Comma 2 13 5 4" xfId="5791" xr:uid="{00000000-0005-0000-0000-00009C160000}"/>
    <cellStyle name="Comma 2 13 5 5" xfId="5792" xr:uid="{00000000-0005-0000-0000-00009D160000}"/>
    <cellStyle name="Comma 2 13 5 6" xfId="5793" xr:uid="{00000000-0005-0000-0000-00009E160000}"/>
    <cellStyle name="Comma 2 13 6" xfId="5794" xr:uid="{00000000-0005-0000-0000-00009F160000}"/>
    <cellStyle name="Comma 2 13 6 2" xfId="5795" xr:uid="{00000000-0005-0000-0000-0000A0160000}"/>
    <cellStyle name="Comma 2 13 6 3" xfId="5796" xr:uid="{00000000-0005-0000-0000-0000A1160000}"/>
    <cellStyle name="Comma 2 13 6 4" xfId="5797" xr:uid="{00000000-0005-0000-0000-0000A2160000}"/>
    <cellStyle name="Comma 2 13 6 5" xfId="5798" xr:uid="{00000000-0005-0000-0000-0000A3160000}"/>
    <cellStyle name="Comma 2 13 7" xfId="5799" xr:uid="{00000000-0005-0000-0000-0000A4160000}"/>
    <cellStyle name="Comma 2 13 7 2" xfId="5800" xr:uid="{00000000-0005-0000-0000-0000A5160000}"/>
    <cellStyle name="Comma 2 13 7 3" xfId="5801" xr:uid="{00000000-0005-0000-0000-0000A6160000}"/>
    <cellStyle name="Comma 2 13 8" xfId="5802" xr:uid="{00000000-0005-0000-0000-0000A7160000}"/>
    <cellStyle name="Comma 2 13 9" xfId="5803" xr:uid="{00000000-0005-0000-0000-0000A8160000}"/>
    <cellStyle name="Comma 2 14" xfId="5804" xr:uid="{00000000-0005-0000-0000-0000A9160000}"/>
    <cellStyle name="Comma 2 14 10" xfId="5805" xr:uid="{00000000-0005-0000-0000-0000AA160000}"/>
    <cellStyle name="Comma 2 14 11" xfId="5806" xr:uid="{00000000-0005-0000-0000-0000AB160000}"/>
    <cellStyle name="Comma 2 14 2" xfId="5807" xr:uid="{00000000-0005-0000-0000-0000AC160000}"/>
    <cellStyle name="Comma 2 14 2 2" xfId="5808" xr:uid="{00000000-0005-0000-0000-0000AD160000}"/>
    <cellStyle name="Comma 2 14 2 2 2" xfId="5809" xr:uid="{00000000-0005-0000-0000-0000AE160000}"/>
    <cellStyle name="Comma 2 14 2 2 2 2" xfId="5810" xr:uid="{00000000-0005-0000-0000-0000AF160000}"/>
    <cellStyle name="Comma 2 14 2 2 2 3" xfId="5811" xr:uid="{00000000-0005-0000-0000-0000B0160000}"/>
    <cellStyle name="Comma 2 14 2 2 3" xfId="5812" xr:uid="{00000000-0005-0000-0000-0000B1160000}"/>
    <cellStyle name="Comma 2 14 2 2 4" xfId="5813" xr:uid="{00000000-0005-0000-0000-0000B2160000}"/>
    <cellStyle name="Comma 2 14 2 2 5" xfId="5814" xr:uid="{00000000-0005-0000-0000-0000B3160000}"/>
    <cellStyle name="Comma 2 14 2 2 6" xfId="5815" xr:uid="{00000000-0005-0000-0000-0000B4160000}"/>
    <cellStyle name="Comma 2 14 2 3" xfId="5816" xr:uid="{00000000-0005-0000-0000-0000B5160000}"/>
    <cellStyle name="Comma 2 14 2 3 2" xfId="5817" xr:uid="{00000000-0005-0000-0000-0000B6160000}"/>
    <cellStyle name="Comma 2 14 2 3 2 2" xfId="5818" xr:uid="{00000000-0005-0000-0000-0000B7160000}"/>
    <cellStyle name="Comma 2 14 2 3 3" xfId="5819" xr:uid="{00000000-0005-0000-0000-0000B8160000}"/>
    <cellStyle name="Comma 2 14 2 3 4" xfId="5820" xr:uid="{00000000-0005-0000-0000-0000B9160000}"/>
    <cellStyle name="Comma 2 14 2 3 5" xfId="5821" xr:uid="{00000000-0005-0000-0000-0000BA160000}"/>
    <cellStyle name="Comma 2 14 2 4" xfId="5822" xr:uid="{00000000-0005-0000-0000-0000BB160000}"/>
    <cellStyle name="Comma 2 14 2 4 2" xfId="5823" xr:uid="{00000000-0005-0000-0000-0000BC160000}"/>
    <cellStyle name="Comma 2 14 2 4 3" xfId="5824" xr:uid="{00000000-0005-0000-0000-0000BD160000}"/>
    <cellStyle name="Comma 2 14 2 4 4" xfId="5825" xr:uid="{00000000-0005-0000-0000-0000BE160000}"/>
    <cellStyle name="Comma 2 14 2 5" xfId="5826" xr:uid="{00000000-0005-0000-0000-0000BF160000}"/>
    <cellStyle name="Comma 2 14 2 5 2" xfId="5827" xr:uid="{00000000-0005-0000-0000-0000C0160000}"/>
    <cellStyle name="Comma 2 14 2 6" xfId="5828" xr:uid="{00000000-0005-0000-0000-0000C1160000}"/>
    <cellStyle name="Comma 2 14 2 7" xfId="5829" xr:uid="{00000000-0005-0000-0000-0000C2160000}"/>
    <cellStyle name="Comma 2 14 2 8" xfId="5830" xr:uid="{00000000-0005-0000-0000-0000C3160000}"/>
    <cellStyle name="Comma 2 14 2 9" xfId="5831" xr:uid="{00000000-0005-0000-0000-0000C4160000}"/>
    <cellStyle name="Comma 2 14 3" xfId="5832" xr:uid="{00000000-0005-0000-0000-0000C5160000}"/>
    <cellStyle name="Comma 2 14 3 2" xfId="5833" xr:uid="{00000000-0005-0000-0000-0000C6160000}"/>
    <cellStyle name="Comma 2 14 3 2 2" xfId="5834" xr:uid="{00000000-0005-0000-0000-0000C7160000}"/>
    <cellStyle name="Comma 2 14 3 2 2 2" xfId="5835" xr:uid="{00000000-0005-0000-0000-0000C8160000}"/>
    <cellStyle name="Comma 2 14 3 2 2 3" xfId="5836" xr:uid="{00000000-0005-0000-0000-0000C9160000}"/>
    <cellStyle name="Comma 2 14 3 2 3" xfId="5837" xr:uid="{00000000-0005-0000-0000-0000CA160000}"/>
    <cellStyle name="Comma 2 14 3 2 4" xfId="5838" xr:uid="{00000000-0005-0000-0000-0000CB160000}"/>
    <cellStyle name="Comma 2 14 3 2 5" xfId="5839" xr:uid="{00000000-0005-0000-0000-0000CC160000}"/>
    <cellStyle name="Comma 2 14 3 2 6" xfId="5840" xr:uid="{00000000-0005-0000-0000-0000CD160000}"/>
    <cellStyle name="Comma 2 14 3 3" xfId="5841" xr:uid="{00000000-0005-0000-0000-0000CE160000}"/>
    <cellStyle name="Comma 2 14 3 3 2" xfId="5842" xr:uid="{00000000-0005-0000-0000-0000CF160000}"/>
    <cellStyle name="Comma 2 14 3 3 2 2" xfId="5843" xr:uid="{00000000-0005-0000-0000-0000D0160000}"/>
    <cellStyle name="Comma 2 14 3 3 3" xfId="5844" xr:uid="{00000000-0005-0000-0000-0000D1160000}"/>
    <cellStyle name="Comma 2 14 3 3 4" xfId="5845" xr:uid="{00000000-0005-0000-0000-0000D2160000}"/>
    <cellStyle name="Comma 2 14 3 3 5" xfId="5846" xr:uid="{00000000-0005-0000-0000-0000D3160000}"/>
    <cellStyle name="Comma 2 14 3 4" xfId="5847" xr:uid="{00000000-0005-0000-0000-0000D4160000}"/>
    <cellStyle name="Comma 2 14 3 4 2" xfId="5848" xr:uid="{00000000-0005-0000-0000-0000D5160000}"/>
    <cellStyle name="Comma 2 14 3 4 3" xfId="5849" xr:uid="{00000000-0005-0000-0000-0000D6160000}"/>
    <cellStyle name="Comma 2 14 3 4 4" xfId="5850" xr:uid="{00000000-0005-0000-0000-0000D7160000}"/>
    <cellStyle name="Comma 2 14 3 5" xfId="5851" xr:uid="{00000000-0005-0000-0000-0000D8160000}"/>
    <cellStyle name="Comma 2 14 3 5 2" xfId="5852" xr:uid="{00000000-0005-0000-0000-0000D9160000}"/>
    <cellStyle name="Comma 2 14 3 6" xfId="5853" xr:uid="{00000000-0005-0000-0000-0000DA160000}"/>
    <cellStyle name="Comma 2 14 3 7" xfId="5854" xr:uid="{00000000-0005-0000-0000-0000DB160000}"/>
    <cellStyle name="Comma 2 14 3 8" xfId="5855" xr:uid="{00000000-0005-0000-0000-0000DC160000}"/>
    <cellStyle name="Comma 2 14 3 9" xfId="5856" xr:uid="{00000000-0005-0000-0000-0000DD160000}"/>
    <cellStyle name="Comma 2 14 4" xfId="5857" xr:uid="{00000000-0005-0000-0000-0000DE160000}"/>
    <cellStyle name="Comma 2 14 4 2" xfId="5858" xr:uid="{00000000-0005-0000-0000-0000DF160000}"/>
    <cellStyle name="Comma 2 14 4 2 2" xfId="5859" xr:uid="{00000000-0005-0000-0000-0000E0160000}"/>
    <cellStyle name="Comma 2 14 4 2 3" xfId="5860" xr:uid="{00000000-0005-0000-0000-0000E1160000}"/>
    <cellStyle name="Comma 2 14 4 3" xfId="5861" xr:uid="{00000000-0005-0000-0000-0000E2160000}"/>
    <cellStyle name="Comma 2 14 4 4" xfId="5862" xr:uid="{00000000-0005-0000-0000-0000E3160000}"/>
    <cellStyle name="Comma 2 14 4 5" xfId="5863" xr:uid="{00000000-0005-0000-0000-0000E4160000}"/>
    <cellStyle name="Comma 2 14 4 6" xfId="5864" xr:uid="{00000000-0005-0000-0000-0000E5160000}"/>
    <cellStyle name="Comma 2 14 5" xfId="5865" xr:uid="{00000000-0005-0000-0000-0000E6160000}"/>
    <cellStyle name="Comma 2 14 5 2" xfId="5866" xr:uid="{00000000-0005-0000-0000-0000E7160000}"/>
    <cellStyle name="Comma 2 14 5 2 2" xfId="5867" xr:uid="{00000000-0005-0000-0000-0000E8160000}"/>
    <cellStyle name="Comma 2 14 5 3" xfId="5868" xr:uid="{00000000-0005-0000-0000-0000E9160000}"/>
    <cellStyle name="Comma 2 14 5 4" xfId="5869" xr:uid="{00000000-0005-0000-0000-0000EA160000}"/>
    <cellStyle name="Comma 2 14 5 5" xfId="5870" xr:uid="{00000000-0005-0000-0000-0000EB160000}"/>
    <cellStyle name="Comma 2 14 5 6" xfId="5871" xr:uid="{00000000-0005-0000-0000-0000EC160000}"/>
    <cellStyle name="Comma 2 14 6" xfId="5872" xr:uid="{00000000-0005-0000-0000-0000ED160000}"/>
    <cellStyle name="Comma 2 14 6 2" xfId="5873" xr:uid="{00000000-0005-0000-0000-0000EE160000}"/>
    <cellStyle name="Comma 2 14 6 3" xfId="5874" xr:uid="{00000000-0005-0000-0000-0000EF160000}"/>
    <cellStyle name="Comma 2 14 6 4" xfId="5875" xr:uid="{00000000-0005-0000-0000-0000F0160000}"/>
    <cellStyle name="Comma 2 14 6 5" xfId="5876" xr:uid="{00000000-0005-0000-0000-0000F1160000}"/>
    <cellStyle name="Comma 2 14 7" xfId="5877" xr:uid="{00000000-0005-0000-0000-0000F2160000}"/>
    <cellStyle name="Comma 2 14 7 2" xfId="5878" xr:uid="{00000000-0005-0000-0000-0000F3160000}"/>
    <cellStyle name="Comma 2 14 7 3" xfId="5879" xr:uid="{00000000-0005-0000-0000-0000F4160000}"/>
    <cellStyle name="Comma 2 14 8" xfId="5880" xr:uid="{00000000-0005-0000-0000-0000F5160000}"/>
    <cellStyle name="Comma 2 14 9" xfId="5881" xr:uid="{00000000-0005-0000-0000-0000F6160000}"/>
    <cellStyle name="Comma 2 15" xfId="5882" xr:uid="{00000000-0005-0000-0000-0000F7160000}"/>
    <cellStyle name="Comma 2 15 10" xfId="5883" xr:uid="{00000000-0005-0000-0000-0000F8160000}"/>
    <cellStyle name="Comma 2 15 11" xfId="5884" xr:uid="{00000000-0005-0000-0000-0000F9160000}"/>
    <cellStyle name="Comma 2 15 2" xfId="5885" xr:uid="{00000000-0005-0000-0000-0000FA160000}"/>
    <cellStyle name="Comma 2 15 2 2" xfId="5886" xr:uid="{00000000-0005-0000-0000-0000FB160000}"/>
    <cellStyle name="Comma 2 15 2 2 2" xfId="5887" xr:uid="{00000000-0005-0000-0000-0000FC160000}"/>
    <cellStyle name="Comma 2 15 2 2 2 2" xfId="5888" xr:uid="{00000000-0005-0000-0000-0000FD160000}"/>
    <cellStyle name="Comma 2 15 2 2 2 3" xfId="5889" xr:uid="{00000000-0005-0000-0000-0000FE160000}"/>
    <cellStyle name="Comma 2 15 2 2 3" xfId="5890" xr:uid="{00000000-0005-0000-0000-0000FF160000}"/>
    <cellStyle name="Comma 2 15 2 2 4" xfId="5891" xr:uid="{00000000-0005-0000-0000-000000170000}"/>
    <cellStyle name="Comma 2 15 2 2 5" xfId="5892" xr:uid="{00000000-0005-0000-0000-000001170000}"/>
    <cellStyle name="Comma 2 15 2 2 6" xfId="5893" xr:uid="{00000000-0005-0000-0000-000002170000}"/>
    <cellStyle name="Comma 2 15 2 3" xfId="5894" xr:uid="{00000000-0005-0000-0000-000003170000}"/>
    <cellStyle name="Comma 2 15 2 3 2" xfId="5895" xr:uid="{00000000-0005-0000-0000-000004170000}"/>
    <cellStyle name="Comma 2 15 2 3 2 2" xfId="5896" xr:uid="{00000000-0005-0000-0000-000005170000}"/>
    <cellStyle name="Comma 2 15 2 3 3" xfId="5897" xr:uid="{00000000-0005-0000-0000-000006170000}"/>
    <cellStyle name="Comma 2 15 2 3 4" xfId="5898" xr:uid="{00000000-0005-0000-0000-000007170000}"/>
    <cellStyle name="Comma 2 15 2 3 5" xfId="5899" xr:uid="{00000000-0005-0000-0000-000008170000}"/>
    <cellStyle name="Comma 2 15 2 4" xfId="5900" xr:uid="{00000000-0005-0000-0000-000009170000}"/>
    <cellStyle name="Comma 2 15 2 4 2" xfId="5901" xr:uid="{00000000-0005-0000-0000-00000A170000}"/>
    <cellStyle name="Comma 2 15 2 4 3" xfId="5902" xr:uid="{00000000-0005-0000-0000-00000B170000}"/>
    <cellStyle name="Comma 2 15 2 4 4" xfId="5903" xr:uid="{00000000-0005-0000-0000-00000C170000}"/>
    <cellStyle name="Comma 2 15 2 5" xfId="5904" xr:uid="{00000000-0005-0000-0000-00000D170000}"/>
    <cellStyle name="Comma 2 15 2 5 2" xfId="5905" xr:uid="{00000000-0005-0000-0000-00000E170000}"/>
    <cellStyle name="Comma 2 15 2 6" xfId="5906" xr:uid="{00000000-0005-0000-0000-00000F170000}"/>
    <cellStyle name="Comma 2 15 2 7" xfId="5907" xr:uid="{00000000-0005-0000-0000-000010170000}"/>
    <cellStyle name="Comma 2 15 2 8" xfId="5908" xr:uid="{00000000-0005-0000-0000-000011170000}"/>
    <cellStyle name="Comma 2 15 2 9" xfId="5909" xr:uid="{00000000-0005-0000-0000-000012170000}"/>
    <cellStyle name="Comma 2 15 3" xfId="5910" xr:uid="{00000000-0005-0000-0000-000013170000}"/>
    <cellStyle name="Comma 2 15 3 2" xfId="5911" xr:uid="{00000000-0005-0000-0000-000014170000}"/>
    <cellStyle name="Comma 2 15 3 2 2" xfId="5912" xr:uid="{00000000-0005-0000-0000-000015170000}"/>
    <cellStyle name="Comma 2 15 3 2 2 2" xfId="5913" xr:uid="{00000000-0005-0000-0000-000016170000}"/>
    <cellStyle name="Comma 2 15 3 2 2 3" xfId="5914" xr:uid="{00000000-0005-0000-0000-000017170000}"/>
    <cellStyle name="Comma 2 15 3 2 3" xfId="5915" xr:uid="{00000000-0005-0000-0000-000018170000}"/>
    <cellStyle name="Comma 2 15 3 2 4" xfId="5916" xr:uid="{00000000-0005-0000-0000-000019170000}"/>
    <cellStyle name="Comma 2 15 3 2 5" xfId="5917" xr:uid="{00000000-0005-0000-0000-00001A170000}"/>
    <cellStyle name="Comma 2 15 3 2 6" xfId="5918" xr:uid="{00000000-0005-0000-0000-00001B170000}"/>
    <cellStyle name="Comma 2 15 3 3" xfId="5919" xr:uid="{00000000-0005-0000-0000-00001C170000}"/>
    <cellStyle name="Comma 2 15 3 3 2" xfId="5920" xr:uid="{00000000-0005-0000-0000-00001D170000}"/>
    <cellStyle name="Comma 2 15 3 3 2 2" xfId="5921" xr:uid="{00000000-0005-0000-0000-00001E170000}"/>
    <cellStyle name="Comma 2 15 3 3 3" xfId="5922" xr:uid="{00000000-0005-0000-0000-00001F170000}"/>
    <cellStyle name="Comma 2 15 3 3 4" xfId="5923" xr:uid="{00000000-0005-0000-0000-000020170000}"/>
    <cellStyle name="Comma 2 15 3 3 5" xfId="5924" xr:uid="{00000000-0005-0000-0000-000021170000}"/>
    <cellStyle name="Comma 2 15 3 4" xfId="5925" xr:uid="{00000000-0005-0000-0000-000022170000}"/>
    <cellStyle name="Comma 2 15 3 4 2" xfId="5926" xr:uid="{00000000-0005-0000-0000-000023170000}"/>
    <cellStyle name="Comma 2 15 3 4 3" xfId="5927" xr:uid="{00000000-0005-0000-0000-000024170000}"/>
    <cellStyle name="Comma 2 15 3 4 4" xfId="5928" xr:uid="{00000000-0005-0000-0000-000025170000}"/>
    <cellStyle name="Comma 2 15 3 5" xfId="5929" xr:uid="{00000000-0005-0000-0000-000026170000}"/>
    <cellStyle name="Comma 2 15 3 5 2" xfId="5930" xr:uid="{00000000-0005-0000-0000-000027170000}"/>
    <cellStyle name="Comma 2 15 3 6" xfId="5931" xr:uid="{00000000-0005-0000-0000-000028170000}"/>
    <cellStyle name="Comma 2 15 3 7" xfId="5932" xr:uid="{00000000-0005-0000-0000-000029170000}"/>
    <cellStyle name="Comma 2 15 3 8" xfId="5933" xr:uid="{00000000-0005-0000-0000-00002A170000}"/>
    <cellStyle name="Comma 2 15 3 9" xfId="5934" xr:uid="{00000000-0005-0000-0000-00002B170000}"/>
    <cellStyle name="Comma 2 15 4" xfId="5935" xr:uid="{00000000-0005-0000-0000-00002C170000}"/>
    <cellStyle name="Comma 2 15 4 2" xfId="5936" xr:uid="{00000000-0005-0000-0000-00002D170000}"/>
    <cellStyle name="Comma 2 15 4 2 2" xfId="5937" xr:uid="{00000000-0005-0000-0000-00002E170000}"/>
    <cellStyle name="Comma 2 15 4 2 3" xfId="5938" xr:uid="{00000000-0005-0000-0000-00002F170000}"/>
    <cellStyle name="Comma 2 15 4 3" xfId="5939" xr:uid="{00000000-0005-0000-0000-000030170000}"/>
    <cellStyle name="Comma 2 15 4 4" xfId="5940" xr:uid="{00000000-0005-0000-0000-000031170000}"/>
    <cellStyle name="Comma 2 15 4 5" xfId="5941" xr:uid="{00000000-0005-0000-0000-000032170000}"/>
    <cellStyle name="Comma 2 15 4 6" xfId="5942" xr:uid="{00000000-0005-0000-0000-000033170000}"/>
    <cellStyle name="Comma 2 15 5" xfId="5943" xr:uid="{00000000-0005-0000-0000-000034170000}"/>
    <cellStyle name="Comma 2 15 5 2" xfId="5944" xr:uid="{00000000-0005-0000-0000-000035170000}"/>
    <cellStyle name="Comma 2 15 5 2 2" xfId="5945" xr:uid="{00000000-0005-0000-0000-000036170000}"/>
    <cellStyle name="Comma 2 15 5 3" xfId="5946" xr:uid="{00000000-0005-0000-0000-000037170000}"/>
    <cellStyle name="Comma 2 15 5 4" xfId="5947" xr:uid="{00000000-0005-0000-0000-000038170000}"/>
    <cellStyle name="Comma 2 15 5 5" xfId="5948" xr:uid="{00000000-0005-0000-0000-000039170000}"/>
    <cellStyle name="Comma 2 15 5 6" xfId="5949" xr:uid="{00000000-0005-0000-0000-00003A170000}"/>
    <cellStyle name="Comma 2 15 6" xfId="5950" xr:uid="{00000000-0005-0000-0000-00003B170000}"/>
    <cellStyle name="Comma 2 15 6 2" xfId="5951" xr:uid="{00000000-0005-0000-0000-00003C170000}"/>
    <cellStyle name="Comma 2 15 6 3" xfId="5952" xr:uid="{00000000-0005-0000-0000-00003D170000}"/>
    <cellStyle name="Comma 2 15 6 4" xfId="5953" xr:uid="{00000000-0005-0000-0000-00003E170000}"/>
    <cellStyle name="Comma 2 15 6 5" xfId="5954" xr:uid="{00000000-0005-0000-0000-00003F170000}"/>
    <cellStyle name="Comma 2 15 7" xfId="5955" xr:uid="{00000000-0005-0000-0000-000040170000}"/>
    <cellStyle name="Comma 2 15 7 2" xfId="5956" xr:uid="{00000000-0005-0000-0000-000041170000}"/>
    <cellStyle name="Comma 2 15 7 3" xfId="5957" xr:uid="{00000000-0005-0000-0000-000042170000}"/>
    <cellStyle name="Comma 2 15 8" xfId="5958" xr:uid="{00000000-0005-0000-0000-000043170000}"/>
    <cellStyle name="Comma 2 15 9" xfId="5959" xr:uid="{00000000-0005-0000-0000-000044170000}"/>
    <cellStyle name="Comma 2 16" xfId="5960" xr:uid="{00000000-0005-0000-0000-000045170000}"/>
    <cellStyle name="Comma 2 16 10" xfId="5961" xr:uid="{00000000-0005-0000-0000-000046170000}"/>
    <cellStyle name="Comma 2 16 2" xfId="5962" xr:uid="{00000000-0005-0000-0000-000047170000}"/>
    <cellStyle name="Comma 2 16 2 2" xfId="5963" xr:uid="{00000000-0005-0000-0000-000048170000}"/>
    <cellStyle name="Comma 2 16 2 2 2" xfId="5964" xr:uid="{00000000-0005-0000-0000-000049170000}"/>
    <cellStyle name="Comma 2 16 2 2 3" xfId="5965" xr:uid="{00000000-0005-0000-0000-00004A170000}"/>
    <cellStyle name="Comma 2 16 2 3" xfId="5966" xr:uid="{00000000-0005-0000-0000-00004B170000}"/>
    <cellStyle name="Comma 2 16 2 4" xfId="5967" xr:uid="{00000000-0005-0000-0000-00004C170000}"/>
    <cellStyle name="Comma 2 16 2 5" xfId="5968" xr:uid="{00000000-0005-0000-0000-00004D170000}"/>
    <cellStyle name="Comma 2 16 2 6" xfId="5969" xr:uid="{00000000-0005-0000-0000-00004E170000}"/>
    <cellStyle name="Comma 2 16 3" xfId="5970" xr:uid="{00000000-0005-0000-0000-00004F170000}"/>
    <cellStyle name="Comma 2 16 3 2" xfId="5971" xr:uid="{00000000-0005-0000-0000-000050170000}"/>
    <cellStyle name="Comma 2 16 3 2 2" xfId="5972" xr:uid="{00000000-0005-0000-0000-000051170000}"/>
    <cellStyle name="Comma 2 16 3 2 3" xfId="5973" xr:uid="{00000000-0005-0000-0000-000052170000}"/>
    <cellStyle name="Comma 2 16 3 3" xfId="5974" xr:uid="{00000000-0005-0000-0000-000053170000}"/>
    <cellStyle name="Comma 2 16 3 4" xfId="5975" xr:uid="{00000000-0005-0000-0000-000054170000}"/>
    <cellStyle name="Comma 2 16 3 5" xfId="5976" xr:uid="{00000000-0005-0000-0000-000055170000}"/>
    <cellStyle name="Comma 2 16 3 6" xfId="5977" xr:uid="{00000000-0005-0000-0000-000056170000}"/>
    <cellStyle name="Comma 2 16 4" xfId="5978" xr:uid="{00000000-0005-0000-0000-000057170000}"/>
    <cellStyle name="Comma 2 16 4 2" xfId="5979" xr:uid="{00000000-0005-0000-0000-000058170000}"/>
    <cellStyle name="Comma 2 16 4 2 2" xfId="5980" xr:uid="{00000000-0005-0000-0000-000059170000}"/>
    <cellStyle name="Comma 2 16 4 3" xfId="5981" xr:uid="{00000000-0005-0000-0000-00005A170000}"/>
    <cellStyle name="Comma 2 16 4 4" xfId="5982" xr:uid="{00000000-0005-0000-0000-00005B170000}"/>
    <cellStyle name="Comma 2 16 4 5" xfId="5983" xr:uid="{00000000-0005-0000-0000-00005C170000}"/>
    <cellStyle name="Comma 2 16 4 6" xfId="5984" xr:uid="{00000000-0005-0000-0000-00005D170000}"/>
    <cellStyle name="Comma 2 16 5" xfId="5985" xr:uid="{00000000-0005-0000-0000-00005E170000}"/>
    <cellStyle name="Comma 2 16 5 2" xfId="5986" xr:uid="{00000000-0005-0000-0000-00005F170000}"/>
    <cellStyle name="Comma 2 16 5 3" xfId="5987" xr:uid="{00000000-0005-0000-0000-000060170000}"/>
    <cellStyle name="Comma 2 16 5 4" xfId="5988" xr:uid="{00000000-0005-0000-0000-000061170000}"/>
    <cellStyle name="Comma 2 16 5 5" xfId="5989" xr:uid="{00000000-0005-0000-0000-000062170000}"/>
    <cellStyle name="Comma 2 16 6" xfId="5990" xr:uid="{00000000-0005-0000-0000-000063170000}"/>
    <cellStyle name="Comma 2 16 6 2" xfId="5991" xr:uid="{00000000-0005-0000-0000-000064170000}"/>
    <cellStyle name="Comma 2 16 6 3" xfId="5992" xr:uid="{00000000-0005-0000-0000-000065170000}"/>
    <cellStyle name="Comma 2 16 7" xfId="5993" xr:uid="{00000000-0005-0000-0000-000066170000}"/>
    <cellStyle name="Comma 2 16 7 2" xfId="5994" xr:uid="{00000000-0005-0000-0000-000067170000}"/>
    <cellStyle name="Comma 2 16 8" xfId="5995" xr:uid="{00000000-0005-0000-0000-000068170000}"/>
    <cellStyle name="Comma 2 16 9" xfId="5996" xr:uid="{00000000-0005-0000-0000-000069170000}"/>
    <cellStyle name="Comma 2 17" xfId="5997" xr:uid="{00000000-0005-0000-0000-00006A170000}"/>
    <cellStyle name="Comma 2 17 10" xfId="5998" xr:uid="{00000000-0005-0000-0000-00006B170000}"/>
    <cellStyle name="Comma 2 17 2" xfId="5999" xr:uid="{00000000-0005-0000-0000-00006C170000}"/>
    <cellStyle name="Comma 2 17 2 2" xfId="6000" xr:uid="{00000000-0005-0000-0000-00006D170000}"/>
    <cellStyle name="Comma 2 17 2 2 2" xfId="6001" xr:uid="{00000000-0005-0000-0000-00006E170000}"/>
    <cellStyle name="Comma 2 17 2 2 3" xfId="6002" xr:uid="{00000000-0005-0000-0000-00006F170000}"/>
    <cellStyle name="Comma 2 17 2 3" xfId="6003" xr:uid="{00000000-0005-0000-0000-000070170000}"/>
    <cellStyle name="Comma 2 17 2 4" xfId="6004" xr:uid="{00000000-0005-0000-0000-000071170000}"/>
    <cellStyle name="Comma 2 17 2 5" xfId="6005" xr:uid="{00000000-0005-0000-0000-000072170000}"/>
    <cellStyle name="Comma 2 17 2 6" xfId="6006" xr:uid="{00000000-0005-0000-0000-000073170000}"/>
    <cellStyle name="Comma 2 17 3" xfId="6007" xr:uid="{00000000-0005-0000-0000-000074170000}"/>
    <cellStyle name="Comma 2 17 3 2" xfId="6008" xr:uid="{00000000-0005-0000-0000-000075170000}"/>
    <cellStyle name="Comma 2 17 3 2 2" xfId="6009" xr:uid="{00000000-0005-0000-0000-000076170000}"/>
    <cellStyle name="Comma 2 17 3 2 3" xfId="6010" xr:uid="{00000000-0005-0000-0000-000077170000}"/>
    <cellStyle name="Comma 2 17 3 3" xfId="6011" xr:uid="{00000000-0005-0000-0000-000078170000}"/>
    <cellStyle name="Comma 2 17 3 4" xfId="6012" xr:uid="{00000000-0005-0000-0000-000079170000}"/>
    <cellStyle name="Comma 2 17 3 5" xfId="6013" xr:uid="{00000000-0005-0000-0000-00007A170000}"/>
    <cellStyle name="Comma 2 17 3 6" xfId="6014" xr:uid="{00000000-0005-0000-0000-00007B170000}"/>
    <cellStyle name="Comma 2 17 4" xfId="6015" xr:uid="{00000000-0005-0000-0000-00007C170000}"/>
    <cellStyle name="Comma 2 17 4 2" xfId="6016" xr:uid="{00000000-0005-0000-0000-00007D170000}"/>
    <cellStyle name="Comma 2 17 4 2 2" xfId="6017" xr:uid="{00000000-0005-0000-0000-00007E170000}"/>
    <cellStyle name="Comma 2 17 4 3" xfId="6018" xr:uid="{00000000-0005-0000-0000-00007F170000}"/>
    <cellStyle name="Comma 2 17 4 4" xfId="6019" xr:uid="{00000000-0005-0000-0000-000080170000}"/>
    <cellStyle name="Comma 2 17 4 5" xfId="6020" xr:uid="{00000000-0005-0000-0000-000081170000}"/>
    <cellStyle name="Comma 2 17 4 6" xfId="6021" xr:uid="{00000000-0005-0000-0000-000082170000}"/>
    <cellStyle name="Comma 2 17 5" xfId="6022" xr:uid="{00000000-0005-0000-0000-000083170000}"/>
    <cellStyle name="Comma 2 17 5 2" xfId="6023" xr:uid="{00000000-0005-0000-0000-000084170000}"/>
    <cellStyle name="Comma 2 17 5 3" xfId="6024" xr:uid="{00000000-0005-0000-0000-000085170000}"/>
    <cellStyle name="Comma 2 17 5 4" xfId="6025" xr:uid="{00000000-0005-0000-0000-000086170000}"/>
    <cellStyle name="Comma 2 17 5 5" xfId="6026" xr:uid="{00000000-0005-0000-0000-000087170000}"/>
    <cellStyle name="Comma 2 17 6" xfId="6027" xr:uid="{00000000-0005-0000-0000-000088170000}"/>
    <cellStyle name="Comma 2 17 6 2" xfId="6028" xr:uid="{00000000-0005-0000-0000-000089170000}"/>
    <cellStyle name="Comma 2 17 6 3" xfId="6029" xr:uid="{00000000-0005-0000-0000-00008A170000}"/>
    <cellStyle name="Comma 2 17 7" xfId="6030" xr:uid="{00000000-0005-0000-0000-00008B170000}"/>
    <cellStyle name="Comma 2 17 7 2" xfId="6031" xr:uid="{00000000-0005-0000-0000-00008C170000}"/>
    <cellStyle name="Comma 2 17 8" xfId="6032" xr:uid="{00000000-0005-0000-0000-00008D170000}"/>
    <cellStyle name="Comma 2 17 9" xfId="6033" xr:uid="{00000000-0005-0000-0000-00008E170000}"/>
    <cellStyle name="Comma 2 18" xfId="6034" xr:uid="{00000000-0005-0000-0000-00008F170000}"/>
    <cellStyle name="Comma 2 18 10" xfId="6035" xr:uid="{00000000-0005-0000-0000-000090170000}"/>
    <cellStyle name="Comma 2 18 2" xfId="6036" xr:uid="{00000000-0005-0000-0000-000091170000}"/>
    <cellStyle name="Comma 2 18 2 2" xfId="6037" xr:uid="{00000000-0005-0000-0000-000092170000}"/>
    <cellStyle name="Comma 2 18 2 2 2" xfId="6038" xr:uid="{00000000-0005-0000-0000-000093170000}"/>
    <cellStyle name="Comma 2 18 2 2 3" xfId="6039" xr:uid="{00000000-0005-0000-0000-000094170000}"/>
    <cellStyle name="Comma 2 18 2 3" xfId="6040" xr:uid="{00000000-0005-0000-0000-000095170000}"/>
    <cellStyle name="Comma 2 18 2 4" xfId="6041" xr:uid="{00000000-0005-0000-0000-000096170000}"/>
    <cellStyle name="Comma 2 18 2 5" xfId="6042" xr:uid="{00000000-0005-0000-0000-000097170000}"/>
    <cellStyle name="Comma 2 18 2 6" xfId="6043" xr:uid="{00000000-0005-0000-0000-000098170000}"/>
    <cellStyle name="Comma 2 18 3" xfId="6044" xr:uid="{00000000-0005-0000-0000-000099170000}"/>
    <cellStyle name="Comma 2 18 3 2" xfId="6045" xr:uid="{00000000-0005-0000-0000-00009A170000}"/>
    <cellStyle name="Comma 2 18 3 2 2" xfId="6046" xr:uid="{00000000-0005-0000-0000-00009B170000}"/>
    <cellStyle name="Comma 2 18 3 2 3" xfId="6047" xr:uid="{00000000-0005-0000-0000-00009C170000}"/>
    <cellStyle name="Comma 2 18 3 3" xfId="6048" xr:uid="{00000000-0005-0000-0000-00009D170000}"/>
    <cellStyle name="Comma 2 18 3 4" xfId="6049" xr:uid="{00000000-0005-0000-0000-00009E170000}"/>
    <cellStyle name="Comma 2 18 3 5" xfId="6050" xr:uid="{00000000-0005-0000-0000-00009F170000}"/>
    <cellStyle name="Comma 2 18 3 6" xfId="6051" xr:uid="{00000000-0005-0000-0000-0000A0170000}"/>
    <cellStyle name="Comma 2 18 4" xfId="6052" xr:uid="{00000000-0005-0000-0000-0000A1170000}"/>
    <cellStyle name="Comma 2 18 4 2" xfId="6053" xr:uid="{00000000-0005-0000-0000-0000A2170000}"/>
    <cellStyle name="Comma 2 18 4 2 2" xfId="6054" xr:uid="{00000000-0005-0000-0000-0000A3170000}"/>
    <cellStyle name="Comma 2 18 4 3" xfId="6055" xr:uid="{00000000-0005-0000-0000-0000A4170000}"/>
    <cellStyle name="Comma 2 18 4 4" xfId="6056" xr:uid="{00000000-0005-0000-0000-0000A5170000}"/>
    <cellStyle name="Comma 2 18 4 5" xfId="6057" xr:uid="{00000000-0005-0000-0000-0000A6170000}"/>
    <cellStyle name="Comma 2 18 4 6" xfId="6058" xr:uid="{00000000-0005-0000-0000-0000A7170000}"/>
    <cellStyle name="Comma 2 18 5" xfId="6059" xr:uid="{00000000-0005-0000-0000-0000A8170000}"/>
    <cellStyle name="Comma 2 18 5 2" xfId="6060" xr:uid="{00000000-0005-0000-0000-0000A9170000}"/>
    <cellStyle name="Comma 2 18 5 3" xfId="6061" xr:uid="{00000000-0005-0000-0000-0000AA170000}"/>
    <cellStyle name="Comma 2 18 5 4" xfId="6062" xr:uid="{00000000-0005-0000-0000-0000AB170000}"/>
    <cellStyle name="Comma 2 18 5 5" xfId="6063" xr:uid="{00000000-0005-0000-0000-0000AC170000}"/>
    <cellStyle name="Comma 2 18 6" xfId="6064" xr:uid="{00000000-0005-0000-0000-0000AD170000}"/>
    <cellStyle name="Comma 2 18 6 2" xfId="6065" xr:uid="{00000000-0005-0000-0000-0000AE170000}"/>
    <cellStyle name="Comma 2 18 6 3" xfId="6066" xr:uid="{00000000-0005-0000-0000-0000AF170000}"/>
    <cellStyle name="Comma 2 18 7" xfId="6067" xr:uid="{00000000-0005-0000-0000-0000B0170000}"/>
    <cellStyle name="Comma 2 18 7 2" xfId="6068" xr:uid="{00000000-0005-0000-0000-0000B1170000}"/>
    <cellStyle name="Comma 2 18 8" xfId="6069" xr:uid="{00000000-0005-0000-0000-0000B2170000}"/>
    <cellStyle name="Comma 2 18 9" xfId="6070" xr:uid="{00000000-0005-0000-0000-0000B3170000}"/>
    <cellStyle name="Comma 2 19" xfId="6071" xr:uid="{00000000-0005-0000-0000-0000B4170000}"/>
    <cellStyle name="Comma 2 19 10" xfId="6072" xr:uid="{00000000-0005-0000-0000-0000B5170000}"/>
    <cellStyle name="Comma 2 19 2" xfId="6073" xr:uid="{00000000-0005-0000-0000-0000B6170000}"/>
    <cellStyle name="Comma 2 19 2 2" xfId="6074" xr:uid="{00000000-0005-0000-0000-0000B7170000}"/>
    <cellStyle name="Comma 2 19 2 2 2" xfId="6075" xr:uid="{00000000-0005-0000-0000-0000B8170000}"/>
    <cellStyle name="Comma 2 19 2 2 3" xfId="6076" xr:uid="{00000000-0005-0000-0000-0000B9170000}"/>
    <cellStyle name="Comma 2 19 2 3" xfId="6077" xr:uid="{00000000-0005-0000-0000-0000BA170000}"/>
    <cellStyle name="Comma 2 19 2 4" xfId="6078" xr:uid="{00000000-0005-0000-0000-0000BB170000}"/>
    <cellStyle name="Comma 2 19 2 5" xfId="6079" xr:uid="{00000000-0005-0000-0000-0000BC170000}"/>
    <cellStyle name="Comma 2 19 2 6" xfId="6080" xr:uid="{00000000-0005-0000-0000-0000BD170000}"/>
    <cellStyle name="Comma 2 19 3" xfId="6081" xr:uid="{00000000-0005-0000-0000-0000BE170000}"/>
    <cellStyle name="Comma 2 19 3 2" xfId="6082" xr:uid="{00000000-0005-0000-0000-0000BF170000}"/>
    <cellStyle name="Comma 2 19 3 2 2" xfId="6083" xr:uid="{00000000-0005-0000-0000-0000C0170000}"/>
    <cellStyle name="Comma 2 19 3 2 3" xfId="6084" xr:uid="{00000000-0005-0000-0000-0000C1170000}"/>
    <cellStyle name="Comma 2 19 3 3" xfId="6085" xr:uid="{00000000-0005-0000-0000-0000C2170000}"/>
    <cellStyle name="Comma 2 19 3 4" xfId="6086" xr:uid="{00000000-0005-0000-0000-0000C3170000}"/>
    <cellStyle name="Comma 2 19 3 5" xfId="6087" xr:uid="{00000000-0005-0000-0000-0000C4170000}"/>
    <cellStyle name="Comma 2 19 3 6" xfId="6088" xr:uid="{00000000-0005-0000-0000-0000C5170000}"/>
    <cellStyle name="Comma 2 19 4" xfId="6089" xr:uid="{00000000-0005-0000-0000-0000C6170000}"/>
    <cellStyle name="Comma 2 19 4 2" xfId="6090" xr:uid="{00000000-0005-0000-0000-0000C7170000}"/>
    <cellStyle name="Comma 2 19 4 2 2" xfId="6091" xr:uid="{00000000-0005-0000-0000-0000C8170000}"/>
    <cellStyle name="Comma 2 19 4 3" xfId="6092" xr:uid="{00000000-0005-0000-0000-0000C9170000}"/>
    <cellStyle name="Comma 2 19 4 4" xfId="6093" xr:uid="{00000000-0005-0000-0000-0000CA170000}"/>
    <cellStyle name="Comma 2 19 4 5" xfId="6094" xr:uid="{00000000-0005-0000-0000-0000CB170000}"/>
    <cellStyle name="Comma 2 19 4 6" xfId="6095" xr:uid="{00000000-0005-0000-0000-0000CC170000}"/>
    <cellStyle name="Comma 2 19 5" xfId="6096" xr:uid="{00000000-0005-0000-0000-0000CD170000}"/>
    <cellStyle name="Comma 2 19 5 2" xfId="6097" xr:uid="{00000000-0005-0000-0000-0000CE170000}"/>
    <cellStyle name="Comma 2 19 5 3" xfId="6098" xr:uid="{00000000-0005-0000-0000-0000CF170000}"/>
    <cellStyle name="Comma 2 19 5 4" xfId="6099" xr:uid="{00000000-0005-0000-0000-0000D0170000}"/>
    <cellStyle name="Comma 2 19 5 5" xfId="6100" xr:uid="{00000000-0005-0000-0000-0000D1170000}"/>
    <cellStyle name="Comma 2 19 6" xfId="6101" xr:uid="{00000000-0005-0000-0000-0000D2170000}"/>
    <cellStyle name="Comma 2 19 6 2" xfId="6102" xr:uid="{00000000-0005-0000-0000-0000D3170000}"/>
    <cellStyle name="Comma 2 19 6 3" xfId="6103" xr:uid="{00000000-0005-0000-0000-0000D4170000}"/>
    <cellStyle name="Comma 2 19 7" xfId="6104" xr:uid="{00000000-0005-0000-0000-0000D5170000}"/>
    <cellStyle name="Comma 2 19 7 2" xfId="6105" xr:uid="{00000000-0005-0000-0000-0000D6170000}"/>
    <cellStyle name="Comma 2 19 8" xfId="6106" xr:uid="{00000000-0005-0000-0000-0000D7170000}"/>
    <cellStyle name="Comma 2 19 9" xfId="6107" xr:uid="{00000000-0005-0000-0000-0000D8170000}"/>
    <cellStyle name="Comma 2 2" xfId="6108" xr:uid="{00000000-0005-0000-0000-0000D9170000}"/>
    <cellStyle name="Comma 2 2 10" xfId="6109" xr:uid="{00000000-0005-0000-0000-0000DA170000}"/>
    <cellStyle name="Comma 2 2 10 10" xfId="6110" xr:uid="{00000000-0005-0000-0000-0000DB170000}"/>
    <cellStyle name="Comma 2 2 10 2" xfId="6111" xr:uid="{00000000-0005-0000-0000-0000DC170000}"/>
    <cellStyle name="Comma 2 2 10 2 2" xfId="6112" xr:uid="{00000000-0005-0000-0000-0000DD170000}"/>
    <cellStyle name="Comma 2 2 10 2 2 2" xfId="6113" xr:uid="{00000000-0005-0000-0000-0000DE170000}"/>
    <cellStyle name="Comma 2 2 10 2 2 3" xfId="6114" xr:uid="{00000000-0005-0000-0000-0000DF170000}"/>
    <cellStyle name="Comma 2 2 10 2 3" xfId="6115" xr:uid="{00000000-0005-0000-0000-0000E0170000}"/>
    <cellStyle name="Comma 2 2 10 2 4" xfId="6116" xr:uid="{00000000-0005-0000-0000-0000E1170000}"/>
    <cellStyle name="Comma 2 2 10 2 5" xfId="6117" xr:uid="{00000000-0005-0000-0000-0000E2170000}"/>
    <cellStyle name="Comma 2 2 10 2 6" xfId="6118" xr:uid="{00000000-0005-0000-0000-0000E3170000}"/>
    <cellStyle name="Comma 2 2 10 3" xfId="6119" xr:uid="{00000000-0005-0000-0000-0000E4170000}"/>
    <cellStyle name="Comma 2 2 10 3 2" xfId="6120" xr:uid="{00000000-0005-0000-0000-0000E5170000}"/>
    <cellStyle name="Comma 2 2 10 3 2 2" xfId="6121" xr:uid="{00000000-0005-0000-0000-0000E6170000}"/>
    <cellStyle name="Comma 2 2 10 3 2 3" xfId="6122" xr:uid="{00000000-0005-0000-0000-0000E7170000}"/>
    <cellStyle name="Comma 2 2 10 3 3" xfId="6123" xr:uid="{00000000-0005-0000-0000-0000E8170000}"/>
    <cellStyle name="Comma 2 2 10 3 4" xfId="6124" xr:uid="{00000000-0005-0000-0000-0000E9170000}"/>
    <cellStyle name="Comma 2 2 10 3 5" xfId="6125" xr:uid="{00000000-0005-0000-0000-0000EA170000}"/>
    <cellStyle name="Comma 2 2 10 3 6" xfId="6126" xr:uid="{00000000-0005-0000-0000-0000EB170000}"/>
    <cellStyle name="Comma 2 2 10 4" xfId="6127" xr:uid="{00000000-0005-0000-0000-0000EC170000}"/>
    <cellStyle name="Comma 2 2 10 4 2" xfId="6128" xr:uid="{00000000-0005-0000-0000-0000ED170000}"/>
    <cellStyle name="Comma 2 2 10 4 2 2" xfId="6129" xr:uid="{00000000-0005-0000-0000-0000EE170000}"/>
    <cellStyle name="Comma 2 2 10 4 3" xfId="6130" xr:uid="{00000000-0005-0000-0000-0000EF170000}"/>
    <cellStyle name="Comma 2 2 10 4 4" xfId="6131" xr:uid="{00000000-0005-0000-0000-0000F0170000}"/>
    <cellStyle name="Comma 2 2 10 4 5" xfId="6132" xr:uid="{00000000-0005-0000-0000-0000F1170000}"/>
    <cellStyle name="Comma 2 2 10 5" xfId="6133" xr:uid="{00000000-0005-0000-0000-0000F2170000}"/>
    <cellStyle name="Comma 2 2 10 5 2" xfId="6134" xr:uid="{00000000-0005-0000-0000-0000F3170000}"/>
    <cellStyle name="Comma 2 2 10 5 3" xfId="6135" xr:uid="{00000000-0005-0000-0000-0000F4170000}"/>
    <cellStyle name="Comma 2 2 10 5 4" xfId="6136" xr:uid="{00000000-0005-0000-0000-0000F5170000}"/>
    <cellStyle name="Comma 2 2 10 6" xfId="6137" xr:uid="{00000000-0005-0000-0000-0000F6170000}"/>
    <cellStyle name="Comma 2 2 10 6 2" xfId="6138" xr:uid="{00000000-0005-0000-0000-0000F7170000}"/>
    <cellStyle name="Comma 2 2 10 7" xfId="6139" xr:uid="{00000000-0005-0000-0000-0000F8170000}"/>
    <cellStyle name="Comma 2 2 10 8" xfId="6140" xr:uid="{00000000-0005-0000-0000-0000F9170000}"/>
    <cellStyle name="Comma 2 2 10 9" xfId="6141" xr:uid="{00000000-0005-0000-0000-0000FA170000}"/>
    <cellStyle name="Comma 2 2 11" xfId="6142" xr:uid="{00000000-0005-0000-0000-0000FB170000}"/>
    <cellStyle name="Comma 2 2 11 10" xfId="6143" xr:uid="{00000000-0005-0000-0000-0000FC170000}"/>
    <cellStyle name="Comma 2 2 11 2" xfId="6144" xr:uid="{00000000-0005-0000-0000-0000FD170000}"/>
    <cellStyle name="Comma 2 2 11 2 2" xfId="6145" xr:uid="{00000000-0005-0000-0000-0000FE170000}"/>
    <cellStyle name="Comma 2 2 11 2 2 2" xfId="6146" xr:uid="{00000000-0005-0000-0000-0000FF170000}"/>
    <cellStyle name="Comma 2 2 11 2 2 3" xfId="6147" xr:uid="{00000000-0005-0000-0000-000000180000}"/>
    <cellStyle name="Comma 2 2 11 2 3" xfId="6148" xr:uid="{00000000-0005-0000-0000-000001180000}"/>
    <cellStyle name="Comma 2 2 11 2 4" xfId="6149" xr:uid="{00000000-0005-0000-0000-000002180000}"/>
    <cellStyle name="Comma 2 2 11 2 5" xfId="6150" xr:uid="{00000000-0005-0000-0000-000003180000}"/>
    <cellStyle name="Comma 2 2 11 2 6" xfId="6151" xr:uid="{00000000-0005-0000-0000-000004180000}"/>
    <cellStyle name="Comma 2 2 11 3" xfId="6152" xr:uid="{00000000-0005-0000-0000-000005180000}"/>
    <cellStyle name="Comma 2 2 11 3 2" xfId="6153" xr:uid="{00000000-0005-0000-0000-000006180000}"/>
    <cellStyle name="Comma 2 2 11 3 2 2" xfId="6154" xr:uid="{00000000-0005-0000-0000-000007180000}"/>
    <cellStyle name="Comma 2 2 11 3 2 3" xfId="6155" xr:uid="{00000000-0005-0000-0000-000008180000}"/>
    <cellStyle name="Comma 2 2 11 3 3" xfId="6156" xr:uid="{00000000-0005-0000-0000-000009180000}"/>
    <cellStyle name="Comma 2 2 11 3 4" xfId="6157" xr:uid="{00000000-0005-0000-0000-00000A180000}"/>
    <cellStyle name="Comma 2 2 11 3 5" xfId="6158" xr:uid="{00000000-0005-0000-0000-00000B180000}"/>
    <cellStyle name="Comma 2 2 11 3 6" xfId="6159" xr:uid="{00000000-0005-0000-0000-00000C180000}"/>
    <cellStyle name="Comma 2 2 11 4" xfId="6160" xr:uid="{00000000-0005-0000-0000-00000D180000}"/>
    <cellStyle name="Comma 2 2 11 4 2" xfId="6161" xr:uid="{00000000-0005-0000-0000-00000E180000}"/>
    <cellStyle name="Comma 2 2 11 4 2 2" xfId="6162" xr:uid="{00000000-0005-0000-0000-00000F180000}"/>
    <cellStyle name="Comma 2 2 11 4 3" xfId="6163" xr:uid="{00000000-0005-0000-0000-000010180000}"/>
    <cellStyle name="Comma 2 2 11 4 4" xfId="6164" xr:uid="{00000000-0005-0000-0000-000011180000}"/>
    <cellStyle name="Comma 2 2 11 4 5" xfId="6165" xr:uid="{00000000-0005-0000-0000-000012180000}"/>
    <cellStyle name="Comma 2 2 11 5" xfId="6166" xr:uid="{00000000-0005-0000-0000-000013180000}"/>
    <cellStyle name="Comma 2 2 11 5 2" xfId="6167" xr:uid="{00000000-0005-0000-0000-000014180000}"/>
    <cellStyle name="Comma 2 2 11 5 3" xfId="6168" xr:uid="{00000000-0005-0000-0000-000015180000}"/>
    <cellStyle name="Comma 2 2 11 5 4" xfId="6169" xr:uid="{00000000-0005-0000-0000-000016180000}"/>
    <cellStyle name="Comma 2 2 11 6" xfId="6170" xr:uid="{00000000-0005-0000-0000-000017180000}"/>
    <cellStyle name="Comma 2 2 11 6 2" xfId="6171" xr:uid="{00000000-0005-0000-0000-000018180000}"/>
    <cellStyle name="Comma 2 2 11 7" xfId="6172" xr:uid="{00000000-0005-0000-0000-000019180000}"/>
    <cellStyle name="Comma 2 2 11 8" xfId="6173" xr:uid="{00000000-0005-0000-0000-00001A180000}"/>
    <cellStyle name="Comma 2 2 11 9" xfId="6174" xr:uid="{00000000-0005-0000-0000-00001B180000}"/>
    <cellStyle name="Comma 2 2 12" xfId="6175" xr:uid="{00000000-0005-0000-0000-00001C180000}"/>
    <cellStyle name="Comma 2 2 12 10" xfId="6176" xr:uid="{00000000-0005-0000-0000-00001D180000}"/>
    <cellStyle name="Comma 2 2 12 2" xfId="6177" xr:uid="{00000000-0005-0000-0000-00001E180000}"/>
    <cellStyle name="Comma 2 2 12 2 2" xfId="6178" xr:uid="{00000000-0005-0000-0000-00001F180000}"/>
    <cellStyle name="Comma 2 2 12 2 2 2" xfId="6179" xr:uid="{00000000-0005-0000-0000-000020180000}"/>
    <cellStyle name="Comma 2 2 12 2 2 3" xfId="6180" xr:uid="{00000000-0005-0000-0000-000021180000}"/>
    <cellStyle name="Comma 2 2 12 2 3" xfId="6181" xr:uid="{00000000-0005-0000-0000-000022180000}"/>
    <cellStyle name="Comma 2 2 12 2 4" xfId="6182" xr:uid="{00000000-0005-0000-0000-000023180000}"/>
    <cellStyle name="Comma 2 2 12 2 5" xfId="6183" xr:uid="{00000000-0005-0000-0000-000024180000}"/>
    <cellStyle name="Comma 2 2 12 2 6" xfId="6184" xr:uid="{00000000-0005-0000-0000-000025180000}"/>
    <cellStyle name="Comma 2 2 12 3" xfId="6185" xr:uid="{00000000-0005-0000-0000-000026180000}"/>
    <cellStyle name="Comma 2 2 12 3 2" xfId="6186" xr:uid="{00000000-0005-0000-0000-000027180000}"/>
    <cellStyle name="Comma 2 2 12 3 2 2" xfId="6187" xr:uid="{00000000-0005-0000-0000-000028180000}"/>
    <cellStyle name="Comma 2 2 12 3 2 3" xfId="6188" xr:uid="{00000000-0005-0000-0000-000029180000}"/>
    <cellStyle name="Comma 2 2 12 3 3" xfId="6189" xr:uid="{00000000-0005-0000-0000-00002A180000}"/>
    <cellStyle name="Comma 2 2 12 3 4" xfId="6190" xr:uid="{00000000-0005-0000-0000-00002B180000}"/>
    <cellStyle name="Comma 2 2 12 3 5" xfId="6191" xr:uid="{00000000-0005-0000-0000-00002C180000}"/>
    <cellStyle name="Comma 2 2 12 3 6" xfId="6192" xr:uid="{00000000-0005-0000-0000-00002D180000}"/>
    <cellStyle name="Comma 2 2 12 4" xfId="6193" xr:uid="{00000000-0005-0000-0000-00002E180000}"/>
    <cellStyle name="Comma 2 2 12 4 2" xfId="6194" xr:uid="{00000000-0005-0000-0000-00002F180000}"/>
    <cellStyle name="Comma 2 2 12 4 2 2" xfId="6195" xr:uid="{00000000-0005-0000-0000-000030180000}"/>
    <cellStyle name="Comma 2 2 12 4 3" xfId="6196" xr:uid="{00000000-0005-0000-0000-000031180000}"/>
    <cellStyle name="Comma 2 2 12 4 4" xfId="6197" xr:uid="{00000000-0005-0000-0000-000032180000}"/>
    <cellStyle name="Comma 2 2 12 4 5" xfId="6198" xr:uid="{00000000-0005-0000-0000-000033180000}"/>
    <cellStyle name="Comma 2 2 12 5" xfId="6199" xr:uid="{00000000-0005-0000-0000-000034180000}"/>
    <cellStyle name="Comma 2 2 12 5 2" xfId="6200" xr:uid="{00000000-0005-0000-0000-000035180000}"/>
    <cellStyle name="Comma 2 2 12 5 3" xfId="6201" xr:uid="{00000000-0005-0000-0000-000036180000}"/>
    <cellStyle name="Comma 2 2 12 5 4" xfId="6202" xr:uid="{00000000-0005-0000-0000-000037180000}"/>
    <cellStyle name="Comma 2 2 12 6" xfId="6203" xr:uid="{00000000-0005-0000-0000-000038180000}"/>
    <cellStyle name="Comma 2 2 12 6 2" xfId="6204" xr:uid="{00000000-0005-0000-0000-000039180000}"/>
    <cellStyle name="Comma 2 2 12 7" xfId="6205" xr:uid="{00000000-0005-0000-0000-00003A180000}"/>
    <cellStyle name="Comma 2 2 12 8" xfId="6206" xr:uid="{00000000-0005-0000-0000-00003B180000}"/>
    <cellStyle name="Comma 2 2 12 9" xfId="6207" xr:uid="{00000000-0005-0000-0000-00003C180000}"/>
    <cellStyle name="Comma 2 2 13" xfId="6208" xr:uid="{00000000-0005-0000-0000-00003D180000}"/>
    <cellStyle name="Comma 2 2 13 10" xfId="6209" xr:uid="{00000000-0005-0000-0000-00003E180000}"/>
    <cellStyle name="Comma 2 2 13 2" xfId="6210" xr:uid="{00000000-0005-0000-0000-00003F180000}"/>
    <cellStyle name="Comma 2 2 13 2 2" xfId="6211" xr:uid="{00000000-0005-0000-0000-000040180000}"/>
    <cellStyle name="Comma 2 2 13 2 2 2" xfId="6212" xr:uid="{00000000-0005-0000-0000-000041180000}"/>
    <cellStyle name="Comma 2 2 13 2 2 3" xfId="6213" xr:uid="{00000000-0005-0000-0000-000042180000}"/>
    <cellStyle name="Comma 2 2 13 2 3" xfId="6214" xr:uid="{00000000-0005-0000-0000-000043180000}"/>
    <cellStyle name="Comma 2 2 13 2 4" xfId="6215" xr:uid="{00000000-0005-0000-0000-000044180000}"/>
    <cellStyle name="Comma 2 2 13 2 5" xfId="6216" xr:uid="{00000000-0005-0000-0000-000045180000}"/>
    <cellStyle name="Comma 2 2 13 2 6" xfId="6217" xr:uid="{00000000-0005-0000-0000-000046180000}"/>
    <cellStyle name="Comma 2 2 13 3" xfId="6218" xr:uid="{00000000-0005-0000-0000-000047180000}"/>
    <cellStyle name="Comma 2 2 13 3 2" xfId="6219" xr:uid="{00000000-0005-0000-0000-000048180000}"/>
    <cellStyle name="Comma 2 2 13 3 2 2" xfId="6220" xr:uid="{00000000-0005-0000-0000-000049180000}"/>
    <cellStyle name="Comma 2 2 13 3 2 3" xfId="6221" xr:uid="{00000000-0005-0000-0000-00004A180000}"/>
    <cellStyle name="Comma 2 2 13 3 3" xfId="6222" xr:uid="{00000000-0005-0000-0000-00004B180000}"/>
    <cellStyle name="Comma 2 2 13 3 4" xfId="6223" xr:uid="{00000000-0005-0000-0000-00004C180000}"/>
    <cellStyle name="Comma 2 2 13 3 5" xfId="6224" xr:uid="{00000000-0005-0000-0000-00004D180000}"/>
    <cellStyle name="Comma 2 2 13 3 6" xfId="6225" xr:uid="{00000000-0005-0000-0000-00004E180000}"/>
    <cellStyle name="Comma 2 2 13 4" xfId="6226" xr:uid="{00000000-0005-0000-0000-00004F180000}"/>
    <cellStyle name="Comma 2 2 13 4 2" xfId="6227" xr:uid="{00000000-0005-0000-0000-000050180000}"/>
    <cellStyle name="Comma 2 2 13 4 2 2" xfId="6228" xr:uid="{00000000-0005-0000-0000-000051180000}"/>
    <cellStyle name="Comma 2 2 13 4 3" xfId="6229" xr:uid="{00000000-0005-0000-0000-000052180000}"/>
    <cellStyle name="Comma 2 2 13 4 4" xfId="6230" xr:uid="{00000000-0005-0000-0000-000053180000}"/>
    <cellStyle name="Comma 2 2 13 4 5" xfId="6231" xr:uid="{00000000-0005-0000-0000-000054180000}"/>
    <cellStyle name="Comma 2 2 13 5" xfId="6232" xr:uid="{00000000-0005-0000-0000-000055180000}"/>
    <cellStyle name="Comma 2 2 13 5 2" xfId="6233" xr:uid="{00000000-0005-0000-0000-000056180000}"/>
    <cellStyle name="Comma 2 2 13 5 3" xfId="6234" xr:uid="{00000000-0005-0000-0000-000057180000}"/>
    <cellStyle name="Comma 2 2 13 5 4" xfId="6235" xr:uid="{00000000-0005-0000-0000-000058180000}"/>
    <cellStyle name="Comma 2 2 13 6" xfId="6236" xr:uid="{00000000-0005-0000-0000-000059180000}"/>
    <cellStyle name="Comma 2 2 13 6 2" xfId="6237" xr:uid="{00000000-0005-0000-0000-00005A180000}"/>
    <cellStyle name="Comma 2 2 13 7" xfId="6238" xr:uid="{00000000-0005-0000-0000-00005B180000}"/>
    <cellStyle name="Comma 2 2 13 8" xfId="6239" xr:uid="{00000000-0005-0000-0000-00005C180000}"/>
    <cellStyle name="Comma 2 2 13 9" xfId="6240" xr:uid="{00000000-0005-0000-0000-00005D180000}"/>
    <cellStyle name="Comma 2 2 14" xfId="6241" xr:uid="{00000000-0005-0000-0000-00005E180000}"/>
    <cellStyle name="Comma 2 2 14 10" xfId="6242" xr:uid="{00000000-0005-0000-0000-00005F180000}"/>
    <cellStyle name="Comma 2 2 14 2" xfId="6243" xr:uid="{00000000-0005-0000-0000-000060180000}"/>
    <cellStyle name="Comma 2 2 14 2 2" xfId="6244" xr:uid="{00000000-0005-0000-0000-000061180000}"/>
    <cellStyle name="Comma 2 2 14 2 2 2" xfId="6245" xr:uid="{00000000-0005-0000-0000-000062180000}"/>
    <cellStyle name="Comma 2 2 14 2 2 3" xfId="6246" xr:uid="{00000000-0005-0000-0000-000063180000}"/>
    <cellStyle name="Comma 2 2 14 2 3" xfId="6247" xr:uid="{00000000-0005-0000-0000-000064180000}"/>
    <cellStyle name="Comma 2 2 14 2 4" xfId="6248" xr:uid="{00000000-0005-0000-0000-000065180000}"/>
    <cellStyle name="Comma 2 2 14 2 5" xfId="6249" xr:uid="{00000000-0005-0000-0000-000066180000}"/>
    <cellStyle name="Comma 2 2 14 2 6" xfId="6250" xr:uid="{00000000-0005-0000-0000-000067180000}"/>
    <cellStyle name="Comma 2 2 14 3" xfId="6251" xr:uid="{00000000-0005-0000-0000-000068180000}"/>
    <cellStyle name="Comma 2 2 14 3 2" xfId="6252" xr:uid="{00000000-0005-0000-0000-000069180000}"/>
    <cellStyle name="Comma 2 2 14 3 2 2" xfId="6253" xr:uid="{00000000-0005-0000-0000-00006A180000}"/>
    <cellStyle name="Comma 2 2 14 3 2 3" xfId="6254" xr:uid="{00000000-0005-0000-0000-00006B180000}"/>
    <cellStyle name="Comma 2 2 14 3 3" xfId="6255" xr:uid="{00000000-0005-0000-0000-00006C180000}"/>
    <cellStyle name="Comma 2 2 14 3 4" xfId="6256" xr:uid="{00000000-0005-0000-0000-00006D180000}"/>
    <cellStyle name="Comma 2 2 14 3 5" xfId="6257" xr:uid="{00000000-0005-0000-0000-00006E180000}"/>
    <cellStyle name="Comma 2 2 14 3 6" xfId="6258" xr:uid="{00000000-0005-0000-0000-00006F180000}"/>
    <cellStyle name="Comma 2 2 14 4" xfId="6259" xr:uid="{00000000-0005-0000-0000-000070180000}"/>
    <cellStyle name="Comma 2 2 14 4 2" xfId="6260" xr:uid="{00000000-0005-0000-0000-000071180000}"/>
    <cellStyle name="Comma 2 2 14 4 2 2" xfId="6261" xr:uid="{00000000-0005-0000-0000-000072180000}"/>
    <cellStyle name="Comma 2 2 14 4 3" xfId="6262" xr:uid="{00000000-0005-0000-0000-000073180000}"/>
    <cellStyle name="Comma 2 2 14 4 4" xfId="6263" xr:uid="{00000000-0005-0000-0000-000074180000}"/>
    <cellStyle name="Comma 2 2 14 4 5" xfId="6264" xr:uid="{00000000-0005-0000-0000-000075180000}"/>
    <cellStyle name="Comma 2 2 14 5" xfId="6265" xr:uid="{00000000-0005-0000-0000-000076180000}"/>
    <cellStyle name="Comma 2 2 14 5 2" xfId="6266" xr:uid="{00000000-0005-0000-0000-000077180000}"/>
    <cellStyle name="Comma 2 2 14 5 3" xfId="6267" xr:uid="{00000000-0005-0000-0000-000078180000}"/>
    <cellStyle name="Comma 2 2 14 5 4" xfId="6268" xr:uid="{00000000-0005-0000-0000-000079180000}"/>
    <cellStyle name="Comma 2 2 14 6" xfId="6269" xr:uid="{00000000-0005-0000-0000-00007A180000}"/>
    <cellStyle name="Comma 2 2 14 6 2" xfId="6270" xr:uid="{00000000-0005-0000-0000-00007B180000}"/>
    <cellStyle name="Comma 2 2 14 7" xfId="6271" xr:uid="{00000000-0005-0000-0000-00007C180000}"/>
    <cellStyle name="Comma 2 2 14 8" xfId="6272" xr:uid="{00000000-0005-0000-0000-00007D180000}"/>
    <cellStyle name="Comma 2 2 14 9" xfId="6273" xr:uid="{00000000-0005-0000-0000-00007E180000}"/>
    <cellStyle name="Comma 2 2 15" xfId="6274" xr:uid="{00000000-0005-0000-0000-00007F180000}"/>
    <cellStyle name="Comma 2 2 15 10" xfId="6275" xr:uid="{00000000-0005-0000-0000-000080180000}"/>
    <cellStyle name="Comma 2 2 15 2" xfId="6276" xr:uid="{00000000-0005-0000-0000-000081180000}"/>
    <cellStyle name="Comma 2 2 15 2 2" xfId="6277" xr:uid="{00000000-0005-0000-0000-000082180000}"/>
    <cellStyle name="Comma 2 2 15 2 2 2" xfId="6278" xr:uid="{00000000-0005-0000-0000-000083180000}"/>
    <cellStyle name="Comma 2 2 15 2 2 3" xfId="6279" xr:uid="{00000000-0005-0000-0000-000084180000}"/>
    <cellStyle name="Comma 2 2 15 2 3" xfId="6280" xr:uid="{00000000-0005-0000-0000-000085180000}"/>
    <cellStyle name="Comma 2 2 15 2 4" xfId="6281" xr:uid="{00000000-0005-0000-0000-000086180000}"/>
    <cellStyle name="Comma 2 2 15 2 5" xfId="6282" xr:uid="{00000000-0005-0000-0000-000087180000}"/>
    <cellStyle name="Comma 2 2 15 2 6" xfId="6283" xr:uid="{00000000-0005-0000-0000-000088180000}"/>
    <cellStyle name="Comma 2 2 15 3" xfId="6284" xr:uid="{00000000-0005-0000-0000-000089180000}"/>
    <cellStyle name="Comma 2 2 15 3 2" xfId="6285" xr:uid="{00000000-0005-0000-0000-00008A180000}"/>
    <cellStyle name="Comma 2 2 15 3 2 2" xfId="6286" xr:uid="{00000000-0005-0000-0000-00008B180000}"/>
    <cellStyle name="Comma 2 2 15 3 2 3" xfId="6287" xr:uid="{00000000-0005-0000-0000-00008C180000}"/>
    <cellStyle name="Comma 2 2 15 3 3" xfId="6288" xr:uid="{00000000-0005-0000-0000-00008D180000}"/>
    <cellStyle name="Comma 2 2 15 3 4" xfId="6289" xr:uid="{00000000-0005-0000-0000-00008E180000}"/>
    <cellStyle name="Comma 2 2 15 3 5" xfId="6290" xr:uid="{00000000-0005-0000-0000-00008F180000}"/>
    <cellStyle name="Comma 2 2 15 3 6" xfId="6291" xr:uid="{00000000-0005-0000-0000-000090180000}"/>
    <cellStyle name="Comma 2 2 15 4" xfId="6292" xr:uid="{00000000-0005-0000-0000-000091180000}"/>
    <cellStyle name="Comma 2 2 15 4 2" xfId="6293" xr:uid="{00000000-0005-0000-0000-000092180000}"/>
    <cellStyle name="Comma 2 2 15 4 2 2" xfId="6294" xr:uid="{00000000-0005-0000-0000-000093180000}"/>
    <cellStyle name="Comma 2 2 15 4 3" xfId="6295" xr:uid="{00000000-0005-0000-0000-000094180000}"/>
    <cellStyle name="Comma 2 2 15 4 4" xfId="6296" xr:uid="{00000000-0005-0000-0000-000095180000}"/>
    <cellStyle name="Comma 2 2 15 4 5" xfId="6297" xr:uid="{00000000-0005-0000-0000-000096180000}"/>
    <cellStyle name="Comma 2 2 15 5" xfId="6298" xr:uid="{00000000-0005-0000-0000-000097180000}"/>
    <cellStyle name="Comma 2 2 15 5 2" xfId="6299" xr:uid="{00000000-0005-0000-0000-000098180000}"/>
    <cellStyle name="Comma 2 2 15 5 3" xfId="6300" xr:uid="{00000000-0005-0000-0000-000099180000}"/>
    <cellStyle name="Comma 2 2 15 5 4" xfId="6301" xr:uid="{00000000-0005-0000-0000-00009A180000}"/>
    <cellStyle name="Comma 2 2 15 6" xfId="6302" xr:uid="{00000000-0005-0000-0000-00009B180000}"/>
    <cellStyle name="Comma 2 2 15 6 2" xfId="6303" xr:uid="{00000000-0005-0000-0000-00009C180000}"/>
    <cellStyle name="Comma 2 2 15 7" xfId="6304" xr:uid="{00000000-0005-0000-0000-00009D180000}"/>
    <cellStyle name="Comma 2 2 15 8" xfId="6305" xr:uid="{00000000-0005-0000-0000-00009E180000}"/>
    <cellStyle name="Comma 2 2 15 9" xfId="6306" xr:uid="{00000000-0005-0000-0000-00009F180000}"/>
    <cellStyle name="Comma 2 2 16" xfId="6307" xr:uid="{00000000-0005-0000-0000-0000A0180000}"/>
    <cellStyle name="Comma 2 2 16 10" xfId="6308" xr:uid="{00000000-0005-0000-0000-0000A1180000}"/>
    <cellStyle name="Comma 2 2 16 2" xfId="6309" xr:uid="{00000000-0005-0000-0000-0000A2180000}"/>
    <cellStyle name="Comma 2 2 16 2 2" xfId="6310" xr:uid="{00000000-0005-0000-0000-0000A3180000}"/>
    <cellStyle name="Comma 2 2 16 2 2 2" xfId="6311" xr:uid="{00000000-0005-0000-0000-0000A4180000}"/>
    <cellStyle name="Comma 2 2 16 2 2 3" xfId="6312" xr:uid="{00000000-0005-0000-0000-0000A5180000}"/>
    <cellStyle name="Comma 2 2 16 2 3" xfId="6313" xr:uid="{00000000-0005-0000-0000-0000A6180000}"/>
    <cellStyle name="Comma 2 2 16 2 4" xfId="6314" xr:uid="{00000000-0005-0000-0000-0000A7180000}"/>
    <cellStyle name="Comma 2 2 16 2 5" xfId="6315" xr:uid="{00000000-0005-0000-0000-0000A8180000}"/>
    <cellStyle name="Comma 2 2 16 2 6" xfId="6316" xr:uid="{00000000-0005-0000-0000-0000A9180000}"/>
    <cellStyle name="Comma 2 2 16 3" xfId="6317" xr:uid="{00000000-0005-0000-0000-0000AA180000}"/>
    <cellStyle name="Comma 2 2 16 3 2" xfId="6318" xr:uid="{00000000-0005-0000-0000-0000AB180000}"/>
    <cellStyle name="Comma 2 2 16 3 2 2" xfId="6319" xr:uid="{00000000-0005-0000-0000-0000AC180000}"/>
    <cellStyle name="Comma 2 2 16 3 2 3" xfId="6320" xr:uid="{00000000-0005-0000-0000-0000AD180000}"/>
    <cellStyle name="Comma 2 2 16 3 3" xfId="6321" xr:uid="{00000000-0005-0000-0000-0000AE180000}"/>
    <cellStyle name="Comma 2 2 16 3 4" xfId="6322" xr:uid="{00000000-0005-0000-0000-0000AF180000}"/>
    <cellStyle name="Comma 2 2 16 3 5" xfId="6323" xr:uid="{00000000-0005-0000-0000-0000B0180000}"/>
    <cellStyle name="Comma 2 2 16 3 6" xfId="6324" xr:uid="{00000000-0005-0000-0000-0000B1180000}"/>
    <cellStyle name="Comma 2 2 16 4" xfId="6325" xr:uid="{00000000-0005-0000-0000-0000B2180000}"/>
    <cellStyle name="Comma 2 2 16 4 2" xfId="6326" xr:uid="{00000000-0005-0000-0000-0000B3180000}"/>
    <cellStyle name="Comma 2 2 16 4 2 2" xfId="6327" xr:uid="{00000000-0005-0000-0000-0000B4180000}"/>
    <cellStyle name="Comma 2 2 16 4 3" xfId="6328" xr:uid="{00000000-0005-0000-0000-0000B5180000}"/>
    <cellStyle name="Comma 2 2 16 4 4" xfId="6329" xr:uid="{00000000-0005-0000-0000-0000B6180000}"/>
    <cellStyle name="Comma 2 2 16 4 5" xfId="6330" xr:uid="{00000000-0005-0000-0000-0000B7180000}"/>
    <cellStyle name="Comma 2 2 16 5" xfId="6331" xr:uid="{00000000-0005-0000-0000-0000B8180000}"/>
    <cellStyle name="Comma 2 2 16 5 2" xfId="6332" xr:uid="{00000000-0005-0000-0000-0000B9180000}"/>
    <cellStyle name="Comma 2 2 16 5 3" xfId="6333" xr:uid="{00000000-0005-0000-0000-0000BA180000}"/>
    <cellStyle name="Comma 2 2 16 5 4" xfId="6334" xr:uid="{00000000-0005-0000-0000-0000BB180000}"/>
    <cellStyle name="Comma 2 2 16 6" xfId="6335" xr:uid="{00000000-0005-0000-0000-0000BC180000}"/>
    <cellStyle name="Comma 2 2 16 6 2" xfId="6336" xr:uid="{00000000-0005-0000-0000-0000BD180000}"/>
    <cellStyle name="Comma 2 2 16 7" xfId="6337" xr:uid="{00000000-0005-0000-0000-0000BE180000}"/>
    <cellStyle name="Comma 2 2 16 8" xfId="6338" xr:uid="{00000000-0005-0000-0000-0000BF180000}"/>
    <cellStyle name="Comma 2 2 16 9" xfId="6339" xr:uid="{00000000-0005-0000-0000-0000C0180000}"/>
    <cellStyle name="Comma 2 2 17" xfId="6340" xr:uid="{00000000-0005-0000-0000-0000C1180000}"/>
    <cellStyle name="Comma 2 2 17 10" xfId="6341" xr:uid="{00000000-0005-0000-0000-0000C2180000}"/>
    <cellStyle name="Comma 2 2 17 2" xfId="6342" xr:uid="{00000000-0005-0000-0000-0000C3180000}"/>
    <cellStyle name="Comma 2 2 17 2 2" xfId="6343" xr:uid="{00000000-0005-0000-0000-0000C4180000}"/>
    <cellStyle name="Comma 2 2 17 2 2 2" xfId="6344" xr:uid="{00000000-0005-0000-0000-0000C5180000}"/>
    <cellStyle name="Comma 2 2 17 2 2 3" xfId="6345" xr:uid="{00000000-0005-0000-0000-0000C6180000}"/>
    <cellStyle name="Comma 2 2 17 2 3" xfId="6346" xr:uid="{00000000-0005-0000-0000-0000C7180000}"/>
    <cellStyle name="Comma 2 2 17 2 4" xfId="6347" xr:uid="{00000000-0005-0000-0000-0000C8180000}"/>
    <cellStyle name="Comma 2 2 17 2 5" xfId="6348" xr:uid="{00000000-0005-0000-0000-0000C9180000}"/>
    <cellStyle name="Comma 2 2 17 2 6" xfId="6349" xr:uid="{00000000-0005-0000-0000-0000CA180000}"/>
    <cellStyle name="Comma 2 2 17 3" xfId="6350" xr:uid="{00000000-0005-0000-0000-0000CB180000}"/>
    <cellStyle name="Comma 2 2 17 3 2" xfId="6351" xr:uid="{00000000-0005-0000-0000-0000CC180000}"/>
    <cellStyle name="Comma 2 2 17 3 2 2" xfId="6352" xr:uid="{00000000-0005-0000-0000-0000CD180000}"/>
    <cellStyle name="Comma 2 2 17 3 2 3" xfId="6353" xr:uid="{00000000-0005-0000-0000-0000CE180000}"/>
    <cellStyle name="Comma 2 2 17 3 3" xfId="6354" xr:uid="{00000000-0005-0000-0000-0000CF180000}"/>
    <cellStyle name="Comma 2 2 17 3 4" xfId="6355" xr:uid="{00000000-0005-0000-0000-0000D0180000}"/>
    <cellStyle name="Comma 2 2 17 3 5" xfId="6356" xr:uid="{00000000-0005-0000-0000-0000D1180000}"/>
    <cellStyle name="Comma 2 2 17 3 6" xfId="6357" xr:uid="{00000000-0005-0000-0000-0000D2180000}"/>
    <cellStyle name="Comma 2 2 17 4" xfId="6358" xr:uid="{00000000-0005-0000-0000-0000D3180000}"/>
    <cellStyle name="Comma 2 2 17 4 2" xfId="6359" xr:uid="{00000000-0005-0000-0000-0000D4180000}"/>
    <cellStyle name="Comma 2 2 17 4 2 2" xfId="6360" xr:uid="{00000000-0005-0000-0000-0000D5180000}"/>
    <cellStyle name="Comma 2 2 17 4 3" xfId="6361" xr:uid="{00000000-0005-0000-0000-0000D6180000}"/>
    <cellStyle name="Comma 2 2 17 4 4" xfId="6362" xr:uid="{00000000-0005-0000-0000-0000D7180000}"/>
    <cellStyle name="Comma 2 2 17 4 5" xfId="6363" xr:uid="{00000000-0005-0000-0000-0000D8180000}"/>
    <cellStyle name="Comma 2 2 17 5" xfId="6364" xr:uid="{00000000-0005-0000-0000-0000D9180000}"/>
    <cellStyle name="Comma 2 2 17 5 2" xfId="6365" xr:uid="{00000000-0005-0000-0000-0000DA180000}"/>
    <cellStyle name="Comma 2 2 17 5 3" xfId="6366" xr:uid="{00000000-0005-0000-0000-0000DB180000}"/>
    <cellStyle name="Comma 2 2 17 5 4" xfId="6367" xr:uid="{00000000-0005-0000-0000-0000DC180000}"/>
    <cellStyle name="Comma 2 2 17 6" xfId="6368" xr:uid="{00000000-0005-0000-0000-0000DD180000}"/>
    <cellStyle name="Comma 2 2 17 6 2" xfId="6369" xr:uid="{00000000-0005-0000-0000-0000DE180000}"/>
    <cellStyle name="Comma 2 2 17 7" xfId="6370" xr:uid="{00000000-0005-0000-0000-0000DF180000}"/>
    <cellStyle name="Comma 2 2 17 8" xfId="6371" xr:uid="{00000000-0005-0000-0000-0000E0180000}"/>
    <cellStyle name="Comma 2 2 17 9" xfId="6372" xr:uid="{00000000-0005-0000-0000-0000E1180000}"/>
    <cellStyle name="Comma 2 2 18" xfId="6373" xr:uid="{00000000-0005-0000-0000-0000E2180000}"/>
    <cellStyle name="Comma 2 2 18 10" xfId="6374" xr:uid="{00000000-0005-0000-0000-0000E3180000}"/>
    <cellStyle name="Comma 2 2 18 2" xfId="6375" xr:uid="{00000000-0005-0000-0000-0000E4180000}"/>
    <cellStyle name="Comma 2 2 18 2 2" xfId="6376" xr:uid="{00000000-0005-0000-0000-0000E5180000}"/>
    <cellStyle name="Comma 2 2 18 2 2 2" xfId="6377" xr:uid="{00000000-0005-0000-0000-0000E6180000}"/>
    <cellStyle name="Comma 2 2 18 2 2 3" xfId="6378" xr:uid="{00000000-0005-0000-0000-0000E7180000}"/>
    <cellStyle name="Comma 2 2 18 2 3" xfId="6379" xr:uid="{00000000-0005-0000-0000-0000E8180000}"/>
    <cellStyle name="Comma 2 2 18 2 4" xfId="6380" xr:uid="{00000000-0005-0000-0000-0000E9180000}"/>
    <cellStyle name="Comma 2 2 18 2 5" xfId="6381" xr:uid="{00000000-0005-0000-0000-0000EA180000}"/>
    <cellStyle name="Comma 2 2 18 2 6" xfId="6382" xr:uid="{00000000-0005-0000-0000-0000EB180000}"/>
    <cellStyle name="Comma 2 2 18 3" xfId="6383" xr:uid="{00000000-0005-0000-0000-0000EC180000}"/>
    <cellStyle name="Comma 2 2 18 3 2" xfId="6384" xr:uid="{00000000-0005-0000-0000-0000ED180000}"/>
    <cellStyle name="Comma 2 2 18 3 2 2" xfId="6385" xr:uid="{00000000-0005-0000-0000-0000EE180000}"/>
    <cellStyle name="Comma 2 2 18 3 2 3" xfId="6386" xr:uid="{00000000-0005-0000-0000-0000EF180000}"/>
    <cellStyle name="Comma 2 2 18 3 3" xfId="6387" xr:uid="{00000000-0005-0000-0000-0000F0180000}"/>
    <cellStyle name="Comma 2 2 18 3 4" xfId="6388" xr:uid="{00000000-0005-0000-0000-0000F1180000}"/>
    <cellStyle name="Comma 2 2 18 3 5" xfId="6389" xr:uid="{00000000-0005-0000-0000-0000F2180000}"/>
    <cellStyle name="Comma 2 2 18 3 6" xfId="6390" xr:uid="{00000000-0005-0000-0000-0000F3180000}"/>
    <cellStyle name="Comma 2 2 18 4" xfId="6391" xr:uid="{00000000-0005-0000-0000-0000F4180000}"/>
    <cellStyle name="Comma 2 2 18 4 2" xfId="6392" xr:uid="{00000000-0005-0000-0000-0000F5180000}"/>
    <cellStyle name="Comma 2 2 18 4 2 2" xfId="6393" xr:uid="{00000000-0005-0000-0000-0000F6180000}"/>
    <cellStyle name="Comma 2 2 18 4 3" xfId="6394" xr:uid="{00000000-0005-0000-0000-0000F7180000}"/>
    <cellStyle name="Comma 2 2 18 4 4" xfId="6395" xr:uid="{00000000-0005-0000-0000-0000F8180000}"/>
    <cellStyle name="Comma 2 2 18 4 5" xfId="6396" xr:uid="{00000000-0005-0000-0000-0000F9180000}"/>
    <cellStyle name="Comma 2 2 18 5" xfId="6397" xr:uid="{00000000-0005-0000-0000-0000FA180000}"/>
    <cellStyle name="Comma 2 2 18 5 2" xfId="6398" xr:uid="{00000000-0005-0000-0000-0000FB180000}"/>
    <cellStyle name="Comma 2 2 18 5 3" xfId="6399" xr:uid="{00000000-0005-0000-0000-0000FC180000}"/>
    <cellStyle name="Comma 2 2 18 5 4" xfId="6400" xr:uid="{00000000-0005-0000-0000-0000FD180000}"/>
    <cellStyle name="Comma 2 2 18 6" xfId="6401" xr:uid="{00000000-0005-0000-0000-0000FE180000}"/>
    <cellStyle name="Comma 2 2 18 6 2" xfId="6402" xr:uid="{00000000-0005-0000-0000-0000FF180000}"/>
    <cellStyle name="Comma 2 2 18 7" xfId="6403" xr:uid="{00000000-0005-0000-0000-000000190000}"/>
    <cellStyle name="Comma 2 2 18 8" xfId="6404" xr:uid="{00000000-0005-0000-0000-000001190000}"/>
    <cellStyle name="Comma 2 2 18 9" xfId="6405" xr:uid="{00000000-0005-0000-0000-000002190000}"/>
    <cellStyle name="Comma 2 2 19" xfId="6406" xr:uid="{00000000-0005-0000-0000-000003190000}"/>
    <cellStyle name="Comma 2 2 19 10" xfId="6407" xr:uid="{00000000-0005-0000-0000-000004190000}"/>
    <cellStyle name="Comma 2 2 19 2" xfId="6408" xr:uid="{00000000-0005-0000-0000-000005190000}"/>
    <cellStyle name="Comma 2 2 19 2 2" xfId="6409" xr:uid="{00000000-0005-0000-0000-000006190000}"/>
    <cellStyle name="Comma 2 2 19 2 2 2" xfId="6410" xr:uid="{00000000-0005-0000-0000-000007190000}"/>
    <cellStyle name="Comma 2 2 19 2 2 3" xfId="6411" xr:uid="{00000000-0005-0000-0000-000008190000}"/>
    <cellStyle name="Comma 2 2 19 2 3" xfId="6412" xr:uid="{00000000-0005-0000-0000-000009190000}"/>
    <cellStyle name="Comma 2 2 19 2 4" xfId="6413" xr:uid="{00000000-0005-0000-0000-00000A190000}"/>
    <cellStyle name="Comma 2 2 19 2 5" xfId="6414" xr:uid="{00000000-0005-0000-0000-00000B190000}"/>
    <cellStyle name="Comma 2 2 19 2 6" xfId="6415" xr:uid="{00000000-0005-0000-0000-00000C190000}"/>
    <cellStyle name="Comma 2 2 19 3" xfId="6416" xr:uid="{00000000-0005-0000-0000-00000D190000}"/>
    <cellStyle name="Comma 2 2 19 3 2" xfId="6417" xr:uid="{00000000-0005-0000-0000-00000E190000}"/>
    <cellStyle name="Comma 2 2 19 3 2 2" xfId="6418" xr:uid="{00000000-0005-0000-0000-00000F190000}"/>
    <cellStyle name="Comma 2 2 19 3 2 3" xfId="6419" xr:uid="{00000000-0005-0000-0000-000010190000}"/>
    <cellStyle name="Comma 2 2 19 3 3" xfId="6420" xr:uid="{00000000-0005-0000-0000-000011190000}"/>
    <cellStyle name="Comma 2 2 19 3 4" xfId="6421" xr:uid="{00000000-0005-0000-0000-000012190000}"/>
    <cellStyle name="Comma 2 2 19 3 5" xfId="6422" xr:uid="{00000000-0005-0000-0000-000013190000}"/>
    <cellStyle name="Comma 2 2 19 3 6" xfId="6423" xr:uid="{00000000-0005-0000-0000-000014190000}"/>
    <cellStyle name="Comma 2 2 19 4" xfId="6424" xr:uid="{00000000-0005-0000-0000-000015190000}"/>
    <cellStyle name="Comma 2 2 19 4 2" xfId="6425" xr:uid="{00000000-0005-0000-0000-000016190000}"/>
    <cellStyle name="Comma 2 2 19 4 2 2" xfId="6426" xr:uid="{00000000-0005-0000-0000-000017190000}"/>
    <cellStyle name="Comma 2 2 19 4 3" xfId="6427" xr:uid="{00000000-0005-0000-0000-000018190000}"/>
    <cellStyle name="Comma 2 2 19 4 4" xfId="6428" xr:uid="{00000000-0005-0000-0000-000019190000}"/>
    <cellStyle name="Comma 2 2 19 4 5" xfId="6429" xr:uid="{00000000-0005-0000-0000-00001A190000}"/>
    <cellStyle name="Comma 2 2 19 5" xfId="6430" xr:uid="{00000000-0005-0000-0000-00001B190000}"/>
    <cellStyle name="Comma 2 2 19 5 2" xfId="6431" xr:uid="{00000000-0005-0000-0000-00001C190000}"/>
    <cellStyle name="Comma 2 2 19 5 3" xfId="6432" xr:uid="{00000000-0005-0000-0000-00001D190000}"/>
    <cellStyle name="Comma 2 2 19 5 4" xfId="6433" xr:uid="{00000000-0005-0000-0000-00001E190000}"/>
    <cellStyle name="Comma 2 2 19 6" xfId="6434" xr:uid="{00000000-0005-0000-0000-00001F190000}"/>
    <cellStyle name="Comma 2 2 19 6 2" xfId="6435" xr:uid="{00000000-0005-0000-0000-000020190000}"/>
    <cellStyle name="Comma 2 2 19 7" xfId="6436" xr:uid="{00000000-0005-0000-0000-000021190000}"/>
    <cellStyle name="Comma 2 2 19 8" xfId="6437" xr:uid="{00000000-0005-0000-0000-000022190000}"/>
    <cellStyle name="Comma 2 2 19 9" xfId="6438" xr:uid="{00000000-0005-0000-0000-000023190000}"/>
    <cellStyle name="Comma 2 2 2" xfId="6439" xr:uid="{00000000-0005-0000-0000-000024190000}"/>
    <cellStyle name="Comma 2 2 2 10" xfId="6440" xr:uid="{00000000-0005-0000-0000-000025190000}"/>
    <cellStyle name="Comma 2 2 2 10 10" xfId="6441" xr:uid="{00000000-0005-0000-0000-000026190000}"/>
    <cellStyle name="Comma 2 2 2 10 2" xfId="6442" xr:uid="{00000000-0005-0000-0000-000027190000}"/>
    <cellStyle name="Comma 2 2 2 10 2 2" xfId="6443" xr:uid="{00000000-0005-0000-0000-000028190000}"/>
    <cellStyle name="Comma 2 2 2 10 2 2 2" xfId="6444" xr:uid="{00000000-0005-0000-0000-000029190000}"/>
    <cellStyle name="Comma 2 2 2 10 2 2 3" xfId="6445" xr:uid="{00000000-0005-0000-0000-00002A190000}"/>
    <cellStyle name="Comma 2 2 2 10 2 3" xfId="6446" xr:uid="{00000000-0005-0000-0000-00002B190000}"/>
    <cellStyle name="Comma 2 2 2 10 2 4" xfId="6447" xr:uid="{00000000-0005-0000-0000-00002C190000}"/>
    <cellStyle name="Comma 2 2 2 10 2 5" xfId="6448" xr:uid="{00000000-0005-0000-0000-00002D190000}"/>
    <cellStyle name="Comma 2 2 2 10 2 6" xfId="6449" xr:uid="{00000000-0005-0000-0000-00002E190000}"/>
    <cellStyle name="Comma 2 2 2 10 3" xfId="6450" xr:uid="{00000000-0005-0000-0000-00002F190000}"/>
    <cellStyle name="Comma 2 2 2 10 3 2" xfId="6451" xr:uid="{00000000-0005-0000-0000-000030190000}"/>
    <cellStyle name="Comma 2 2 2 10 3 2 2" xfId="6452" xr:uid="{00000000-0005-0000-0000-000031190000}"/>
    <cellStyle name="Comma 2 2 2 10 3 2 3" xfId="6453" xr:uid="{00000000-0005-0000-0000-000032190000}"/>
    <cellStyle name="Comma 2 2 2 10 3 3" xfId="6454" xr:uid="{00000000-0005-0000-0000-000033190000}"/>
    <cellStyle name="Comma 2 2 2 10 3 4" xfId="6455" xr:uid="{00000000-0005-0000-0000-000034190000}"/>
    <cellStyle name="Comma 2 2 2 10 3 5" xfId="6456" xr:uid="{00000000-0005-0000-0000-000035190000}"/>
    <cellStyle name="Comma 2 2 2 10 3 6" xfId="6457" xr:uid="{00000000-0005-0000-0000-000036190000}"/>
    <cellStyle name="Comma 2 2 2 10 4" xfId="6458" xr:uid="{00000000-0005-0000-0000-000037190000}"/>
    <cellStyle name="Comma 2 2 2 10 4 2" xfId="6459" xr:uid="{00000000-0005-0000-0000-000038190000}"/>
    <cellStyle name="Comma 2 2 2 10 4 2 2" xfId="6460" xr:uid="{00000000-0005-0000-0000-000039190000}"/>
    <cellStyle name="Comma 2 2 2 10 4 3" xfId="6461" xr:uid="{00000000-0005-0000-0000-00003A190000}"/>
    <cellStyle name="Comma 2 2 2 10 4 4" xfId="6462" xr:uid="{00000000-0005-0000-0000-00003B190000}"/>
    <cellStyle name="Comma 2 2 2 10 4 5" xfId="6463" xr:uid="{00000000-0005-0000-0000-00003C190000}"/>
    <cellStyle name="Comma 2 2 2 10 5" xfId="6464" xr:uid="{00000000-0005-0000-0000-00003D190000}"/>
    <cellStyle name="Comma 2 2 2 10 5 2" xfId="6465" xr:uid="{00000000-0005-0000-0000-00003E190000}"/>
    <cellStyle name="Comma 2 2 2 10 5 3" xfId="6466" xr:uid="{00000000-0005-0000-0000-00003F190000}"/>
    <cellStyle name="Comma 2 2 2 10 5 4" xfId="6467" xr:uid="{00000000-0005-0000-0000-000040190000}"/>
    <cellStyle name="Comma 2 2 2 10 6" xfId="6468" xr:uid="{00000000-0005-0000-0000-000041190000}"/>
    <cellStyle name="Comma 2 2 2 10 6 2" xfId="6469" xr:uid="{00000000-0005-0000-0000-000042190000}"/>
    <cellStyle name="Comma 2 2 2 10 7" xfId="6470" xr:uid="{00000000-0005-0000-0000-000043190000}"/>
    <cellStyle name="Comma 2 2 2 10 8" xfId="6471" xr:uid="{00000000-0005-0000-0000-000044190000}"/>
    <cellStyle name="Comma 2 2 2 10 9" xfId="6472" xr:uid="{00000000-0005-0000-0000-000045190000}"/>
    <cellStyle name="Comma 2 2 2 11" xfId="6473" xr:uid="{00000000-0005-0000-0000-000046190000}"/>
    <cellStyle name="Comma 2 2 2 11 10" xfId="6474" xr:uid="{00000000-0005-0000-0000-000047190000}"/>
    <cellStyle name="Comma 2 2 2 11 2" xfId="6475" xr:uid="{00000000-0005-0000-0000-000048190000}"/>
    <cellStyle name="Comma 2 2 2 11 2 2" xfId="6476" xr:uid="{00000000-0005-0000-0000-000049190000}"/>
    <cellStyle name="Comma 2 2 2 11 2 2 2" xfId="6477" xr:uid="{00000000-0005-0000-0000-00004A190000}"/>
    <cellStyle name="Comma 2 2 2 11 2 2 3" xfId="6478" xr:uid="{00000000-0005-0000-0000-00004B190000}"/>
    <cellStyle name="Comma 2 2 2 11 2 3" xfId="6479" xr:uid="{00000000-0005-0000-0000-00004C190000}"/>
    <cellStyle name="Comma 2 2 2 11 2 4" xfId="6480" xr:uid="{00000000-0005-0000-0000-00004D190000}"/>
    <cellStyle name="Comma 2 2 2 11 2 5" xfId="6481" xr:uid="{00000000-0005-0000-0000-00004E190000}"/>
    <cellStyle name="Comma 2 2 2 11 2 6" xfId="6482" xr:uid="{00000000-0005-0000-0000-00004F190000}"/>
    <cellStyle name="Comma 2 2 2 11 3" xfId="6483" xr:uid="{00000000-0005-0000-0000-000050190000}"/>
    <cellStyle name="Comma 2 2 2 11 3 2" xfId="6484" xr:uid="{00000000-0005-0000-0000-000051190000}"/>
    <cellStyle name="Comma 2 2 2 11 3 2 2" xfId="6485" xr:uid="{00000000-0005-0000-0000-000052190000}"/>
    <cellStyle name="Comma 2 2 2 11 3 2 3" xfId="6486" xr:uid="{00000000-0005-0000-0000-000053190000}"/>
    <cellStyle name="Comma 2 2 2 11 3 3" xfId="6487" xr:uid="{00000000-0005-0000-0000-000054190000}"/>
    <cellStyle name="Comma 2 2 2 11 3 4" xfId="6488" xr:uid="{00000000-0005-0000-0000-000055190000}"/>
    <cellStyle name="Comma 2 2 2 11 3 5" xfId="6489" xr:uid="{00000000-0005-0000-0000-000056190000}"/>
    <cellStyle name="Comma 2 2 2 11 3 6" xfId="6490" xr:uid="{00000000-0005-0000-0000-000057190000}"/>
    <cellStyle name="Comma 2 2 2 11 4" xfId="6491" xr:uid="{00000000-0005-0000-0000-000058190000}"/>
    <cellStyle name="Comma 2 2 2 11 4 2" xfId="6492" xr:uid="{00000000-0005-0000-0000-000059190000}"/>
    <cellStyle name="Comma 2 2 2 11 4 2 2" xfId="6493" xr:uid="{00000000-0005-0000-0000-00005A190000}"/>
    <cellStyle name="Comma 2 2 2 11 4 3" xfId="6494" xr:uid="{00000000-0005-0000-0000-00005B190000}"/>
    <cellStyle name="Comma 2 2 2 11 4 4" xfId="6495" xr:uid="{00000000-0005-0000-0000-00005C190000}"/>
    <cellStyle name="Comma 2 2 2 11 4 5" xfId="6496" xr:uid="{00000000-0005-0000-0000-00005D190000}"/>
    <cellStyle name="Comma 2 2 2 11 5" xfId="6497" xr:uid="{00000000-0005-0000-0000-00005E190000}"/>
    <cellStyle name="Comma 2 2 2 11 5 2" xfId="6498" xr:uid="{00000000-0005-0000-0000-00005F190000}"/>
    <cellStyle name="Comma 2 2 2 11 5 3" xfId="6499" xr:uid="{00000000-0005-0000-0000-000060190000}"/>
    <cellStyle name="Comma 2 2 2 11 5 4" xfId="6500" xr:uid="{00000000-0005-0000-0000-000061190000}"/>
    <cellStyle name="Comma 2 2 2 11 6" xfId="6501" xr:uid="{00000000-0005-0000-0000-000062190000}"/>
    <cellStyle name="Comma 2 2 2 11 6 2" xfId="6502" xr:uid="{00000000-0005-0000-0000-000063190000}"/>
    <cellStyle name="Comma 2 2 2 11 7" xfId="6503" xr:uid="{00000000-0005-0000-0000-000064190000}"/>
    <cellStyle name="Comma 2 2 2 11 8" xfId="6504" xr:uid="{00000000-0005-0000-0000-000065190000}"/>
    <cellStyle name="Comma 2 2 2 11 9" xfId="6505" xr:uid="{00000000-0005-0000-0000-000066190000}"/>
    <cellStyle name="Comma 2 2 2 12" xfId="6506" xr:uid="{00000000-0005-0000-0000-000067190000}"/>
    <cellStyle name="Comma 2 2 2 12 10" xfId="6507" xr:uid="{00000000-0005-0000-0000-000068190000}"/>
    <cellStyle name="Comma 2 2 2 12 2" xfId="6508" xr:uid="{00000000-0005-0000-0000-000069190000}"/>
    <cellStyle name="Comma 2 2 2 12 2 2" xfId="6509" xr:uid="{00000000-0005-0000-0000-00006A190000}"/>
    <cellStyle name="Comma 2 2 2 12 2 2 2" xfId="6510" xr:uid="{00000000-0005-0000-0000-00006B190000}"/>
    <cellStyle name="Comma 2 2 2 12 2 2 3" xfId="6511" xr:uid="{00000000-0005-0000-0000-00006C190000}"/>
    <cellStyle name="Comma 2 2 2 12 2 3" xfId="6512" xr:uid="{00000000-0005-0000-0000-00006D190000}"/>
    <cellStyle name="Comma 2 2 2 12 2 4" xfId="6513" xr:uid="{00000000-0005-0000-0000-00006E190000}"/>
    <cellStyle name="Comma 2 2 2 12 2 5" xfId="6514" xr:uid="{00000000-0005-0000-0000-00006F190000}"/>
    <cellStyle name="Comma 2 2 2 12 2 6" xfId="6515" xr:uid="{00000000-0005-0000-0000-000070190000}"/>
    <cellStyle name="Comma 2 2 2 12 3" xfId="6516" xr:uid="{00000000-0005-0000-0000-000071190000}"/>
    <cellStyle name="Comma 2 2 2 12 3 2" xfId="6517" xr:uid="{00000000-0005-0000-0000-000072190000}"/>
    <cellStyle name="Comma 2 2 2 12 3 2 2" xfId="6518" xr:uid="{00000000-0005-0000-0000-000073190000}"/>
    <cellStyle name="Comma 2 2 2 12 3 2 3" xfId="6519" xr:uid="{00000000-0005-0000-0000-000074190000}"/>
    <cellStyle name="Comma 2 2 2 12 3 3" xfId="6520" xr:uid="{00000000-0005-0000-0000-000075190000}"/>
    <cellStyle name="Comma 2 2 2 12 3 4" xfId="6521" xr:uid="{00000000-0005-0000-0000-000076190000}"/>
    <cellStyle name="Comma 2 2 2 12 3 5" xfId="6522" xr:uid="{00000000-0005-0000-0000-000077190000}"/>
    <cellStyle name="Comma 2 2 2 12 3 6" xfId="6523" xr:uid="{00000000-0005-0000-0000-000078190000}"/>
    <cellStyle name="Comma 2 2 2 12 4" xfId="6524" xr:uid="{00000000-0005-0000-0000-000079190000}"/>
    <cellStyle name="Comma 2 2 2 12 4 2" xfId="6525" xr:uid="{00000000-0005-0000-0000-00007A190000}"/>
    <cellStyle name="Comma 2 2 2 12 4 2 2" xfId="6526" xr:uid="{00000000-0005-0000-0000-00007B190000}"/>
    <cellStyle name="Comma 2 2 2 12 4 3" xfId="6527" xr:uid="{00000000-0005-0000-0000-00007C190000}"/>
    <cellStyle name="Comma 2 2 2 12 4 4" xfId="6528" xr:uid="{00000000-0005-0000-0000-00007D190000}"/>
    <cellStyle name="Comma 2 2 2 12 4 5" xfId="6529" xr:uid="{00000000-0005-0000-0000-00007E190000}"/>
    <cellStyle name="Comma 2 2 2 12 5" xfId="6530" xr:uid="{00000000-0005-0000-0000-00007F190000}"/>
    <cellStyle name="Comma 2 2 2 12 5 2" xfId="6531" xr:uid="{00000000-0005-0000-0000-000080190000}"/>
    <cellStyle name="Comma 2 2 2 12 5 3" xfId="6532" xr:uid="{00000000-0005-0000-0000-000081190000}"/>
    <cellStyle name="Comma 2 2 2 12 5 4" xfId="6533" xr:uid="{00000000-0005-0000-0000-000082190000}"/>
    <cellStyle name="Comma 2 2 2 12 6" xfId="6534" xr:uid="{00000000-0005-0000-0000-000083190000}"/>
    <cellStyle name="Comma 2 2 2 12 6 2" xfId="6535" xr:uid="{00000000-0005-0000-0000-000084190000}"/>
    <cellStyle name="Comma 2 2 2 12 7" xfId="6536" xr:uid="{00000000-0005-0000-0000-000085190000}"/>
    <cellStyle name="Comma 2 2 2 12 8" xfId="6537" xr:uid="{00000000-0005-0000-0000-000086190000}"/>
    <cellStyle name="Comma 2 2 2 12 9" xfId="6538" xr:uid="{00000000-0005-0000-0000-000087190000}"/>
    <cellStyle name="Comma 2 2 2 13" xfId="6539" xr:uid="{00000000-0005-0000-0000-000088190000}"/>
    <cellStyle name="Comma 2 2 2 13 2" xfId="6540" xr:uid="{00000000-0005-0000-0000-000089190000}"/>
    <cellStyle name="Comma 2 2 2 13 2 2" xfId="6541" xr:uid="{00000000-0005-0000-0000-00008A190000}"/>
    <cellStyle name="Comma 2 2 2 13 2 2 2" xfId="6542" xr:uid="{00000000-0005-0000-0000-00008B190000}"/>
    <cellStyle name="Comma 2 2 2 13 2 2 3" xfId="6543" xr:uid="{00000000-0005-0000-0000-00008C190000}"/>
    <cellStyle name="Comma 2 2 2 13 2 3" xfId="6544" xr:uid="{00000000-0005-0000-0000-00008D190000}"/>
    <cellStyle name="Comma 2 2 2 13 2 4" xfId="6545" xr:uid="{00000000-0005-0000-0000-00008E190000}"/>
    <cellStyle name="Comma 2 2 2 13 2 5" xfId="6546" xr:uid="{00000000-0005-0000-0000-00008F190000}"/>
    <cellStyle name="Comma 2 2 2 13 2 6" xfId="6547" xr:uid="{00000000-0005-0000-0000-000090190000}"/>
    <cellStyle name="Comma 2 2 2 13 3" xfId="6548" xr:uid="{00000000-0005-0000-0000-000091190000}"/>
    <cellStyle name="Comma 2 2 2 13 3 2" xfId="6549" xr:uid="{00000000-0005-0000-0000-000092190000}"/>
    <cellStyle name="Comma 2 2 2 13 3 2 2" xfId="6550" xr:uid="{00000000-0005-0000-0000-000093190000}"/>
    <cellStyle name="Comma 2 2 2 13 3 3" xfId="6551" xr:uid="{00000000-0005-0000-0000-000094190000}"/>
    <cellStyle name="Comma 2 2 2 13 3 4" xfId="6552" xr:uid="{00000000-0005-0000-0000-000095190000}"/>
    <cellStyle name="Comma 2 2 2 13 3 5" xfId="6553" xr:uid="{00000000-0005-0000-0000-000096190000}"/>
    <cellStyle name="Comma 2 2 2 13 4" xfId="6554" xr:uid="{00000000-0005-0000-0000-000097190000}"/>
    <cellStyle name="Comma 2 2 2 13 4 2" xfId="6555" xr:uid="{00000000-0005-0000-0000-000098190000}"/>
    <cellStyle name="Comma 2 2 2 13 4 3" xfId="6556" xr:uid="{00000000-0005-0000-0000-000099190000}"/>
    <cellStyle name="Comma 2 2 2 13 4 4" xfId="6557" xr:uid="{00000000-0005-0000-0000-00009A190000}"/>
    <cellStyle name="Comma 2 2 2 13 5" xfId="6558" xr:uid="{00000000-0005-0000-0000-00009B190000}"/>
    <cellStyle name="Comma 2 2 2 13 5 2" xfId="6559" xr:uid="{00000000-0005-0000-0000-00009C190000}"/>
    <cellStyle name="Comma 2 2 2 13 6" xfId="6560" xr:uid="{00000000-0005-0000-0000-00009D190000}"/>
    <cellStyle name="Comma 2 2 2 13 7" xfId="6561" xr:uid="{00000000-0005-0000-0000-00009E190000}"/>
    <cellStyle name="Comma 2 2 2 13 8" xfId="6562" xr:uid="{00000000-0005-0000-0000-00009F190000}"/>
    <cellStyle name="Comma 2 2 2 13 9" xfId="6563" xr:uid="{00000000-0005-0000-0000-0000A0190000}"/>
    <cellStyle name="Comma 2 2 2 14" xfId="6564" xr:uid="{00000000-0005-0000-0000-0000A1190000}"/>
    <cellStyle name="Comma 2 2 2 14 2" xfId="6565" xr:uid="{00000000-0005-0000-0000-0000A2190000}"/>
    <cellStyle name="Comma 2 2 2 14 2 2" xfId="6566" xr:uid="{00000000-0005-0000-0000-0000A3190000}"/>
    <cellStyle name="Comma 2 2 2 14 2 2 2" xfId="6567" xr:uid="{00000000-0005-0000-0000-0000A4190000}"/>
    <cellStyle name="Comma 2 2 2 14 2 2 3" xfId="6568" xr:uid="{00000000-0005-0000-0000-0000A5190000}"/>
    <cellStyle name="Comma 2 2 2 14 2 3" xfId="6569" xr:uid="{00000000-0005-0000-0000-0000A6190000}"/>
    <cellStyle name="Comma 2 2 2 14 2 4" xfId="6570" xr:uid="{00000000-0005-0000-0000-0000A7190000}"/>
    <cellStyle name="Comma 2 2 2 14 2 5" xfId="6571" xr:uid="{00000000-0005-0000-0000-0000A8190000}"/>
    <cellStyle name="Comma 2 2 2 14 2 6" xfId="6572" xr:uid="{00000000-0005-0000-0000-0000A9190000}"/>
    <cellStyle name="Comma 2 2 2 14 3" xfId="6573" xr:uid="{00000000-0005-0000-0000-0000AA190000}"/>
    <cellStyle name="Comma 2 2 2 14 3 2" xfId="6574" xr:uid="{00000000-0005-0000-0000-0000AB190000}"/>
    <cellStyle name="Comma 2 2 2 14 3 2 2" xfId="6575" xr:uid="{00000000-0005-0000-0000-0000AC190000}"/>
    <cellStyle name="Comma 2 2 2 14 3 3" xfId="6576" xr:uid="{00000000-0005-0000-0000-0000AD190000}"/>
    <cellStyle name="Comma 2 2 2 14 3 4" xfId="6577" xr:uid="{00000000-0005-0000-0000-0000AE190000}"/>
    <cellStyle name="Comma 2 2 2 14 3 5" xfId="6578" xr:uid="{00000000-0005-0000-0000-0000AF190000}"/>
    <cellStyle name="Comma 2 2 2 14 4" xfId="6579" xr:uid="{00000000-0005-0000-0000-0000B0190000}"/>
    <cellStyle name="Comma 2 2 2 14 4 2" xfId="6580" xr:uid="{00000000-0005-0000-0000-0000B1190000}"/>
    <cellStyle name="Comma 2 2 2 14 4 3" xfId="6581" xr:uid="{00000000-0005-0000-0000-0000B2190000}"/>
    <cellStyle name="Comma 2 2 2 14 4 4" xfId="6582" xr:uid="{00000000-0005-0000-0000-0000B3190000}"/>
    <cellStyle name="Comma 2 2 2 14 5" xfId="6583" xr:uid="{00000000-0005-0000-0000-0000B4190000}"/>
    <cellStyle name="Comma 2 2 2 14 5 2" xfId="6584" xr:uid="{00000000-0005-0000-0000-0000B5190000}"/>
    <cellStyle name="Comma 2 2 2 14 6" xfId="6585" xr:uid="{00000000-0005-0000-0000-0000B6190000}"/>
    <cellStyle name="Comma 2 2 2 14 7" xfId="6586" xr:uid="{00000000-0005-0000-0000-0000B7190000}"/>
    <cellStyle name="Comma 2 2 2 14 8" xfId="6587" xr:uid="{00000000-0005-0000-0000-0000B8190000}"/>
    <cellStyle name="Comma 2 2 2 14 9" xfId="6588" xr:uid="{00000000-0005-0000-0000-0000B9190000}"/>
    <cellStyle name="Comma 2 2 2 15" xfId="6589" xr:uid="{00000000-0005-0000-0000-0000BA190000}"/>
    <cellStyle name="Comma 2 2 2 15 2" xfId="6590" xr:uid="{00000000-0005-0000-0000-0000BB190000}"/>
    <cellStyle name="Comma 2 2 2 15 2 2" xfId="6591" xr:uid="{00000000-0005-0000-0000-0000BC190000}"/>
    <cellStyle name="Comma 2 2 2 15 2 3" xfId="6592" xr:uid="{00000000-0005-0000-0000-0000BD190000}"/>
    <cellStyle name="Comma 2 2 2 15 3" xfId="6593" xr:uid="{00000000-0005-0000-0000-0000BE190000}"/>
    <cellStyle name="Comma 2 2 2 15 4" xfId="6594" xr:uid="{00000000-0005-0000-0000-0000BF190000}"/>
    <cellStyle name="Comma 2 2 2 15 5" xfId="6595" xr:uid="{00000000-0005-0000-0000-0000C0190000}"/>
    <cellStyle name="Comma 2 2 2 15 6" xfId="6596" xr:uid="{00000000-0005-0000-0000-0000C1190000}"/>
    <cellStyle name="Comma 2 2 2 16" xfId="6597" xr:uid="{00000000-0005-0000-0000-0000C2190000}"/>
    <cellStyle name="Comma 2 2 2 16 2" xfId="6598" xr:uid="{00000000-0005-0000-0000-0000C3190000}"/>
    <cellStyle name="Comma 2 2 2 16 2 2" xfId="6599" xr:uid="{00000000-0005-0000-0000-0000C4190000}"/>
    <cellStyle name="Comma 2 2 2 16 2 3" xfId="6600" xr:uid="{00000000-0005-0000-0000-0000C5190000}"/>
    <cellStyle name="Comma 2 2 2 16 3" xfId="6601" xr:uid="{00000000-0005-0000-0000-0000C6190000}"/>
    <cellStyle name="Comma 2 2 2 16 4" xfId="6602" xr:uid="{00000000-0005-0000-0000-0000C7190000}"/>
    <cellStyle name="Comma 2 2 2 16 5" xfId="6603" xr:uid="{00000000-0005-0000-0000-0000C8190000}"/>
    <cellStyle name="Comma 2 2 2 16 6" xfId="6604" xr:uid="{00000000-0005-0000-0000-0000C9190000}"/>
    <cellStyle name="Comma 2 2 2 17" xfId="6605" xr:uid="{00000000-0005-0000-0000-0000CA190000}"/>
    <cellStyle name="Comma 2 2 2 17 2" xfId="6606" xr:uid="{00000000-0005-0000-0000-0000CB190000}"/>
    <cellStyle name="Comma 2 2 2 17 2 2" xfId="6607" xr:uid="{00000000-0005-0000-0000-0000CC190000}"/>
    <cellStyle name="Comma 2 2 2 17 2 3" xfId="6608" xr:uid="{00000000-0005-0000-0000-0000CD190000}"/>
    <cellStyle name="Comma 2 2 2 17 3" xfId="6609" xr:uid="{00000000-0005-0000-0000-0000CE190000}"/>
    <cellStyle name="Comma 2 2 2 17 4" xfId="6610" xr:uid="{00000000-0005-0000-0000-0000CF190000}"/>
    <cellStyle name="Comma 2 2 2 17 5" xfId="6611" xr:uid="{00000000-0005-0000-0000-0000D0190000}"/>
    <cellStyle name="Comma 2 2 2 17 6" xfId="6612" xr:uid="{00000000-0005-0000-0000-0000D1190000}"/>
    <cellStyle name="Comma 2 2 2 18" xfId="6613" xr:uid="{00000000-0005-0000-0000-0000D2190000}"/>
    <cellStyle name="Comma 2 2 2 18 2" xfId="6614" xr:uid="{00000000-0005-0000-0000-0000D3190000}"/>
    <cellStyle name="Comma 2 2 2 18 3" xfId="6615" xr:uid="{00000000-0005-0000-0000-0000D4190000}"/>
    <cellStyle name="Comma 2 2 2 18 4" xfId="6616" xr:uid="{00000000-0005-0000-0000-0000D5190000}"/>
    <cellStyle name="Comma 2 2 2 19" xfId="6617" xr:uid="{00000000-0005-0000-0000-0000D6190000}"/>
    <cellStyle name="Comma 2 2 2 19 2" xfId="6618" xr:uid="{00000000-0005-0000-0000-0000D7190000}"/>
    <cellStyle name="Comma 2 2 2 19 3" xfId="6619" xr:uid="{00000000-0005-0000-0000-0000D8190000}"/>
    <cellStyle name="Comma 2 2 2 2" xfId="6620" xr:uid="{00000000-0005-0000-0000-0000D9190000}"/>
    <cellStyle name="Comma 2 2 2 2 10" xfId="6621" xr:uid="{00000000-0005-0000-0000-0000DA190000}"/>
    <cellStyle name="Comma 2 2 2 2 11" xfId="6622" xr:uid="{00000000-0005-0000-0000-0000DB190000}"/>
    <cellStyle name="Comma 2 2 2 2 2" xfId="6623" xr:uid="{00000000-0005-0000-0000-0000DC190000}"/>
    <cellStyle name="Comma 2 2 2 2 2 2" xfId="6624" xr:uid="{00000000-0005-0000-0000-0000DD190000}"/>
    <cellStyle name="Comma 2 2 2 2 2 2 2" xfId="6625" xr:uid="{00000000-0005-0000-0000-0000DE190000}"/>
    <cellStyle name="Comma 2 2 2 2 2 2 2 2" xfId="6626" xr:uid="{00000000-0005-0000-0000-0000DF190000}"/>
    <cellStyle name="Comma 2 2 2 2 2 2 2 3" xfId="6627" xr:uid="{00000000-0005-0000-0000-0000E0190000}"/>
    <cellStyle name="Comma 2 2 2 2 2 2 3" xfId="6628" xr:uid="{00000000-0005-0000-0000-0000E1190000}"/>
    <cellStyle name="Comma 2 2 2 2 2 2 4" xfId="6629" xr:uid="{00000000-0005-0000-0000-0000E2190000}"/>
    <cellStyle name="Comma 2 2 2 2 2 2 5" xfId="6630" xr:uid="{00000000-0005-0000-0000-0000E3190000}"/>
    <cellStyle name="Comma 2 2 2 2 2 2 6" xfId="6631" xr:uid="{00000000-0005-0000-0000-0000E4190000}"/>
    <cellStyle name="Comma 2 2 2 2 2 3" xfId="6632" xr:uid="{00000000-0005-0000-0000-0000E5190000}"/>
    <cellStyle name="Comma 2 2 2 2 2 3 2" xfId="6633" xr:uid="{00000000-0005-0000-0000-0000E6190000}"/>
    <cellStyle name="Comma 2 2 2 2 2 3 2 2" xfId="6634" xr:uid="{00000000-0005-0000-0000-0000E7190000}"/>
    <cellStyle name="Comma 2 2 2 2 2 3 3" xfId="6635" xr:uid="{00000000-0005-0000-0000-0000E8190000}"/>
    <cellStyle name="Comma 2 2 2 2 2 3 4" xfId="6636" xr:uid="{00000000-0005-0000-0000-0000E9190000}"/>
    <cellStyle name="Comma 2 2 2 2 2 3 5" xfId="6637" xr:uid="{00000000-0005-0000-0000-0000EA190000}"/>
    <cellStyle name="Comma 2 2 2 2 2 3 6" xfId="6638" xr:uid="{00000000-0005-0000-0000-0000EB190000}"/>
    <cellStyle name="Comma 2 2 2 2 2 4" xfId="6639" xr:uid="{00000000-0005-0000-0000-0000EC190000}"/>
    <cellStyle name="Comma 2 2 2 2 2 4 2" xfId="6640" xr:uid="{00000000-0005-0000-0000-0000ED190000}"/>
    <cellStyle name="Comma 2 2 2 2 2 4 3" xfId="6641" xr:uid="{00000000-0005-0000-0000-0000EE190000}"/>
    <cellStyle name="Comma 2 2 2 2 2 4 4" xfId="6642" xr:uid="{00000000-0005-0000-0000-0000EF190000}"/>
    <cellStyle name="Comma 2 2 2 2 2 4 5" xfId="6643" xr:uid="{00000000-0005-0000-0000-0000F0190000}"/>
    <cellStyle name="Comma 2 2 2 2 2 5" xfId="6644" xr:uid="{00000000-0005-0000-0000-0000F1190000}"/>
    <cellStyle name="Comma 2 2 2 2 2 5 2" xfId="6645" xr:uid="{00000000-0005-0000-0000-0000F2190000}"/>
    <cellStyle name="Comma 2 2 2 2 2 6" xfId="6646" xr:uid="{00000000-0005-0000-0000-0000F3190000}"/>
    <cellStyle name="Comma 2 2 2 2 2 7" xfId="6647" xr:uid="{00000000-0005-0000-0000-0000F4190000}"/>
    <cellStyle name="Comma 2 2 2 2 2 8" xfId="6648" xr:uid="{00000000-0005-0000-0000-0000F5190000}"/>
    <cellStyle name="Comma 2 2 2 2 2 9" xfId="6649" xr:uid="{00000000-0005-0000-0000-0000F6190000}"/>
    <cellStyle name="Comma 2 2 2 2 3" xfId="6650" xr:uid="{00000000-0005-0000-0000-0000F7190000}"/>
    <cellStyle name="Comma 2 2 2 2 3 2" xfId="6651" xr:uid="{00000000-0005-0000-0000-0000F8190000}"/>
    <cellStyle name="Comma 2 2 2 2 3 2 2" xfId="6652" xr:uid="{00000000-0005-0000-0000-0000F9190000}"/>
    <cellStyle name="Comma 2 2 2 2 3 2 2 2" xfId="6653" xr:uid="{00000000-0005-0000-0000-0000FA190000}"/>
    <cellStyle name="Comma 2 2 2 2 3 2 2 3" xfId="6654" xr:uid="{00000000-0005-0000-0000-0000FB190000}"/>
    <cellStyle name="Comma 2 2 2 2 3 2 3" xfId="6655" xr:uid="{00000000-0005-0000-0000-0000FC190000}"/>
    <cellStyle name="Comma 2 2 2 2 3 2 4" xfId="6656" xr:uid="{00000000-0005-0000-0000-0000FD190000}"/>
    <cellStyle name="Comma 2 2 2 2 3 2 5" xfId="6657" xr:uid="{00000000-0005-0000-0000-0000FE190000}"/>
    <cellStyle name="Comma 2 2 2 2 3 2 6" xfId="6658" xr:uid="{00000000-0005-0000-0000-0000FF190000}"/>
    <cellStyle name="Comma 2 2 2 2 3 3" xfId="6659" xr:uid="{00000000-0005-0000-0000-0000001A0000}"/>
    <cellStyle name="Comma 2 2 2 2 3 3 2" xfId="6660" xr:uid="{00000000-0005-0000-0000-0000011A0000}"/>
    <cellStyle name="Comma 2 2 2 2 3 3 2 2" xfId="6661" xr:uid="{00000000-0005-0000-0000-0000021A0000}"/>
    <cellStyle name="Comma 2 2 2 2 3 3 3" xfId="6662" xr:uid="{00000000-0005-0000-0000-0000031A0000}"/>
    <cellStyle name="Comma 2 2 2 2 3 3 4" xfId="6663" xr:uid="{00000000-0005-0000-0000-0000041A0000}"/>
    <cellStyle name="Comma 2 2 2 2 3 3 5" xfId="6664" xr:uid="{00000000-0005-0000-0000-0000051A0000}"/>
    <cellStyle name="Comma 2 2 2 2 3 4" xfId="6665" xr:uid="{00000000-0005-0000-0000-0000061A0000}"/>
    <cellStyle name="Comma 2 2 2 2 3 4 2" xfId="6666" xr:uid="{00000000-0005-0000-0000-0000071A0000}"/>
    <cellStyle name="Comma 2 2 2 2 3 4 3" xfId="6667" xr:uid="{00000000-0005-0000-0000-0000081A0000}"/>
    <cellStyle name="Comma 2 2 2 2 3 4 4" xfId="6668" xr:uid="{00000000-0005-0000-0000-0000091A0000}"/>
    <cellStyle name="Comma 2 2 2 2 3 5" xfId="6669" xr:uid="{00000000-0005-0000-0000-00000A1A0000}"/>
    <cellStyle name="Comma 2 2 2 2 3 5 2" xfId="6670" xr:uid="{00000000-0005-0000-0000-00000B1A0000}"/>
    <cellStyle name="Comma 2 2 2 2 3 6" xfId="6671" xr:uid="{00000000-0005-0000-0000-00000C1A0000}"/>
    <cellStyle name="Comma 2 2 2 2 3 7" xfId="6672" xr:uid="{00000000-0005-0000-0000-00000D1A0000}"/>
    <cellStyle name="Comma 2 2 2 2 3 8" xfId="6673" xr:uid="{00000000-0005-0000-0000-00000E1A0000}"/>
    <cellStyle name="Comma 2 2 2 2 3 9" xfId="6674" xr:uid="{00000000-0005-0000-0000-00000F1A0000}"/>
    <cellStyle name="Comma 2 2 2 2 4" xfId="6675" xr:uid="{00000000-0005-0000-0000-0000101A0000}"/>
    <cellStyle name="Comma 2 2 2 2 4 2" xfId="6676" xr:uid="{00000000-0005-0000-0000-0000111A0000}"/>
    <cellStyle name="Comma 2 2 2 2 4 2 2" xfId="6677" xr:uid="{00000000-0005-0000-0000-0000121A0000}"/>
    <cellStyle name="Comma 2 2 2 2 4 2 3" xfId="6678" xr:uid="{00000000-0005-0000-0000-0000131A0000}"/>
    <cellStyle name="Comma 2 2 2 2 4 3" xfId="6679" xr:uid="{00000000-0005-0000-0000-0000141A0000}"/>
    <cellStyle name="Comma 2 2 2 2 4 4" xfId="6680" xr:uid="{00000000-0005-0000-0000-0000151A0000}"/>
    <cellStyle name="Comma 2 2 2 2 4 5" xfId="6681" xr:uid="{00000000-0005-0000-0000-0000161A0000}"/>
    <cellStyle name="Comma 2 2 2 2 4 6" xfId="6682" xr:uid="{00000000-0005-0000-0000-0000171A0000}"/>
    <cellStyle name="Comma 2 2 2 2 5" xfId="6683" xr:uid="{00000000-0005-0000-0000-0000181A0000}"/>
    <cellStyle name="Comma 2 2 2 2 5 2" xfId="6684" xr:uid="{00000000-0005-0000-0000-0000191A0000}"/>
    <cellStyle name="Comma 2 2 2 2 5 2 2" xfId="6685" xr:uid="{00000000-0005-0000-0000-00001A1A0000}"/>
    <cellStyle name="Comma 2 2 2 2 5 3" xfId="6686" xr:uid="{00000000-0005-0000-0000-00001B1A0000}"/>
    <cellStyle name="Comma 2 2 2 2 5 4" xfId="6687" xr:uid="{00000000-0005-0000-0000-00001C1A0000}"/>
    <cellStyle name="Comma 2 2 2 2 5 5" xfId="6688" xr:uid="{00000000-0005-0000-0000-00001D1A0000}"/>
    <cellStyle name="Comma 2 2 2 2 6" xfId="6689" xr:uid="{00000000-0005-0000-0000-00001E1A0000}"/>
    <cellStyle name="Comma 2 2 2 2 6 2" xfId="6690" xr:uid="{00000000-0005-0000-0000-00001F1A0000}"/>
    <cellStyle name="Comma 2 2 2 2 6 3" xfId="6691" xr:uid="{00000000-0005-0000-0000-0000201A0000}"/>
    <cellStyle name="Comma 2 2 2 2 6 4" xfId="6692" xr:uid="{00000000-0005-0000-0000-0000211A0000}"/>
    <cellStyle name="Comma 2 2 2 2 7" xfId="6693" xr:uid="{00000000-0005-0000-0000-0000221A0000}"/>
    <cellStyle name="Comma 2 2 2 2 7 2" xfId="6694" xr:uid="{00000000-0005-0000-0000-0000231A0000}"/>
    <cellStyle name="Comma 2 2 2 2 8" xfId="6695" xr:uid="{00000000-0005-0000-0000-0000241A0000}"/>
    <cellStyle name="Comma 2 2 2 2 9" xfId="6696" xr:uid="{00000000-0005-0000-0000-0000251A0000}"/>
    <cellStyle name="Comma 2 2 2 20" xfId="6697" xr:uid="{00000000-0005-0000-0000-0000261A0000}"/>
    <cellStyle name="Comma 2 2 2 20 2" xfId="6698" xr:uid="{00000000-0005-0000-0000-0000271A0000}"/>
    <cellStyle name="Comma 2 2 2 21" xfId="6699" xr:uid="{00000000-0005-0000-0000-0000281A0000}"/>
    <cellStyle name="Comma 2 2 2 21 2" xfId="6700" xr:uid="{00000000-0005-0000-0000-0000291A0000}"/>
    <cellStyle name="Comma 2 2 2 22" xfId="6701" xr:uid="{00000000-0005-0000-0000-00002A1A0000}"/>
    <cellStyle name="Comma 2 2 2 22 2" xfId="6702" xr:uid="{00000000-0005-0000-0000-00002B1A0000}"/>
    <cellStyle name="Comma 2 2 2 23" xfId="6703" xr:uid="{00000000-0005-0000-0000-00002C1A0000}"/>
    <cellStyle name="Comma 2 2 2 23 2" xfId="6704" xr:uid="{00000000-0005-0000-0000-00002D1A0000}"/>
    <cellStyle name="Comma 2 2 2 24" xfId="6705" xr:uid="{00000000-0005-0000-0000-00002E1A0000}"/>
    <cellStyle name="Comma 2 2 2 24 2" xfId="6706" xr:uid="{00000000-0005-0000-0000-00002F1A0000}"/>
    <cellStyle name="Comma 2 2 2 25" xfId="6707" xr:uid="{00000000-0005-0000-0000-0000301A0000}"/>
    <cellStyle name="Comma 2 2 2 25 2" xfId="6708" xr:uid="{00000000-0005-0000-0000-0000311A0000}"/>
    <cellStyle name="Comma 2 2 2 26" xfId="6709" xr:uid="{00000000-0005-0000-0000-0000321A0000}"/>
    <cellStyle name="Comma 2 2 2 26 2" xfId="6710" xr:uid="{00000000-0005-0000-0000-0000331A0000}"/>
    <cellStyle name="Comma 2 2 2 27" xfId="6711" xr:uid="{00000000-0005-0000-0000-0000341A0000}"/>
    <cellStyle name="Comma 2 2 2 27 2" xfId="6712" xr:uid="{00000000-0005-0000-0000-0000351A0000}"/>
    <cellStyle name="Comma 2 2 2 28" xfId="6713" xr:uid="{00000000-0005-0000-0000-0000361A0000}"/>
    <cellStyle name="Comma 2 2 2 28 2" xfId="6714" xr:uid="{00000000-0005-0000-0000-0000371A0000}"/>
    <cellStyle name="Comma 2 2 2 29" xfId="6715" xr:uid="{00000000-0005-0000-0000-0000381A0000}"/>
    <cellStyle name="Comma 2 2 2 29 2" xfId="6716" xr:uid="{00000000-0005-0000-0000-0000391A0000}"/>
    <cellStyle name="Comma 2 2 2 3" xfId="6717" xr:uid="{00000000-0005-0000-0000-00003A1A0000}"/>
    <cellStyle name="Comma 2 2 2 3 10" xfId="6718" xr:uid="{00000000-0005-0000-0000-00003B1A0000}"/>
    <cellStyle name="Comma 2 2 2 3 11" xfId="6719" xr:uid="{00000000-0005-0000-0000-00003C1A0000}"/>
    <cellStyle name="Comma 2 2 2 3 2" xfId="6720" xr:uid="{00000000-0005-0000-0000-00003D1A0000}"/>
    <cellStyle name="Comma 2 2 2 3 2 2" xfId="6721" xr:uid="{00000000-0005-0000-0000-00003E1A0000}"/>
    <cellStyle name="Comma 2 2 2 3 2 2 2" xfId="6722" xr:uid="{00000000-0005-0000-0000-00003F1A0000}"/>
    <cellStyle name="Comma 2 2 2 3 2 2 2 2" xfId="6723" xr:uid="{00000000-0005-0000-0000-0000401A0000}"/>
    <cellStyle name="Comma 2 2 2 3 2 2 2 3" xfId="6724" xr:uid="{00000000-0005-0000-0000-0000411A0000}"/>
    <cellStyle name="Comma 2 2 2 3 2 2 3" xfId="6725" xr:uid="{00000000-0005-0000-0000-0000421A0000}"/>
    <cellStyle name="Comma 2 2 2 3 2 2 4" xfId="6726" xr:uid="{00000000-0005-0000-0000-0000431A0000}"/>
    <cellStyle name="Comma 2 2 2 3 2 2 5" xfId="6727" xr:uid="{00000000-0005-0000-0000-0000441A0000}"/>
    <cellStyle name="Comma 2 2 2 3 2 2 6" xfId="6728" xr:uid="{00000000-0005-0000-0000-0000451A0000}"/>
    <cellStyle name="Comma 2 2 2 3 2 3" xfId="6729" xr:uid="{00000000-0005-0000-0000-0000461A0000}"/>
    <cellStyle name="Comma 2 2 2 3 2 3 2" xfId="6730" xr:uid="{00000000-0005-0000-0000-0000471A0000}"/>
    <cellStyle name="Comma 2 2 2 3 2 3 2 2" xfId="6731" xr:uid="{00000000-0005-0000-0000-0000481A0000}"/>
    <cellStyle name="Comma 2 2 2 3 2 3 3" xfId="6732" xr:uid="{00000000-0005-0000-0000-0000491A0000}"/>
    <cellStyle name="Comma 2 2 2 3 2 3 4" xfId="6733" xr:uid="{00000000-0005-0000-0000-00004A1A0000}"/>
    <cellStyle name="Comma 2 2 2 3 2 3 5" xfId="6734" xr:uid="{00000000-0005-0000-0000-00004B1A0000}"/>
    <cellStyle name="Comma 2 2 2 3 2 4" xfId="6735" xr:uid="{00000000-0005-0000-0000-00004C1A0000}"/>
    <cellStyle name="Comma 2 2 2 3 2 4 2" xfId="6736" xr:uid="{00000000-0005-0000-0000-00004D1A0000}"/>
    <cellStyle name="Comma 2 2 2 3 2 4 3" xfId="6737" xr:uid="{00000000-0005-0000-0000-00004E1A0000}"/>
    <cellStyle name="Comma 2 2 2 3 2 4 4" xfId="6738" xr:uid="{00000000-0005-0000-0000-00004F1A0000}"/>
    <cellStyle name="Comma 2 2 2 3 2 5" xfId="6739" xr:uid="{00000000-0005-0000-0000-0000501A0000}"/>
    <cellStyle name="Comma 2 2 2 3 2 5 2" xfId="6740" xr:uid="{00000000-0005-0000-0000-0000511A0000}"/>
    <cellStyle name="Comma 2 2 2 3 2 6" xfId="6741" xr:uid="{00000000-0005-0000-0000-0000521A0000}"/>
    <cellStyle name="Comma 2 2 2 3 2 7" xfId="6742" xr:uid="{00000000-0005-0000-0000-0000531A0000}"/>
    <cellStyle name="Comma 2 2 2 3 2 8" xfId="6743" xr:uid="{00000000-0005-0000-0000-0000541A0000}"/>
    <cellStyle name="Comma 2 2 2 3 2 9" xfId="6744" xr:uid="{00000000-0005-0000-0000-0000551A0000}"/>
    <cellStyle name="Comma 2 2 2 3 3" xfId="6745" xr:uid="{00000000-0005-0000-0000-0000561A0000}"/>
    <cellStyle name="Comma 2 2 2 3 3 2" xfId="6746" xr:uid="{00000000-0005-0000-0000-0000571A0000}"/>
    <cellStyle name="Comma 2 2 2 3 3 2 2" xfId="6747" xr:uid="{00000000-0005-0000-0000-0000581A0000}"/>
    <cellStyle name="Comma 2 2 2 3 3 2 2 2" xfId="6748" xr:uid="{00000000-0005-0000-0000-0000591A0000}"/>
    <cellStyle name="Comma 2 2 2 3 3 2 2 3" xfId="6749" xr:uid="{00000000-0005-0000-0000-00005A1A0000}"/>
    <cellStyle name="Comma 2 2 2 3 3 2 3" xfId="6750" xr:uid="{00000000-0005-0000-0000-00005B1A0000}"/>
    <cellStyle name="Comma 2 2 2 3 3 2 4" xfId="6751" xr:uid="{00000000-0005-0000-0000-00005C1A0000}"/>
    <cellStyle name="Comma 2 2 2 3 3 2 5" xfId="6752" xr:uid="{00000000-0005-0000-0000-00005D1A0000}"/>
    <cellStyle name="Comma 2 2 2 3 3 2 6" xfId="6753" xr:uid="{00000000-0005-0000-0000-00005E1A0000}"/>
    <cellStyle name="Comma 2 2 2 3 3 3" xfId="6754" xr:uid="{00000000-0005-0000-0000-00005F1A0000}"/>
    <cellStyle name="Comma 2 2 2 3 3 3 2" xfId="6755" xr:uid="{00000000-0005-0000-0000-0000601A0000}"/>
    <cellStyle name="Comma 2 2 2 3 3 3 2 2" xfId="6756" xr:uid="{00000000-0005-0000-0000-0000611A0000}"/>
    <cellStyle name="Comma 2 2 2 3 3 3 3" xfId="6757" xr:uid="{00000000-0005-0000-0000-0000621A0000}"/>
    <cellStyle name="Comma 2 2 2 3 3 3 4" xfId="6758" xr:uid="{00000000-0005-0000-0000-0000631A0000}"/>
    <cellStyle name="Comma 2 2 2 3 3 3 5" xfId="6759" xr:uid="{00000000-0005-0000-0000-0000641A0000}"/>
    <cellStyle name="Comma 2 2 2 3 3 4" xfId="6760" xr:uid="{00000000-0005-0000-0000-0000651A0000}"/>
    <cellStyle name="Comma 2 2 2 3 3 4 2" xfId="6761" xr:uid="{00000000-0005-0000-0000-0000661A0000}"/>
    <cellStyle name="Comma 2 2 2 3 3 4 3" xfId="6762" xr:uid="{00000000-0005-0000-0000-0000671A0000}"/>
    <cellStyle name="Comma 2 2 2 3 3 4 4" xfId="6763" xr:uid="{00000000-0005-0000-0000-0000681A0000}"/>
    <cellStyle name="Comma 2 2 2 3 3 5" xfId="6764" xr:uid="{00000000-0005-0000-0000-0000691A0000}"/>
    <cellStyle name="Comma 2 2 2 3 3 5 2" xfId="6765" xr:uid="{00000000-0005-0000-0000-00006A1A0000}"/>
    <cellStyle name="Comma 2 2 2 3 3 6" xfId="6766" xr:uid="{00000000-0005-0000-0000-00006B1A0000}"/>
    <cellStyle name="Comma 2 2 2 3 3 7" xfId="6767" xr:uid="{00000000-0005-0000-0000-00006C1A0000}"/>
    <cellStyle name="Comma 2 2 2 3 3 8" xfId="6768" xr:uid="{00000000-0005-0000-0000-00006D1A0000}"/>
    <cellStyle name="Comma 2 2 2 3 3 9" xfId="6769" xr:uid="{00000000-0005-0000-0000-00006E1A0000}"/>
    <cellStyle name="Comma 2 2 2 3 4" xfId="6770" xr:uid="{00000000-0005-0000-0000-00006F1A0000}"/>
    <cellStyle name="Comma 2 2 2 3 4 2" xfId="6771" xr:uid="{00000000-0005-0000-0000-0000701A0000}"/>
    <cellStyle name="Comma 2 2 2 3 4 2 2" xfId="6772" xr:uid="{00000000-0005-0000-0000-0000711A0000}"/>
    <cellStyle name="Comma 2 2 2 3 4 2 3" xfId="6773" xr:uid="{00000000-0005-0000-0000-0000721A0000}"/>
    <cellStyle name="Comma 2 2 2 3 4 3" xfId="6774" xr:uid="{00000000-0005-0000-0000-0000731A0000}"/>
    <cellStyle name="Comma 2 2 2 3 4 4" xfId="6775" xr:uid="{00000000-0005-0000-0000-0000741A0000}"/>
    <cellStyle name="Comma 2 2 2 3 4 5" xfId="6776" xr:uid="{00000000-0005-0000-0000-0000751A0000}"/>
    <cellStyle name="Comma 2 2 2 3 4 6" xfId="6777" xr:uid="{00000000-0005-0000-0000-0000761A0000}"/>
    <cellStyle name="Comma 2 2 2 3 5" xfId="6778" xr:uid="{00000000-0005-0000-0000-0000771A0000}"/>
    <cellStyle name="Comma 2 2 2 3 5 2" xfId="6779" xr:uid="{00000000-0005-0000-0000-0000781A0000}"/>
    <cellStyle name="Comma 2 2 2 3 5 2 2" xfId="6780" xr:uid="{00000000-0005-0000-0000-0000791A0000}"/>
    <cellStyle name="Comma 2 2 2 3 5 3" xfId="6781" xr:uid="{00000000-0005-0000-0000-00007A1A0000}"/>
    <cellStyle name="Comma 2 2 2 3 5 4" xfId="6782" xr:uid="{00000000-0005-0000-0000-00007B1A0000}"/>
    <cellStyle name="Comma 2 2 2 3 5 5" xfId="6783" xr:uid="{00000000-0005-0000-0000-00007C1A0000}"/>
    <cellStyle name="Comma 2 2 2 3 6" xfId="6784" xr:uid="{00000000-0005-0000-0000-00007D1A0000}"/>
    <cellStyle name="Comma 2 2 2 3 6 2" xfId="6785" xr:uid="{00000000-0005-0000-0000-00007E1A0000}"/>
    <cellStyle name="Comma 2 2 2 3 6 3" xfId="6786" xr:uid="{00000000-0005-0000-0000-00007F1A0000}"/>
    <cellStyle name="Comma 2 2 2 3 6 4" xfId="6787" xr:uid="{00000000-0005-0000-0000-0000801A0000}"/>
    <cellStyle name="Comma 2 2 2 3 7" xfId="6788" xr:uid="{00000000-0005-0000-0000-0000811A0000}"/>
    <cellStyle name="Comma 2 2 2 3 7 2" xfId="6789" xr:uid="{00000000-0005-0000-0000-0000821A0000}"/>
    <cellStyle name="Comma 2 2 2 3 8" xfId="6790" xr:uid="{00000000-0005-0000-0000-0000831A0000}"/>
    <cellStyle name="Comma 2 2 2 3 9" xfId="6791" xr:uid="{00000000-0005-0000-0000-0000841A0000}"/>
    <cellStyle name="Comma 2 2 2 30" xfId="6792" xr:uid="{00000000-0005-0000-0000-0000851A0000}"/>
    <cellStyle name="Comma 2 2 2 30 2" xfId="6793" xr:uid="{00000000-0005-0000-0000-0000861A0000}"/>
    <cellStyle name="Comma 2 2 2 31" xfId="6794" xr:uid="{00000000-0005-0000-0000-0000871A0000}"/>
    <cellStyle name="Comma 2 2 2 31 2" xfId="6795" xr:uid="{00000000-0005-0000-0000-0000881A0000}"/>
    <cellStyle name="Comma 2 2 2 32" xfId="6796" xr:uid="{00000000-0005-0000-0000-0000891A0000}"/>
    <cellStyle name="Comma 2 2 2 32 2" xfId="6797" xr:uid="{00000000-0005-0000-0000-00008A1A0000}"/>
    <cellStyle name="Comma 2 2 2 33" xfId="6798" xr:uid="{00000000-0005-0000-0000-00008B1A0000}"/>
    <cellStyle name="Comma 2 2 2 33 2" xfId="6799" xr:uid="{00000000-0005-0000-0000-00008C1A0000}"/>
    <cellStyle name="Comma 2 2 2 34" xfId="6800" xr:uid="{00000000-0005-0000-0000-00008D1A0000}"/>
    <cellStyle name="Comma 2 2 2 34 2" xfId="6801" xr:uid="{00000000-0005-0000-0000-00008E1A0000}"/>
    <cellStyle name="Comma 2 2 2 35" xfId="6802" xr:uid="{00000000-0005-0000-0000-00008F1A0000}"/>
    <cellStyle name="Comma 2 2 2 35 2" xfId="6803" xr:uid="{00000000-0005-0000-0000-0000901A0000}"/>
    <cellStyle name="Comma 2 2 2 36" xfId="6804" xr:uid="{00000000-0005-0000-0000-0000911A0000}"/>
    <cellStyle name="Comma 2 2 2 37" xfId="6805" xr:uid="{00000000-0005-0000-0000-0000921A0000}"/>
    <cellStyle name="Comma 2 2 2 38" xfId="6806" xr:uid="{00000000-0005-0000-0000-0000931A0000}"/>
    <cellStyle name="Comma 2 2 2 4" xfId="6807" xr:uid="{00000000-0005-0000-0000-0000941A0000}"/>
    <cellStyle name="Comma 2 2 2 4 10" xfId="6808" xr:uid="{00000000-0005-0000-0000-0000951A0000}"/>
    <cellStyle name="Comma 2 2 2 4 11" xfId="6809" xr:uid="{00000000-0005-0000-0000-0000961A0000}"/>
    <cellStyle name="Comma 2 2 2 4 2" xfId="6810" xr:uid="{00000000-0005-0000-0000-0000971A0000}"/>
    <cellStyle name="Comma 2 2 2 4 2 2" xfId="6811" xr:uid="{00000000-0005-0000-0000-0000981A0000}"/>
    <cellStyle name="Comma 2 2 2 4 2 2 2" xfId="6812" xr:uid="{00000000-0005-0000-0000-0000991A0000}"/>
    <cellStyle name="Comma 2 2 2 4 2 2 2 2" xfId="6813" xr:uid="{00000000-0005-0000-0000-00009A1A0000}"/>
    <cellStyle name="Comma 2 2 2 4 2 2 2 3" xfId="6814" xr:uid="{00000000-0005-0000-0000-00009B1A0000}"/>
    <cellStyle name="Comma 2 2 2 4 2 2 3" xfId="6815" xr:uid="{00000000-0005-0000-0000-00009C1A0000}"/>
    <cellStyle name="Comma 2 2 2 4 2 2 4" xfId="6816" xr:uid="{00000000-0005-0000-0000-00009D1A0000}"/>
    <cellStyle name="Comma 2 2 2 4 2 2 5" xfId="6817" xr:uid="{00000000-0005-0000-0000-00009E1A0000}"/>
    <cellStyle name="Comma 2 2 2 4 2 2 6" xfId="6818" xr:uid="{00000000-0005-0000-0000-00009F1A0000}"/>
    <cellStyle name="Comma 2 2 2 4 2 3" xfId="6819" xr:uid="{00000000-0005-0000-0000-0000A01A0000}"/>
    <cellStyle name="Comma 2 2 2 4 2 3 2" xfId="6820" xr:uid="{00000000-0005-0000-0000-0000A11A0000}"/>
    <cellStyle name="Comma 2 2 2 4 2 3 2 2" xfId="6821" xr:uid="{00000000-0005-0000-0000-0000A21A0000}"/>
    <cellStyle name="Comma 2 2 2 4 2 3 3" xfId="6822" xr:uid="{00000000-0005-0000-0000-0000A31A0000}"/>
    <cellStyle name="Comma 2 2 2 4 2 3 4" xfId="6823" xr:uid="{00000000-0005-0000-0000-0000A41A0000}"/>
    <cellStyle name="Comma 2 2 2 4 2 3 5" xfId="6824" xr:uid="{00000000-0005-0000-0000-0000A51A0000}"/>
    <cellStyle name="Comma 2 2 2 4 2 4" xfId="6825" xr:uid="{00000000-0005-0000-0000-0000A61A0000}"/>
    <cellStyle name="Comma 2 2 2 4 2 4 2" xfId="6826" xr:uid="{00000000-0005-0000-0000-0000A71A0000}"/>
    <cellStyle name="Comma 2 2 2 4 2 4 3" xfId="6827" xr:uid="{00000000-0005-0000-0000-0000A81A0000}"/>
    <cellStyle name="Comma 2 2 2 4 2 4 4" xfId="6828" xr:uid="{00000000-0005-0000-0000-0000A91A0000}"/>
    <cellStyle name="Comma 2 2 2 4 2 5" xfId="6829" xr:uid="{00000000-0005-0000-0000-0000AA1A0000}"/>
    <cellStyle name="Comma 2 2 2 4 2 5 2" xfId="6830" xr:uid="{00000000-0005-0000-0000-0000AB1A0000}"/>
    <cellStyle name="Comma 2 2 2 4 2 6" xfId="6831" xr:uid="{00000000-0005-0000-0000-0000AC1A0000}"/>
    <cellStyle name="Comma 2 2 2 4 2 7" xfId="6832" xr:uid="{00000000-0005-0000-0000-0000AD1A0000}"/>
    <cellStyle name="Comma 2 2 2 4 2 8" xfId="6833" xr:uid="{00000000-0005-0000-0000-0000AE1A0000}"/>
    <cellStyle name="Comma 2 2 2 4 2 9" xfId="6834" xr:uid="{00000000-0005-0000-0000-0000AF1A0000}"/>
    <cellStyle name="Comma 2 2 2 4 3" xfId="6835" xr:uid="{00000000-0005-0000-0000-0000B01A0000}"/>
    <cellStyle name="Comma 2 2 2 4 3 2" xfId="6836" xr:uid="{00000000-0005-0000-0000-0000B11A0000}"/>
    <cellStyle name="Comma 2 2 2 4 3 2 2" xfId="6837" xr:uid="{00000000-0005-0000-0000-0000B21A0000}"/>
    <cellStyle name="Comma 2 2 2 4 3 2 2 2" xfId="6838" xr:uid="{00000000-0005-0000-0000-0000B31A0000}"/>
    <cellStyle name="Comma 2 2 2 4 3 2 2 3" xfId="6839" xr:uid="{00000000-0005-0000-0000-0000B41A0000}"/>
    <cellStyle name="Comma 2 2 2 4 3 2 3" xfId="6840" xr:uid="{00000000-0005-0000-0000-0000B51A0000}"/>
    <cellStyle name="Comma 2 2 2 4 3 2 4" xfId="6841" xr:uid="{00000000-0005-0000-0000-0000B61A0000}"/>
    <cellStyle name="Comma 2 2 2 4 3 2 5" xfId="6842" xr:uid="{00000000-0005-0000-0000-0000B71A0000}"/>
    <cellStyle name="Comma 2 2 2 4 3 2 6" xfId="6843" xr:uid="{00000000-0005-0000-0000-0000B81A0000}"/>
    <cellStyle name="Comma 2 2 2 4 3 3" xfId="6844" xr:uid="{00000000-0005-0000-0000-0000B91A0000}"/>
    <cellStyle name="Comma 2 2 2 4 3 3 2" xfId="6845" xr:uid="{00000000-0005-0000-0000-0000BA1A0000}"/>
    <cellStyle name="Comma 2 2 2 4 3 3 2 2" xfId="6846" xr:uid="{00000000-0005-0000-0000-0000BB1A0000}"/>
    <cellStyle name="Comma 2 2 2 4 3 3 3" xfId="6847" xr:uid="{00000000-0005-0000-0000-0000BC1A0000}"/>
    <cellStyle name="Comma 2 2 2 4 3 3 4" xfId="6848" xr:uid="{00000000-0005-0000-0000-0000BD1A0000}"/>
    <cellStyle name="Comma 2 2 2 4 3 3 5" xfId="6849" xr:uid="{00000000-0005-0000-0000-0000BE1A0000}"/>
    <cellStyle name="Comma 2 2 2 4 3 4" xfId="6850" xr:uid="{00000000-0005-0000-0000-0000BF1A0000}"/>
    <cellStyle name="Comma 2 2 2 4 3 4 2" xfId="6851" xr:uid="{00000000-0005-0000-0000-0000C01A0000}"/>
    <cellStyle name="Comma 2 2 2 4 3 4 3" xfId="6852" xr:uid="{00000000-0005-0000-0000-0000C11A0000}"/>
    <cellStyle name="Comma 2 2 2 4 3 4 4" xfId="6853" xr:uid="{00000000-0005-0000-0000-0000C21A0000}"/>
    <cellStyle name="Comma 2 2 2 4 3 5" xfId="6854" xr:uid="{00000000-0005-0000-0000-0000C31A0000}"/>
    <cellStyle name="Comma 2 2 2 4 3 5 2" xfId="6855" xr:uid="{00000000-0005-0000-0000-0000C41A0000}"/>
    <cellStyle name="Comma 2 2 2 4 3 6" xfId="6856" xr:uid="{00000000-0005-0000-0000-0000C51A0000}"/>
    <cellStyle name="Comma 2 2 2 4 3 7" xfId="6857" xr:uid="{00000000-0005-0000-0000-0000C61A0000}"/>
    <cellStyle name="Comma 2 2 2 4 3 8" xfId="6858" xr:uid="{00000000-0005-0000-0000-0000C71A0000}"/>
    <cellStyle name="Comma 2 2 2 4 3 9" xfId="6859" xr:uid="{00000000-0005-0000-0000-0000C81A0000}"/>
    <cellStyle name="Comma 2 2 2 4 4" xfId="6860" xr:uid="{00000000-0005-0000-0000-0000C91A0000}"/>
    <cellStyle name="Comma 2 2 2 4 4 2" xfId="6861" xr:uid="{00000000-0005-0000-0000-0000CA1A0000}"/>
    <cellStyle name="Comma 2 2 2 4 4 2 2" xfId="6862" xr:uid="{00000000-0005-0000-0000-0000CB1A0000}"/>
    <cellStyle name="Comma 2 2 2 4 4 2 3" xfId="6863" xr:uid="{00000000-0005-0000-0000-0000CC1A0000}"/>
    <cellStyle name="Comma 2 2 2 4 4 3" xfId="6864" xr:uid="{00000000-0005-0000-0000-0000CD1A0000}"/>
    <cellStyle name="Comma 2 2 2 4 4 4" xfId="6865" xr:uid="{00000000-0005-0000-0000-0000CE1A0000}"/>
    <cellStyle name="Comma 2 2 2 4 4 5" xfId="6866" xr:uid="{00000000-0005-0000-0000-0000CF1A0000}"/>
    <cellStyle name="Comma 2 2 2 4 4 6" xfId="6867" xr:uid="{00000000-0005-0000-0000-0000D01A0000}"/>
    <cellStyle name="Comma 2 2 2 4 5" xfId="6868" xr:uid="{00000000-0005-0000-0000-0000D11A0000}"/>
    <cellStyle name="Comma 2 2 2 4 5 2" xfId="6869" xr:uid="{00000000-0005-0000-0000-0000D21A0000}"/>
    <cellStyle name="Comma 2 2 2 4 5 2 2" xfId="6870" xr:uid="{00000000-0005-0000-0000-0000D31A0000}"/>
    <cellStyle name="Comma 2 2 2 4 5 3" xfId="6871" xr:uid="{00000000-0005-0000-0000-0000D41A0000}"/>
    <cellStyle name="Comma 2 2 2 4 5 4" xfId="6872" xr:uid="{00000000-0005-0000-0000-0000D51A0000}"/>
    <cellStyle name="Comma 2 2 2 4 5 5" xfId="6873" xr:uid="{00000000-0005-0000-0000-0000D61A0000}"/>
    <cellStyle name="Comma 2 2 2 4 6" xfId="6874" xr:uid="{00000000-0005-0000-0000-0000D71A0000}"/>
    <cellStyle name="Comma 2 2 2 4 6 2" xfId="6875" xr:uid="{00000000-0005-0000-0000-0000D81A0000}"/>
    <cellStyle name="Comma 2 2 2 4 6 3" xfId="6876" xr:uid="{00000000-0005-0000-0000-0000D91A0000}"/>
    <cellStyle name="Comma 2 2 2 4 6 4" xfId="6877" xr:uid="{00000000-0005-0000-0000-0000DA1A0000}"/>
    <cellStyle name="Comma 2 2 2 4 7" xfId="6878" xr:uid="{00000000-0005-0000-0000-0000DB1A0000}"/>
    <cellStyle name="Comma 2 2 2 4 7 2" xfId="6879" xr:uid="{00000000-0005-0000-0000-0000DC1A0000}"/>
    <cellStyle name="Comma 2 2 2 4 8" xfId="6880" xr:uid="{00000000-0005-0000-0000-0000DD1A0000}"/>
    <cellStyle name="Comma 2 2 2 4 9" xfId="6881" xr:uid="{00000000-0005-0000-0000-0000DE1A0000}"/>
    <cellStyle name="Comma 2 2 2 5" xfId="6882" xr:uid="{00000000-0005-0000-0000-0000DF1A0000}"/>
    <cellStyle name="Comma 2 2 2 5 10" xfId="6883" xr:uid="{00000000-0005-0000-0000-0000E01A0000}"/>
    <cellStyle name="Comma 2 2 2 5 11" xfId="6884" xr:uid="{00000000-0005-0000-0000-0000E11A0000}"/>
    <cellStyle name="Comma 2 2 2 5 2" xfId="6885" xr:uid="{00000000-0005-0000-0000-0000E21A0000}"/>
    <cellStyle name="Comma 2 2 2 5 2 2" xfId="6886" xr:uid="{00000000-0005-0000-0000-0000E31A0000}"/>
    <cellStyle name="Comma 2 2 2 5 2 2 2" xfId="6887" xr:uid="{00000000-0005-0000-0000-0000E41A0000}"/>
    <cellStyle name="Comma 2 2 2 5 2 2 2 2" xfId="6888" xr:uid="{00000000-0005-0000-0000-0000E51A0000}"/>
    <cellStyle name="Comma 2 2 2 5 2 2 2 3" xfId="6889" xr:uid="{00000000-0005-0000-0000-0000E61A0000}"/>
    <cellStyle name="Comma 2 2 2 5 2 2 3" xfId="6890" xr:uid="{00000000-0005-0000-0000-0000E71A0000}"/>
    <cellStyle name="Comma 2 2 2 5 2 2 4" xfId="6891" xr:uid="{00000000-0005-0000-0000-0000E81A0000}"/>
    <cellStyle name="Comma 2 2 2 5 2 2 5" xfId="6892" xr:uid="{00000000-0005-0000-0000-0000E91A0000}"/>
    <cellStyle name="Comma 2 2 2 5 2 2 6" xfId="6893" xr:uid="{00000000-0005-0000-0000-0000EA1A0000}"/>
    <cellStyle name="Comma 2 2 2 5 2 3" xfId="6894" xr:uid="{00000000-0005-0000-0000-0000EB1A0000}"/>
    <cellStyle name="Comma 2 2 2 5 2 3 2" xfId="6895" xr:uid="{00000000-0005-0000-0000-0000EC1A0000}"/>
    <cellStyle name="Comma 2 2 2 5 2 3 2 2" xfId="6896" xr:uid="{00000000-0005-0000-0000-0000ED1A0000}"/>
    <cellStyle name="Comma 2 2 2 5 2 3 3" xfId="6897" xr:uid="{00000000-0005-0000-0000-0000EE1A0000}"/>
    <cellStyle name="Comma 2 2 2 5 2 3 4" xfId="6898" xr:uid="{00000000-0005-0000-0000-0000EF1A0000}"/>
    <cellStyle name="Comma 2 2 2 5 2 3 5" xfId="6899" xr:uid="{00000000-0005-0000-0000-0000F01A0000}"/>
    <cellStyle name="Comma 2 2 2 5 2 4" xfId="6900" xr:uid="{00000000-0005-0000-0000-0000F11A0000}"/>
    <cellStyle name="Comma 2 2 2 5 2 4 2" xfId="6901" xr:uid="{00000000-0005-0000-0000-0000F21A0000}"/>
    <cellStyle name="Comma 2 2 2 5 2 4 3" xfId="6902" xr:uid="{00000000-0005-0000-0000-0000F31A0000}"/>
    <cellStyle name="Comma 2 2 2 5 2 4 4" xfId="6903" xr:uid="{00000000-0005-0000-0000-0000F41A0000}"/>
    <cellStyle name="Comma 2 2 2 5 2 5" xfId="6904" xr:uid="{00000000-0005-0000-0000-0000F51A0000}"/>
    <cellStyle name="Comma 2 2 2 5 2 5 2" xfId="6905" xr:uid="{00000000-0005-0000-0000-0000F61A0000}"/>
    <cellStyle name="Comma 2 2 2 5 2 6" xfId="6906" xr:uid="{00000000-0005-0000-0000-0000F71A0000}"/>
    <cellStyle name="Comma 2 2 2 5 2 7" xfId="6907" xr:uid="{00000000-0005-0000-0000-0000F81A0000}"/>
    <cellStyle name="Comma 2 2 2 5 2 8" xfId="6908" xr:uid="{00000000-0005-0000-0000-0000F91A0000}"/>
    <cellStyle name="Comma 2 2 2 5 2 9" xfId="6909" xr:uid="{00000000-0005-0000-0000-0000FA1A0000}"/>
    <cellStyle name="Comma 2 2 2 5 3" xfId="6910" xr:uid="{00000000-0005-0000-0000-0000FB1A0000}"/>
    <cellStyle name="Comma 2 2 2 5 3 2" xfId="6911" xr:uid="{00000000-0005-0000-0000-0000FC1A0000}"/>
    <cellStyle name="Comma 2 2 2 5 3 2 2" xfId="6912" xr:uid="{00000000-0005-0000-0000-0000FD1A0000}"/>
    <cellStyle name="Comma 2 2 2 5 3 2 2 2" xfId="6913" xr:uid="{00000000-0005-0000-0000-0000FE1A0000}"/>
    <cellStyle name="Comma 2 2 2 5 3 2 2 3" xfId="6914" xr:uid="{00000000-0005-0000-0000-0000FF1A0000}"/>
    <cellStyle name="Comma 2 2 2 5 3 2 3" xfId="6915" xr:uid="{00000000-0005-0000-0000-0000001B0000}"/>
    <cellStyle name="Comma 2 2 2 5 3 2 4" xfId="6916" xr:uid="{00000000-0005-0000-0000-0000011B0000}"/>
    <cellStyle name="Comma 2 2 2 5 3 2 5" xfId="6917" xr:uid="{00000000-0005-0000-0000-0000021B0000}"/>
    <cellStyle name="Comma 2 2 2 5 3 2 6" xfId="6918" xr:uid="{00000000-0005-0000-0000-0000031B0000}"/>
    <cellStyle name="Comma 2 2 2 5 3 3" xfId="6919" xr:uid="{00000000-0005-0000-0000-0000041B0000}"/>
    <cellStyle name="Comma 2 2 2 5 3 3 2" xfId="6920" xr:uid="{00000000-0005-0000-0000-0000051B0000}"/>
    <cellStyle name="Comma 2 2 2 5 3 3 2 2" xfId="6921" xr:uid="{00000000-0005-0000-0000-0000061B0000}"/>
    <cellStyle name="Comma 2 2 2 5 3 3 3" xfId="6922" xr:uid="{00000000-0005-0000-0000-0000071B0000}"/>
    <cellStyle name="Comma 2 2 2 5 3 3 4" xfId="6923" xr:uid="{00000000-0005-0000-0000-0000081B0000}"/>
    <cellStyle name="Comma 2 2 2 5 3 3 5" xfId="6924" xr:uid="{00000000-0005-0000-0000-0000091B0000}"/>
    <cellStyle name="Comma 2 2 2 5 3 4" xfId="6925" xr:uid="{00000000-0005-0000-0000-00000A1B0000}"/>
    <cellStyle name="Comma 2 2 2 5 3 4 2" xfId="6926" xr:uid="{00000000-0005-0000-0000-00000B1B0000}"/>
    <cellStyle name="Comma 2 2 2 5 3 4 3" xfId="6927" xr:uid="{00000000-0005-0000-0000-00000C1B0000}"/>
    <cellStyle name="Comma 2 2 2 5 3 4 4" xfId="6928" xr:uid="{00000000-0005-0000-0000-00000D1B0000}"/>
    <cellStyle name="Comma 2 2 2 5 3 5" xfId="6929" xr:uid="{00000000-0005-0000-0000-00000E1B0000}"/>
    <cellStyle name="Comma 2 2 2 5 3 5 2" xfId="6930" xr:uid="{00000000-0005-0000-0000-00000F1B0000}"/>
    <cellStyle name="Comma 2 2 2 5 3 6" xfId="6931" xr:uid="{00000000-0005-0000-0000-0000101B0000}"/>
    <cellStyle name="Comma 2 2 2 5 3 7" xfId="6932" xr:uid="{00000000-0005-0000-0000-0000111B0000}"/>
    <cellStyle name="Comma 2 2 2 5 3 8" xfId="6933" xr:uid="{00000000-0005-0000-0000-0000121B0000}"/>
    <cellStyle name="Comma 2 2 2 5 3 9" xfId="6934" xr:uid="{00000000-0005-0000-0000-0000131B0000}"/>
    <cellStyle name="Comma 2 2 2 5 4" xfId="6935" xr:uid="{00000000-0005-0000-0000-0000141B0000}"/>
    <cellStyle name="Comma 2 2 2 5 4 2" xfId="6936" xr:uid="{00000000-0005-0000-0000-0000151B0000}"/>
    <cellStyle name="Comma 2 2 2 5 4 2 2" xfId="6937" xr:uid="{00000000-0005-0000-0000-0000161B0000}"/>
    <cellStyle name="Comma 2 2 2 5 4 2 3" xfId="6938" xr:uid="{00000000-0005-0000-0000-0000171B0000}"/>
    <cellStyle name="Comma 2 2 2 5 4 3" xfId="6939" xr:uid="{00000000-0005-0000-0000-0000181B0000}"/>
    <cellStyle name="Comma 2 2 2 5 4 4" xfId="6940" xr:uid="{00000000-0005-0000-0000-0000191B0000}"/>
    <cellStyle name="Comma 2 2 2 5 4 5" xfId="6941" xr:uid="{00000000-0005-0000-0000-00001A1B0000}"/>
    <cellStyle name="Comma 2 2 2 5 4 6" xfId="6942" xr:uid="{00000000-0005-0000-0000-00001B1B0000}"/>
    <cellStyle name="Comma 2 2 2 5 5" xfId="6943" xr:uid="{00000000-0005-0000-0000-00001C1B0000}"/>
    <cellStyle name="Comma 2 2 2 5 5 2" xfId="6944" xr:uid="{00000000-0005-0000-0000-00001D1B0000}"/>
    <cellStyle name="Comma 2 2 2 5 5 2 2" xfId="6945" xr:uid="{00000000-0005-0000-0000-00001E1B0000}"/>
    <cellStyle name="Comma 2 2 2 5 5 3" xfId="6946" xr:uid="{00000000-0005-0000-0000-00001F1B0000}"/>
    <cellStyle name="Comma 2 2 2 5 5 4" xfId="6947" xr:uid="{00000000-0005-0000-0000-0000201B0000}"/>
    <cellStyle name="Comma 2 2 2 5 5 5" xfId="6948" xr:uid="{00000000-0005-0000-0000-0000211B0000}"/>
    <cellStyle name="Comma 2 2 2 5 6" xfId="6949" xr:uid="{00000000-0005-0000-0000-0000221B0000}"/>
    <cellStyle name="Comma 2 2 2 5 6 2" xfId="6950" xr:uid="{00000000-0005-0000-0000-0000231B0000}"/>
    <cellStyle name="Comma 2 2 2 5 6 3" xfId="6951" xr:uid="{00000000-0005-0000-0000-0000241B0000}"/>
    <cellStyle name="Comma 2 2 2 5 6 4" xfId="6952" xr:uid="{00000000-0005-0000-0000-0000251B0000}"/>
    <cellStyle name="Comma 2 2 2 5 7" xfId="6953" xr:uid="{00000000-0005-0000-0000-0000261B0000}"/>
    <cellStyle name="Comma 2 2 2 5 7 2" xfId="6954" xr:uid="{00000000-0005-0000-0000-0000271B0000}"/>
    <cellStyle name="Comma 2 2 2 5 8" xfId="6955" xr:uid="{00000000-0005-0000-0000-0000281B0000}"/>
    <cellStyle name="Comma 2 2 2 5 9" xfId="6956" xr:uid="{00000000-0005-0000-0000-0000291B0000}"/>
    <cellStyle name="Comma 2 2 2 6" xfId="6957" xr:uid="{00000000-0005-0000-0000-00002A1B0000}"/>
    <cellStyle name="Comma 2 2 2 6 10" xfId="6958" xr:uid="{00000000-0005-0000-0000-00002B1B0000}"/>
    <cellStyle name="Comma 2 2 2 6 11" xfId="6959" xr:uid="{00000000-0005-0000-0000-00002C1B0000}"/>
    <cellStyle name="Comma 2 2 2 6 2" xfId="6960" xr:uid="{00000000-0005-0000-0000-00002D1B0000}"/>
    <cellStyle name="Comma 2 2 2 6 2 2" xfId="6961" xr:uid="{00000000-0005-0000-0000-00002E1B0000}"/>
    <cellStyle name="Comma 2 2 2 6 2 2 2" xfId="6962" xr:uid="{00000000-0005-0000-0000-00002F1B0000}"/>
    <cellStyle name="Comma 2 2 2 6 2 2 2 2" xfId="6963" xr:uid="{00000000-0005-0000-0000-0000301B0000}"/>
    <cellStyle name="Comma 2 2 2 6 2 2 2 3" xfId="6964" xr:uid="{00000000-0005-0000-0000-0000311B0000}"/>
    <cellStyle name="Comma 2 2 2 6 2 2 3" xfId="6965" xr:uid="{00000000-0005-0000-0000-0000321B0000}"/>
    <cellStyle name="Comma 2 2 2 6 2 2 4" xfId="6966" xr:uid="{00000000-0005-0000-0000-0000331B0000}"/>
    <cellStyle name="Comma 2 2 2 6 2 2 5" xfId="6967" xr:uid="{00000000-0005-0000-0000-0000341B0000}"/>
    <cellStyle name="Comma 2 2 2 6 2 2 6" xfId="6968" xr:uid="{00000000-0005-0000-0000-0000351B0000}"/>
    <cellStyle name="Comma 2 2 2 6 2 3" xfId="6969" xr:uid="{00000000-0005-0000-0000-0000361B0000}"/>
    <cellStyle name="Comma 2 2 2 6 2 3 2" xfId="6970" xr:uid="{00000000-0005-0000-0000-0000371B0000}"/>
    <cellStyle name="Comma 2 2 2 6 2 3 2 2" xfId="6971" xr:uid="{00000000-0005-0000-0000-0000381B0000}"/>
    <cellStyle name="Comma 2 2 2 6 2 3 3" xfId="6972" xr:uid="{00000000-0005-0000-0000-0000391B0000}"/>
    <cellStyle name="Comma 2 2 2 6 2 3 4" xfId="6973" xr:uid="{00000000-0005-0000-0000-00003A1B0000}"/>
    <cellStyle name="Comma 2 2 2 6 2 3 5" xfId="6974" xr:uid="{00000000-0005-0000-0000-00003B1B0000}"/>
    <cellStyle name="Comma 2 2 2 6 2 4" xfId="6975" xr:uid="{00000000-0005-0000-0000-00003C1B0000}"/>
    <cellStyle name="Comma 2 2 2 6 2 4 2" xfId="6976" xr:uid="{00000000-0005-0000-0000-00003D1B0000}"/>
    <cellStyle name="Comma 2 2 2 6 2 4 3" xfId="6977" xr:uid="{00000000-0005-0000-0000-00003E1B0000}"/>
    <cellStyle name="Comma 2 2 2 6 2 4 4" xfId="6978" xr:uid="{00000000-0005-0000-0000-00003F1B0000}"/>
    <cellStyle name="Comma 2 2 2 6 2 5" xfId="6979" xr:uid="{00000000-0005-0000-0000-0000401B0000}"/>
    <cellStyle name="Comma 2 2 2 6 2 5 2" xfId="6980" xr:uid="{00000000-0005-0000-0000-0000411B0000}"/>
    <cellStyle name="Comma 2 2 2 6 2 6" xfId="6981" xr:uid="{00000000-0005-0000-0000-0000421B0000}"/>
    <cellStyle name="Comma 2 2 2 6 2 7" xfId="6982" xr:uid="{00000000-0005-0000-0000-0000431B0000}"/>
    <cellStyle name="Comma 2 2 2 6 2 8" xfId="6983" xr:uid="{00000000-0005-0000-0000-0000441B0000}"/>
    <cellStyle name="Comma 2 2 2 6 2 9" xfId="6984" xr:uid="{00000000-0005-0000-0000-0000451B0000}"/>
    <cellStyle name="Comma 2 2 2 6 3" xfId="6985" xr:uid="{00000000-0005-0000-0000-0000461B0000}"/>
    <cellStyle name="Comma 2 2 2 6 3 2" xfId="6986" xr:uid="{00000000-0005-0000-0000-0000471B0000}"/>
    <cellStyle name="Comma 2 2 2 6 3 2 2" xfId="6987" xr:uid="{00000000-0005-0000-0000-0000481B0000}"/>
    <cellStyle name="Comma 2 2 2 6 3 2 2 2" xfId="6988" xr:uid="{00000000-0005-0000-0000-0000491B0000}"/>
    <cellStyle name="Comma 2 2 2 6 3 2 2 3" xfId="6989" xr:uid="{00000000-0005-0000-0000-00004A1B0000}"/>
    <cellStyle name="Comma 2 2 2 6 3 2 3" xfId="6990" xr:uid="{00000000-0005-0000-0000-00004B1B0000}"/>
    <cellStyle name="Comma 2 2 2 6 3 2 4" xfId="6991" xr:uid="{00000000-0005-0000-0000-00004C1B0000}"/>
    <cellStyle name="Comma 2 2 2 6 3 2 5" xfId="6992" xr:uid="{00000000-0005-0000-0000-00004D1B0000}"/>
    <cellStyle name="Comma 2 2 2 6 3 2 6" xfId="6993" xr:uid="{00000000-0005-0000-0000-00004E1B0000}"/>
    <cellStyle name="Comma 2 2 2 6 3 3" xfId="6994" xr:uid="{00000000-0005-0000-0000-00004F1B0000}"/>
    <cellStyle name="Comma 2 2 2 6 3 3 2" xfId="6995" xr:uid="{00000000-0005-0000-0000-0000501B0000}"/>
    <cellStyle name="Comma 2 2 2 6 3 3 2 2" xfId="6996" xr:uid="{00000000-0005-0000-0000-0000511B0000}"/>
    <cellStyle name="Comma 2 2 2 6 3 3 3" xfId="6997" xr:uid="{00000000-0005-0000-0000-0000521B0000}"/>
    <cellStyle name="Comma 2 2 2 6 3 3 4" xfId="6998" xr:uid="{00000000-0005-0000-0000-0000531B0000}"/>
    <cellStyle name="Comma 2 2 2 6 3 3 5" xfId="6999" xr:uid="{00000000-0005-0000-0000-0000541B0000}"/>
    <cellStyle name="Comma 2 2 2 6 3 4" xfId="7000" xr:uid="{00000000-0005-0000-0000-0000551B0000}"/>
    <cellStyle name="Comma 2 2 2 6 3 4 2" xfId="7001" xr:uid="{00000000-0005-0000-0000-0000561B0000}"/>
    <cellStyle name="Comma 2 2 2 6 3 4 3" xfId="7002" xr:uid="{00000000-0005-0000-0000-0000571B0000}"/>
    <cellStyle name="Comma 2 2 2 6 3 4 4" xfId="7003" xr:uid="{00000000-0005-0000-0000-0000581B0000}"/>
    <cellStyle name="Comma 2 2 2 6 3 5" xfId="7004" xr:uid="{00000000-0005-0000-0000-0000591B0000}"/>
    <cellStyle name="Comma 2 2 2 6 3 5 2" xfId="7005" xr:uid="{00000000-0005-0000-0000-00005A1B0000}"/>
    <cellStyle name="Comma 2 2 2 6 3 6" xfId="7006" xr:uid="{00000000-0005-0000-0000-00005B1B0000}"/>
    <cellStyle name="Comma 2 2 2 6 3 7" xfId="7007" xr:uid="{00000000-0005-0000-0000-00005C1B0000}"/>
    <cellStyle name="Comma 2 2 2 6 3 8" xfId="7008" xr:uid="{00000000-0005-0000-0000-00005D1B0000}"/>
    <cellStyle name="Comma 2 2 2 6 3 9" xfId="7009" xr:uid="{00000000-0005-0000-0000-00005E1B0000}"/>
    <cellStyle name="Comma 2 2 2 6 4" xfId="7010" xr:uid="{00000000-0005-0000-0000-00005F1B0000}"/>
    <cellStyle name="Comma 2 2 2 6 4 2" xfId="7011" xr:uid="{00000000-0005-0000-0000-0000601B0000}"/>
    <cellStyle name="Comma 2 2 2 6 4 2 2" xfId="7012" xr:uid="{00000000-0005-0000-0000-0000611B0000}"/>
    <cellStyle name="Comma 2 2 2 6 4 2 3" xfId="7013" xr:uid="{00000000-0005-0000-0000-0000621B0000}"/>
    <cellStyle name="Comma 2 2 2 6 4 3" xfId="7014" xr:uid="{00000000-0005-0000-0000-0000631B0000}"/>
    <cellStyle name="Comma 2 2 2 6 4 4" xfId="7015" xr:uid="{00000000-0005-0000-0000-0000641B0000}"/>
    <cellStyle name="Comma 2 2 2 6 4 5" xfId="7016" xr:uid="{00000000-0005-0000-0000-0000651B0000}"/>
    <cellStyle name="Comma 2 2 2 6 4 6" xfId="7017" xr:uid="{00000000-0005-0000-0000-0000661B0000}"/>
    <cellStyle name="Comma 2 2 2 6 5" xfId="7018" xr:uid="{00000000-0005-0000-0000-0000671B0000}"/>
    <cellStyle name="Comma 2 2 2 6 5 2" xfId="7019" xr:uid="{00000000-0005-0000-0000-0000681B0000}"/>
    <cellStyle name="Comma 2 2 2 6 5 2 2" xfId="7020" xr:uid="{00000000-0005-0000-0000-0000691B0000}"/>
    <cellStyle name="Comma 2 2 2 6 5 3" xfId="7021" xr:uid="{00000000-0005-0000-0000-00006A1B0000}"/>
    <cellStyle name="Comma 2 2 2 6 5 4" xfId="7022" xr:uid="{00000000-0005-0000-0000-00006B1B0000}"/>
    <cellStyle name="Comma 2 2 2 6 5 5" xfId="7023" xr:uid="{00000000-0005-0000-0000-00006C1B0000}"/>
    <cellStyle name="Comma 2 2 2 6 6" xfId="7024" xr:uid="{00000000-0005-0000-0000-00006D1B0000}"/>
    <cellStyle name="Comma 2 2 2 6 6 2" xfId="7025" xr:uid="{00000000-0005-0000-0000-00006E1B0000}"/>
    <cellStyle name="Comma 2 2 2 6 6 3" xfId="7026" xr:uid="{00000000-0005-0000-0000-00006F1B0000}"/>
    <cellStyle name="Comma 2 2 2 6 6 4" xfId="7027" xr:uid="{00000000-0005-0000-0000-0000701B0000}"/>
    <cellStyle name="Comma 2 2 2 6 7" xfId="7028" xr:uid="{00000000-0005-0000-0000-0000711B0000}"/>
    <cellStyle name="Comma 2 2 2 6 7 2" xfId="7029" xr:uid="{00000000-0005-0000-0000-0000721B0000}"/>
    <cellStyle name="Comma 2 2 2 6 8" xfId="7030" xr:uid="{00000000-0005-0000-0000-0000731B0000}"/>
    <cellStyle name="Comma 2 2 2 6 9" xfId="7031" xr:uid="{00000000-0005-0000-0000-0000741B0000}"/>
    <cellStyle name="Comma 2 2 2 7" xfId="7032" xr:uid="{00000000-0005-0000-0000-0000751B0000}"/>
    <cellStyle name="Comma 2 2 2 7 10" xfId="7033" xr:uid="{00000000-0005-0000-0000-0000761B0000}"/>
    <cellStyle name="Comma 2 2 2 7 11" xfId="7034" xr:uid="{00000000-0005-0000-0000-0000771B0000}"/>
    <cellStyle name="Comma 2 2 2 7 2" xfId="7035" xr:uid="{00000000-0005-0000-0000-0000781B0000}"/>
    <cellStyle name="Comma 2 2 2 7 2 2" xfId="7036" xr:uid="{00000000-0005-0000-0000-0000791B0000}"/>
    <cellStyle name="Comma 2 2 2 7 2 2 2" xfId="7037" xr:uid="{00000000-0005-0000-0000-00007A1B0000}"/>
    <cellStyle name="Comma 2 2 2 7 2 2 2 2" xfId="7038" xr:uid="{00000000-0005-0000-0000-00007B1B0000}"/>
    <cellStyle name="Comma 2 2 2 7 2 2 2 3" xfId="7039" xr:uid="{00000000-0005-0000-0000-00007C1B0000}"/>
    <cellStyle name="Comma 2 2 2 7 2 2 3" xfId="7040" xr:uid="{00000000-0005-0000-0000-00007D1B0000}"/>
    <cellStyle name="Comma 2 2 2 7 2 2 4" xfId="7041" xr:uid="{00000000-0005-0000-0000-00007E1B0000}"/>
    <cellStyle name="Comma 2 2 2 7 2 2 5" xfId="7042" xr:uid="{00000000-0005-0000-0000-00007F1B0000}"/>
    <cellStyle name="Comma 2 2 2 7 2 2 6" xfId="7043" xr:uid="{00000000-0005-0000-0000-0000801B0000}"/>
    <cellStyle name="Comma 2 2 2 7 2 3" xfId="7044" xr:uid="{00000000-0005-0000-0000-0000811B0000}"/>
    <cellStyle name="Comma 2 2 2 7 2 3 2" xfId="7045" xr:uid="{00000000-0005-0000-0000-0000821B0000}"/>
    <cellStyle name="Comma 2 2 2 7 2 3 2 2" xfId="7046" xr:uid="{00000000-0005-0000-0000-0000831B0000}"/>
    <cellStyle name="Comma 2 2 2 7 2 3 3" xfId="7047" xr:uid="{00000000-0005-0000-0000-0000841B0000}"/>
    <cellStyle name="Comma 2 2 2 7 2 3 4" xfId="7048" xr:uid="{00000000-0005-0000-0000-0000851B0000}"/>
    <cellStyle name="Comma 2 2 2 7 2 3 5" xfId="7049" xr:uid="{00000000-0005-0000-0000-0000861B0000}"/>
    <cellStyle name="Comma 2 2 2 7 2 4" xfId="7050" xr:uid="{00000000-0005-0000-0000-0000871B0000}"/>
    <cellStyle name="Comma 2 2 2 7 2 4 2" xfId="7051" xr:uid="{00000000-0005-0000-0000-0000881B0000}"/>
    <cellStyle name="Comma 2 2 2 7 2 4 3" xfId="7052" xr:uid="{00000000-0005-0000-0000-0000891B0000}"/>
    <cellStyle name="Comma 2 2 2 7 2 4 4" xfId="7053" xr:uid="{00000000-0005-0000-0000-00008A1B0000}"/>
    <cellStyle name="Comma 2 2 2 7 2 5" xfId="7054" xr:uid="{00000000-0005-0000-0000-00008B1B0000}"/>
    <cellStyle name="Comma 2 2 2 7 2 5 2" xfId="7055" xr:uid="{00000000-0005-0000-0000-00008C1B0000}"/>
    <cellStyle name="Comma 2 2 2 7 2 6" xfId="7056" xr:uid="{00000000-0005-0000-0000-00008D1B0000}"/>
    <cellStyle name="Comma 2 2 2 7 2 7" xfId="7057" xr:uid="{00000000-0005-0000-0000-00008E1B0000}"/>
    <cellStyle name="Comma 2 2 2 7 2 8" xfId="7058" xr:uid="{00000000-0005-0000-0000-00008F1B0000}"/>
    <cellStyle name="Comma 2 2 2 7 2 9" xfId="7059" xr:uid="{00000000-0005-0000-0000-0000901B0000}"/>
    <cellStyle name="Comma 2 2 2 7 3" xfId="7060" xr:uid="{00000000-0005-0000-0000-0000911B0000}"/>
    <cellStyle name="Comma 2 2 2 7 3 2" xfId="7061" xr:uid="{00000000-0005-0000-0000-0000921B0000}"/>
    <cellStyle name="Comma 2 2 2 7 3 2 2" xfId="7062" xr:uid="{00000000-0005-0000-0000-0000931B0000}"/>
    <cellStyle name="Comma 2 2 2 7 3 2 2 2" xfId="7063" xr:uid="{00000000-0005-0000-0000-0000941B0000}"/>
    <cellStyle name="Comma 2 2 2 7 3 2 2 3" xfId="7064" xr:uid="{00000000-0005-0000-0000-0000951B0000}"/>
    <cellStyle name="Comma 2 2 2 7 3 2 3" xfId="7065" xr:uid="{00000000-0005-0000-0000-0000961B0000}"/>
    <cellStyle name="Comma 2 2 2 7 3 2 4" xfId="7066" xr:uid="{00000000-0005-0000-0000-0000971B0000}"/>
    <cellStyle name="Comma 2 2 2 7 3 2 5" xfId="7067" xr:uid="{00000000-0005-0000-0000-0000981B0000}"/>
    <cellStyle name="Comma 2 2 2 7 3 2 6" xfId="7068" xr:uid="{00000000-0005-0000-0000-0000991B0000}"/>
    <cellStyle name="Comma 2 2 2 7 3 3" xfId="7069" xr:uid="{00000000-0005-0000-0000-00009A1B0000}"/>
    <cellStyle name="Comma 2 2 2 7 3 3 2" xfId="7070" xr:uid="{00000000-0005-0000-0000-00009B1B0000}"/>
    <cellStyle name="Comma 2 2 2 7 3 3 2 2" xfId="7071" xr:uid="{00000000-0005-0000-0000-00009C1B0000}"/>
    <cellStyle name="Comma 2 2 2 7 3 3 3" xfId="7072" xr:uid="{00000000-0005-0000-0000-00009D1B0000}"/>
    <cellStyle name="Comma 2 2 2 7 3 3 4" xfId="7073" xr:uid="{00000000-0005-0000-0000-00009E1B0000}"/>
    <cellStyle name="Comma 2 2 2 7 3 3 5" xfId="7074" xr:uid="{00000000-0005-0000-0000-00009F1B0000}"/>
    <cellStyle name="Comma 2 2 2 7 3 4" xfId="7075" xr:uid="{00000000-0005-0000-0000-0000A01B0000}"/>
    <cellStyle name="Comma 2 2 2 7 3 4 2" xfId="7076" xr:uid="{00000000-0005-0000-0000-0000A11B0000}"/>
    <cellStyle name="Comma 2 2 2 7 3 4 3" xfId="7077" xr:uid="{00000000-0005-0000-0000-0000A21B0000}"/>
    <cellStyle name="Comma 2 2 2 7 3 4 4" xfId="7078" xr:uid="{00000000-0005-0000-0000-0000A31B0000}"/>
    <cellStyle name="Comma 2 2 2 7 3 5" xfId="7079" xr:uid="{00000000-0005-0000-0000-0000A41B0000}"/>
    <cellStyle name="Comma 2 2 2 7 3 5 2" xfId="7080" xr:uid="{00000000-0005-0000-0000-0000A51B0000}"/>
    <cellStyle name="Comma 2 2 2 7 3 6" xfId="7081" xr:uid="{00000000-0005-0000-0000-0000A61B0000}"/>
    <cellStyle name="Comma 2 2 2 7 3 7" xfId="7082" xr:uid="{00000000-0005-0000-0000-0000A71B0000}"/>
    <cellStyle name="Comma 2 2 2 7 3 8" xfId="7083" xr:uid="{00000000-0005-0000-0000-0000A81B0000}"/>
    <cellStyle name="Comma 2 2 2 7 3 9" xfId="7084" xr:uid="{00000000-0005-0000-0000-0000A91B0000}"/>
    <cellStyle name="Comma 2 2 2 7 4" xfId="7085" xr:uid="{00000000-0005-0000-0000-0000AA1B0000}"/>
    <cellStyle name="Comma 2 2 2 7 4 2" xfId="7086" xr:uid="{00000000-0005-0000-0000-0000AB1B0000}"/>
    <cellStyle name="Comma 2 2 2 7 4 2 2" xfId="7087" xr:uid="{00000000-0005-0000-0000-0000AC1B0000}"/>
    <cellStyle name="Comma 2 2 2 7 4 2 3" xfId="7088" xr:uid="{00000000-0005-0000-0000-0000AD1B0000}"/>
    <cellStyle name="Comma 2 2 2 7 4 3" xfId="7089" xr:uid="{00000000-0005-0000-0000-0000AE1B0000}"/>
    <cellStyle name="Comma 2 2 2 7 4 4" xfId="7090" xr:uid="{00000000-0005-0000-0000-0000AF1B0000}"/>
    <cellStyle name="Comma 2 2 2 7 4 5" xfId="7091" xr:uid="{00000000-0005-0000-0000-0000B01B0000}"/>
    <cellStyle name="Comma 2 2 2 7 4 6" xfId="7092" xr:uid="{00000000-0005-0000-0000-0000B11B0000}"/>
    <cellStyle name="Comma 2 2 2 7 5" xfId="7093" xr:uid="{00000000-0005-0000-0000-0000B21B0000}"/>
    <cellStyle name="Comma 2 2 2 7 5 2" xfId="7094" xr:uid="{00000000-0005-0000-0000-0000B31B0000}"/>
    <cellStyle name="Comma 2 2 2 7 5 2 2" xfId="7095" xr:uid="{00000000-0005-0000-0000-0000B41B0000}"/>
    <cellStyle name="Comma 2 2 2 7 5 3" xfId="7096" xr:uid="{00000000-0005-0000-0000-0000B51B0000}"/>
    <cellStyle name="Comma 2 2 2 7 5 4" xfId="7097" xr:uid="{00000000-0005-0000-0000-0000B61B0000}"/>
    <cellStyle name="Comma 2 2 2 7 5 5" xfId="7098" xr:uid="{00000000-0005-0000-0000-0000B71B0000}"/>
    <cellStyle name="Comma 2 2 2 7 6" xfId="7099" xr:uid="{00000000-0005-0000-0000-0000B81B0000}"/>
    <cellStyle name="Comma 2 2 2 7 6 2" xfId="7100" xr:uid="{00000000-0005-0000-0000-0000B91B0000}"/>
    <cellStyle name="Comma 2 2 2 7 6 3" xfId="7101" xr:uid="{00000000-0005-0000-0000-0000BA1B0000}"/>
    <cellStyle name="Comma 2 2 2 7 6 4" xfId="7102" xr:uid="{00000000-0005-0000-0000-0000BB1B0000}"/>
    <cellStyle name="Comma 2 2 2 7 7" xfId="7103" xr:uid="{00000000-0005-0000-0000-0000BC1B0000}"/>
    <cellStyle name="Comma 2 2 2 7 7 2" xfId="7104" xr:uid="{00000000-0005-0000-0000-0000BD1B0000}"/>
    <cellStyle name="Comma 2 2 2 7 8" xfId="7105" xr:uid="{00000000-0005-0000-0000-0000BE1B0000}"/>
    <cellStyle name="Comma 2 2 2 7 9" xfId="7106" xr:uid="{00000000-0005-0000-0000-0000BF1B0000}"/>
    <cellStyle name="Comma 2 2 2 8" xfId="7107" xr:uid="{00000000-0005-0000-0000-0000C01B0000}"/>
    <cellStyle name="Comma 2 2 2 8 10" xfId="7108" xr:uid="{00000000-0005-0000-0000-0000C11B0000}"/>
    <cellStyle name="Comma 2 2 2 8 2" xfId="7109" xr:uid="{00000000-0005-0000-0000-0000C21B0000}"/>
    <cellStyle name="Comma 2 2 2 8 2 2" xfId="7110" xr:uid="{00000000-0005-0000-0000-0000C31B0000}"/>
    <cellStyle name="Comma 2 2 2 8 2 2 2" xfId="7111" xr:uid="{00000000-0005-0000-0000-0000C41B0000}"/>
    <cellStyle name="Comma 2 2 2 8 2 2 3" xfId="7112" xr:uid="{00000000-0005-0000-0000-0000C51B0000}"/>
    <cellStyle name="Comma 2 2 2 8 2 3" xfId="7113" xr:uid="{00000000-0005-0000-0000-0000C61B0000}"/>
    <cellStyle name="Comma 2 2 2 8 2 4" xfId="7114" xr:uid="{00000000-0005-0000-0000-0000C71B0000}"/>
    <cellStyle name="Comma 2 2 2 8 2 5" xfId="7115" xr:uid="{00000000-0005-0000-0000-0000C81B0000}"/>
    <cellStyle name="Comma 2 2 2 8 2 6" xfId="7116" xr:uid="{00000000-0005-0000-0000-0000C91B0000}"/>
    <cellStyle name="Comma 2 2 2 8 3" xfId="7117" xr:uid="{00000000-0005-0000-0000-0000CA1B0000}"/>
    <cellStyle name="Comma 2 2 2 8 3 2" xfId="7118" xr:uid="{00000000-0005-0000-0000-0000CB1B0000}"/>
    <cellStyle name="Comma 2 2 2 8 3 2 2" xfId="7119" xr:uid="{00000000-0005-0000-0000-0000CC1B0000}"/>
    <cellStyle name="Comma 2 2 2 8 3 2 3" xfId="7120" xr:uid="{00000000-0005-0000-0000-0000CD1B0000}"/>
    <cellStyle name="Comma 2 2 2 8 3 3" xfId="7121" xr:uid="{00000000-0005-0000-0000-0000CE1B0000}"/>
    <cellStyle name="Comma 2 2 2 8 3 4" xfId="7122" xr:uid="{00000000-0005-0000-0000-0000CF1B0000}"/>
    <cellStyle name="Comma 2 2 2 8 3 5" xfId="7123" xr:uid="{00000000-0005-0000-0000-0000D01B0000}"/>
    <cellStyle name="Comma 2 2 2 8 3 6" xfId="7124" xr:uid="{00000000-0005-0000-0000-0000D11B0000}"/>
    <cellStyle name="Comma 2 2 2 8 4" xfId="7125" xr:uid="{00000000-0005-0000-0000-0000D21B0000}"/>
    <cellStyle name="Comma 2 2 2 8 4 2" xfId="7126" xr:uid="{00000000-0005-0000-0000-0000D31B0000}"/>
    <cellStyle name="Comma 2 2 2 8 4 2 2" xfId="7127" xr:uid="{00000000-0005-0000-0000-0000D41B0000}"/>
    <cellStyle name="Comma 2 2 2 8 4 3" xfId="7128" xr:uid="{00000000-0005-0000-0000-0000D51B0000}"/>
    <cellStyle name="Comma 2 2 2 8 4 4" xfId="7129" xr:uid="{00000000-0005-0000-0000-0000D61B0000}"/>
    <cellStyle name="Comma 2 2 2 8 4 5" xfId="7130" xr:uid="{00000000-0005-0000-0000-0000D71B0000}"/>
    <cellStyle name="Comma 2 2 2 8 5" xfId="7131" xr:uid="{00000000-0005-0000-0000-0000D81B0000}"/>
    <cellStyle name="Comma 2 2 2 8 5 2" xfId="7132" xr:uid="{00000000-0005-0000-0000-0000D91B0000}"/>
    <cellStyle name="Comma 2 2 2 8 5 3" xfId="7133" xr:uid="{00000000-0005-0000-0000-0000DA1B0000}"/>
    <cellStyle name="Comma 2 2 2 8 5 4" xfId="7134" xr:uid="{00000000-0005-0000-0000-0000DB1B0000}"/>
    <cellStyle name="Comma 2 2 2 8 6" xfId="7135" xr:uid="{00000000-0005-0000-0000-0000DC1B0000}"/>
    <cellStyle name="Comma 2 2 2 8 6 2" xfId="7136" xr:uid="{00000000-0005-0000-0000-0000DD1B0000}"/>
    <cellStyle name="Comma 2 2 2 8 7" xfId="7137" xr:uid="{00000000-0005-0000-0000-0000DE1B0000}"/>
    <cellStyle name="Comma 2 2 2 8 8" xfId="7138" xr:uid="{00000000-0005-0000-0000-0000DF1B0000}"/>
    <cellStyle name="Comma 2 2 2 8 9" xfId="7139" xr:uid="{00000000-0005-0000-0000-0000E01B0000}"/>
    <cellStyle name="Comma 2 2 2 9" xfId="7140" xr:uid="{00000000-0005-0000-0000-0000E11B0000}"/>
    <cellStyle name="Comma 2 2 2 9 10" xfId="7141" xr:uid="{00000000-0005-0000-0000-0000E21B0000}"/>
    <cellStyle name="Comma 2 2 2 9 2" xfId="7142" xr:uid="{00000000-0005-0000-0000-0000E31B0000}"/>
    <cellStyle name="Comma 2 2 2 9 2 2" xfId="7143" xr:uid="{00000000-0005-0000-0000-0000E41B0000}"/>
    <cellStyle name="Comma 2 2 2 9 2 2 2" xfId="7144" xr:uid="{00000000-0005-0000-0000-0000E51B0000}"/>
    <cellStyle name="Comma 2 2 2 9 2 2 3" xfId="7145" xr:uid="{00000000-0005-0000-0000-0000E61B0000}"/>
    <cellStyle name="Comma 2 2 2 9 2 3" xfId="7146" xr:uid="{00000000-0005-0000-0000-0000E71B0000}"/>
    <cellStyle name="Comma 2 2 2 9 2 4" xfId="7147" xr:uid="{00000000-0005-0000-0000-0000E81B0000}"/>
    <cellStyle name="Comma 2 2 2 9 2 5" xfId="7148" xr:uid="{00000000-0005-0000-0000-0000E91B0000}"/>
    <cellStyle name="Comma 2 2 2 9 2 6" xfId="7149" xr:uid="{00000000-0005-0000-0000-0000EA1B0000}"/>
    <cellStyle name="Comma 2 2 2 9 3" xfId="7150" xr:uid="{00000000-0005-0000-0000-0000EB1B0000}"/>
    <cellStyle name="Comma 2 2 2 9 3 2" xfId="7151" xr:uid="{00000000-0005-0000-0000-0000EC1B0000}"/>
    <cellStyle name="Comma 2 2 2 9 3 2 2" xfId="7152" xr:uid="{00000000-0005-0000-0000-0000ED1B0000}"/>
    <cellStyle name="Comma 2 2 2 9 3 2 3" xfId="7153" xr:uid="{00000000-0005-0000-0000-0000EE1B0000}"/>
    <cellStyle name="Comma 2 2 2 9 3 3" xfId="7154" xr:uid="{00000000-0005-0000-0000-0000EF1B0000}"/>
    <cellStyle name="Comma 2 2 2 9 3 4" xfId="7155" xr:uid="{00000000-0005-0000-0000-0000F01B0000}"/>
    <cellStyle name="Comma 2 2 2 9 3 5" xfId="7156" xr:uid="{00000000-0005-0000-0000-0000F11B0000}"/>
    <cellStyle name="Comma 2 2 2 9 3 6" xfId="7157" xr:uid="{00000000-0005-0000-0000-0000F21B0000}"/>
    <cellStyle name="Comma 2 2 2 9 4" xfId="7158" xr:uid="{00000000-0005-0000-0000-0000F31B0000}"/>
    <cellStyle name="Comma 2 2 2 9 4 2" xfId="7159" xr:uid="{00000000-0005-0000-0000-0000F41B0000}"/>
    <cellStyle name="Comma 2 2 2 9 4 2 2" xfId="7160" xr:uid="{00000000-0005-0000-0000-0000F51B0000}"/>
    <cellStyle name="Comma 2 2 2 9 4 3" xfId="7161" xr:uid="{00000000-0005-0000-0000-0000F61B0000}"/>
    <cellStyle name="Comma 2 2 2 9 4 4" xfId="7162" xr:uid="{00000000-0005-0000-0000-0000F71B0000}"/>
    <cellStyle name="Comma 2 2 2 9 4 5" xfId="7163" xr:uid="{00000000-0005-0000-0000-0000F81B0000}"/>
    <cellStyle name="Comma 2 2 2 9 5" xfId="7164" xr:uid="{00000000-0005-0000-0000-0000F91B0000}"/>
    <cellStyle name="Comma 2 2 2 9 5 2" xfId="7165" xr:uid="{00000000-0005-0000-0000-0000FA1B0000}"/>
    <cellStyle name="Comma 2 2 2 9 5 3" xfId="7166" xr:uid="{00000000-0005-0000-0000-0000FB1B0000}"/>
    <cellStyle name="Comma 2 2 2 9 5 4" xfId="7167" xr:uid="{00000000-0005-0000-0000-0000FC1B0000}"/>
    <cellStyle name="Comma 2 2 2 9 6" xfId="7168" xr:uid="{00000000-0005-0000-0000-0000FD1B0000}"/>
    <cellStyle name="Comma 2 2 2 9 6 2" xfId="7169" xr:uid="{00000000-0005-0000-0000-0000FE1B0000}"/>
    <cellStyle name="Comma 2 2 2 9 7" xfId="7170" xr:uid="{00000000-0005-0000-0000-0000FF1B0000}"/>
    <cellStyle name="Comma 2 2 2 9 8" xfId="7171" xr:uid="{00000000-0005-0000-0000-0000001C0000}"/>
    <cellStyle name="Comma 2 2 2 9 9" xfId="7172" xr:uid="{00000000-0005-0000-0000-0000011C0000}"/>
    <cellStyle name="Comma 2 2 20" xfId="7173" xr:uid="{00000000-0005-0000-0000-0000021C0000}"/>
    <cellStyle name="Comma 2 2 20 10" xfId="7174" xr:uid="{00000000-0005-0000-0000-0000031C0000}"/>
    <cellStyle name="Comma 2 2 20 2" xfId="7175" xr:uid="{00000000-0005-0000-0000-0000041C0000}"/>
    <cellStyle name="Comma 2 2 20 2 2" xfId="7176" xr:uid="{00000000-0005-0000-0000-0000051C0000}"/>
    <cellStyle name="Comma 2 2 20 2 2 2" xfId="7177" xr:uid="{00000000-0005-0000-0000-0000061C0000}"/>
    <cellStyle name="Comma 2 2 20 2 2 3" xfId="7178" xr:uid="{00000000-0005-0000-0000-0000071C0000}"/>
    <cellStyle name="Comma 2 2 20 2 3" xfId="7179" xr:uid="{00000000-0005-0000-0000-0000081C0000}"/>
    <cellStyle name="Comma 2 2 20 2 4" xfId="7180" xr:uid="{00000000-0005-0000-0000-0000091C0000}"/>
    <cellStyle name="Comma 2 2 20 2 5" xfId="7181" xr:uid="{00000000-0005-0000-0000-00000A1C0000}"/>
    <cellStyle name="Comma 2 2 20 2 6" xfId="7182" xr:uid="{00000000-0005-0000-0000-00000B1C0000}"/>
    <cellStyle name="Comma 2 2 20 3" xfId="7183" xr:uid="{00000000-0005-0000-0000-00000C1C0000}"/>
    <cellStyle name="Comma 2 2 20 3 2" xfId="7184" xr:uid="{00000000-0005-0000-0000-00000D1C0000}"/>
    <cellStyle name="Comma 2 2 20 3 2 2" xfId="7185" xr:uid="{00000000-0005-0000-0000-00000E1C0000}"/>
    <cellStyle name="Comma 2 2 20 3 2 3" xfId="7186" xr:uid="{00000000-0005-0000-0000-00000F1C0000}"/>
    <cellStyle name="Comma 2 2 20 3 3" xfId="7187" xr:uid="{00000000-0005-0000-0000-0000101C0000}"/>
    <cellStyle name="Comma 2 2 20 3 4" xfId="7188" xr:uid="{00000000-0005-0000-0000-0000111C0000}"/>
    <cellStyle name="Comma 2 2 20 3 5" xfId="7189" xr:uid="{00000000-0005-0000-0000-0000121C0000}"/>
    <cellStyle name="Comma 2 2 20 3 6" xfId="7190" xr:uid="{00000000-0005-0000-0000-0000131C0000}"/>
    <cellStyle name="Comma 2 2 20 4" xfId="7191" xr:uid="{00000000-0005-0000-0000-0000141C0000}"/>
    <cellStyle name="Comma 2 2 20 4 2" xfId="7192" xr:uid="{00000000-0005-0000-0000-0000151C0000}"/>
    <cellStyle name="Comma 2 2 20 4 2 2" xfId="7193" xr:uid="{00000000-0005-0000-0000-0000161C0000}"/>
    <cellStyle name="Comma 2 2 20 4 3" xfId="7194" xr:uid="{00000000-0005-0000-0000-0000171C0000}"/>
    <cellStyle name="Comma 2 2 20 4 4" xfId="7195" xr:uid="{00000000-0005-0000-0000-0000181C0000}"/>
    <cellStyle name="Comma 2 2 20 4 5" xfId="7196" xr:uid="{00000000-0005-0000-0000-0000191C0000}"/>
    <cellStyle name="Comma 2 2 20 5" xfId="7197" xr:uid="{00000000-0005-0000-0000-00001A1C0000}"/>
    <cellStyle name="Comma 2 2 20 5 2" xfId="7198" xr:uid="{00000000-0005-0000-0000-00001B1C0000}"/>
    <cellStyle name="Comma 2 2 20 5 3" xfId="7199" xr:uid="{00000000-0005-0000-0000-00001C1C0000}"/>
    <cellStyle name="Comma 2 2 20 5 4" xfId="7200" xr:uid="{00000000-0005-0000-0000-00001D1C0000}"/>
    <cellStyle name="Comma 2 2 20 6" xfId="7201" xr:uid="{00000000-0005-0000-0000-00001E1C0000}"/>
    <cellStyle name="Comma 2 2 20 6 2" xfId="7202" xr:uid="{00000000-0005-0000-0000-00001F1C0000}"/>
    <cellStyle name="Comma 2 2 20 7" xfId="7203" xr:uid="{00000000-0005-0000-0000-0000201C0000}"/>
    <cellStyle name="Comma 2 2 20 8" xfId="7204" xr:uid="{00000000-0005-0000-0000-0000211C0000}"/>
    <cellStyle name="Comma 2 2 20 9" xfId="7205" xr:uid="{00000000-0005-0000-0000-0000221C0000}"/>
    <cellStyle name="Comma 2 2 21" xfId="7206" xr:uid="{00000000-0005-0000-0000-0000231C0000}"/>
    <cellStyle name="Comma 2 2 21 10" xfId="7207" xr:uid="{00000000-0005-0000-0000-0000241C0000}"/>
    <cellStyle name="Comma 2 2 21 2" xfId="7208" xr:uid="{00000000-0005-0000-0000-0000251C0000}"/>
    <cellStyle name="Comma 2 2 21 2 2" xfId="7209" xr:uid="{00000000-0005-0000-0000-0000261C0000}"/>
    <cellStyle name="Comma 2 2 21 2 2 2" xfId="7210" xr:uid="{00000000-0005-0000-0000-0000271C0000}"/>
    <cellStyle name="Comma 2 2 21 2 2 3" xfId="7211" xr:uid="{00000000-0005-0000-0000-0000281C0000}"/>
    <cellStyle name="Comma 2 2 21 2 3" xfId="7212" xr:uid="{00000000-0005-0000-0000-0000291C0000}"/>
    <cellStyle name="Comma 2 2 21 2 4" xfId="7213" xr:uid="{00000000-0005-0000-0000-00002A1C0000}"/>
    <cellStyle name="Comma 2 2 21 2 5" xfId="7214" xr:uid="{00000000-0005-0000-0000-00002B1C0000}"/>
    <cellStyle name="Comma 2 2 21 2 6" xfId="7215" xr:uid="{00000000-0005-0000-0000-00002C1C0000}"/>
    <cellStyle name="Comma 2 2 21 3" xfId="7216" xr:uid="{00000000-0005-0000-0000-00002D1C0000}"/>
    <cellStyle name="Comma 2 2 21 3 2" xfId="7217" xr:uid="{00000000-0005-0000-0000-00002E1C0000}"/>
    <cellStyle name="Comma 2 2 21 3 2 2" xfId="7218" xr:uid="{00000000-0005-0000-0000-00002F1C0000}"/>
    <cellStyle name="Comma 2 2 21 3 2 3" xfId="7219" xr:uid="{00000000-0005-0000-0000-0000301C0000}"/>
    <cellStyle name="Comma 2 2 21 3 3" xfId="7220" xr:uid="{00000000-0005-0000-0000-0000311C0000}"/>
    <cellStyle name="Comma 2 2 21 3 4" xfId="7221" xr:uid="{00000000-0005-0000-0000-0000321C0000}"/>
    <cellStyle name="Comma 2 2 21 3 5" xfId="7222" xr:uid="{00000000-0005-0000-0000-0000331C0000}"/>
    <cellStyle name="Comma 2 2 21 3 6" xfId="7223" xr:uid="{00000000-0005-0000-0000-0000341C0000}"/>
    <cellStyle name="Comma 2 2 21 4" xfId="7224" xr:uid="{00000000-0005-0000-0000-0000351C0000}"/>
    <cellStyle name="Comma 2 2 21 4 2" xfId="7225" xr:uid="{00000000-0005-0000-0000-0000361C0000}"/>
    <cellStyle name="Comma 2 2 21 4 2 2" xfId="7226" xr:uid="{00000000-0005-0000-0000-0000371C0000}"/>
    <cellStyle name="Comma 2 2 21 4 3" xfId="7227" xr:uid="{00000000-0005-0000-0000-0000381C0000}"/>
    <cellStyle name="Comma 2 2 21 4 4" xfId="7228" xr:uid="{00000000-0005-0000-0000-0000391C0000}"/>
    <cellStyle name="Comma 2 2 21 4 5" xfId="7229" xr:uid="{00000000-0005-0000-0000-00003A1C0000}"/>
    <cellStyle name="Comma 2 2 21 5" xfId="7230" xr:uid="{00000000-0005-0000-0000-00003B1C0000}"/>
    <cellStyle name="Comma 2 2 21 5 2" xfId="7231" xr:uid="{00000000-0005-0000-0000-00003C1C0000}"/>
    <cellStyle name="Comma 2 2 21 5 3" xfId="7232" xr:uid="{00000000-0005-0000-0000-00003D1C0000}"/>
    <cellStyle name="Comma 2 2 21 5 4" xfId="7233" xr:uid="{00000000-0005-0000-0000-00003E1C0000}"/>
    <cellStyle name="Comma 2 2 21 6" xfId="7234" xr:uid="{00000000-0005-0000-0000-00003F1C0000}"/>
    <cellStyle name="Comma 2 2 21 6 2" xfId="7235" xr:uid="{00000000-0005-0000-0000-0000401C0000}"/>
    <cellStyle name="Comma 2 2 21 7" xfId="7236" xr:uid="{00000000-0005-0000-0000-0000411C0000}"/>
    <cellStyle name="Comma 2 2 21 8" xfId="7237" xr:uid="{00000000-0005-0000-0000-0000421C0000}"/>
    <cellStyle name="Comma 2 2 21 9" xfId="7238" xr:uid="{00000000-0005-0000-0000-0000431C0000}"/>
    <cellStyle name="Comma 2 2 22" xfId="7239" xr:uid="{00000000-0005-0000-0000-0000441C0000}"/>
    <cellStyle name="Comma 2 2 22 10" xfId="7240" xr:uid="{00000000-0005-0000-0000-0000451C0000}"/>
    <cellStyle name="Comma 2 2 22 2" xfId="7241" xr:uid="{00000000-0005-0000-0000-0000461C0000}"/>
    <cellStyle name="Comma 2 2 22 2 2" xfId="7242" xr:uid="{00000000-0005-0000-0000-0000471C0000}"/>
    <cellStyle name="Comma 2 2 22 2 2 2" xfId="7243" xr:uid="{00000000-0005-0000-0000-0000481C0000}"/>
    <cellStyle name="Comma 2 2 22 2 2 3" xfId="7244" xr:uid="{00000000-0005-0000-0000-0000491C0000}"/>
    <cellStyle name="Comma 2 2 22 2 3" xfId="7245" xr:uid="{00000000-0005-0000-0000-00004A1C0000}"/>
    <cellStyle name="Comma 2 2 22 2 4" xfId="7246" xr:uid="{00000000-0005-0000-0000-00004B1C0000}"/>
    <cellStyle name="Comma 2 2 22 2 5" xfId="7247" xr:uid="{00000000-0005-0000-0000-00004C1C0000}"/>
    <cellStyle name="Comma 2 2 22 2 6" xfId="7248" xr:uid="{00000000-0005-0000-0000-00004D1C0000}"/>
    <cellStyle name="Comma 2 2 22 3" xfId="7249" xr:uid="{00000000-0005-0000-0000-00004E1C0000}"/>
    <cellStyle name="Comma 2 2 22 3 2" xfId="7250" xr:uid="{00000000-0005-0000-0000-00004F1C0000}"/>
    <cellStyle name="Comma 2 2 22 3 2 2" xfId="7251" xr:uid="{00000000-0005-0000-0000-0000501C0000}"/>
    <cellStyle name="Comma 2 2 22 3 2 3" xfId="7252" xr:uid="{00000000-0005-0000-0000-0000511C0000}"/>
    <cellStyle name="Comma 2 2 22 3 3" xfId="7253" xr:uid="{00000000-0005-0000-0000-0000521C0000}"/>
    <cellStyle name="Comma 2 2 22 3 4" xfId="7254" xr:uid="{00000000-0005-0000-0000-0000531C0000}"/>
    <cellStyle name="Comma 2 2 22 3 5" xfId="7255" xr:uid="{00000000-0005-0000-0000-0000541C0000}"/>
    <cellStyle name="Comma 2 2 22 3 6" xfId="7256" xr:uid="{00000000-0005-0000-0000-0000551C0000}"/>
    <cellStyle name="Comma 2 2 22 4" xfId="7257" xr:uid="{00000000-0005-0000-0000-0000561C0000}"/>
    <cellStyle name="Comma 2 2 22 4 2" xfId="7258" xr:uid="{00000000-0005-0000-0000-0000571C0000}"/>
    <cellStyle name="Comma 2 2 22 4 2 2" xfId="7259" xr:uid="{00000000-0005-0000-0000-0000581C0000}"/>
    <cellStyle name="Comma 2 2 22 4 3" xfId="7260" xr:uid="{00000000-0005-0000-0000-0000591C0000}"/>
    <cellStyle name="Comma 2 2 22 4 4" xfId="7261" xr:uid="{00000000-0005-0000-0000-00005A1C0000}"/>
    <cellStyle name="Comma 2 2 22 4 5" xfId="7262" xr:uid="{00000000-0005-0000-0000-00005B1C0000}"/>
    <cellStyle name="Comma 2 2 22 5" xfId="7263" xr:uid="{00000000-0005-0000-0000-00005C1C0000}"/>
    <cellStyle name="Comma 2 2 22 5 2" xfId="7264" xr:uid="{00000000-0005-0000-0000-00005D1C0000}"/>
    <cellStyle name="Comma 2 2 22 5 3" xfId="7265" xr:uid="{00000000-0005-0000-0000-00005E1C0000}"/>
    <cellStyle name="Comma 2 2 22 5 4" xfId="7266" xr:uid="{00000000-0005-0000-0000-00005F1C0000}"/>
    <cellStyle name="Comma 2 2 22 6" xfId="7267" xr:uid="{00000000-0005-0000-0000-0000601C0000}"/>
    <cellStyle name="Comma 2 2 22 6 2" xfId="7268" xr:uid="{00000000-0005-0000-0000-0000611C0000}"/>
    <cellStyle name="Comma 2 2 22 7" xfId="7269" xr:uid="{00000000-0005-0000-0000-0000621C0000}"/>
    <cellStyle name="Comma 2 2 22 8" xfId="7270" xr:uid="{00000000-0005-0000-0000-0000631C0000}"/>
    <cellStyle name="Comma 2 2 22 9" xfId="7271" xr:uid="{00000000-0005-0000-0000-0000641C0000}"/>
    <cellStyle name="Comma 2 2 23" xfId="7272" xr:uid="{00000000-0005-0000-0000-0000651C0000}"/>
    <cellStyle name="Comma 2 2 23 10" xfId="7273" xr:uid="{00000000-0005-0000-0000-0000661C0000}"/>
    <cellStyle name="Comma 2 2 23 2" xfId="7274" xr:uid="{00000000-0005-0000-0000-0000671C0000}"/>
    <cellStyle name="Comma 2 2 23 2 2" xfId="7275" xr:uid="{00000000-0005-0000-0000-0000681C0000}"/>
    <cellStyle name="Comma 2 2 23 2 2 2" xfId="7276" xr:uid="{00000000-0005-0000-0000-0000691C0000}"/>
    <cellStyle name="Comma 2 2 23 2 2 3" xfId="7277" xr:uid="{00000000-0005-0000-0000-00006A1C0000}"/>
    <cellStyle name="Comma 2 2 23 2 3" xfId="7278" xr:uid="{00000000-0005-0000-0000-00006B1C0000}"/>
    <cellStyle name="Comma 2 2 23 2 4" xfId="7279" xr:uid="{00000000-0005-0000-0000-00006C1C0000}"/>
    <cellStyle name="Comma 2 2 23 2 5" xfId="7280" xr:uid="{00000000-0005-0000-0000-00006D1C0000}"/>
    <cellStyle name="Comma 2 2 23 2 6" xfId="7281" xr:uid="{00000000-0005-0000-0000-00006E1C0000}"/>
    <cellStyle name="Comma 2 2 23 3" xfId="7282" xr:uid="{00000000-0005-0000-0000-00006F1C0000}"/>
    <cellStyle name="Comma 2 2 23 3 2" xfId="7283" xr:uid="{00000000-0005-0000-0000-0000701C0000}"/>
    <cellStyle name="Comma 2 2 23 3 2 2" xfId="7284" xr:uid="{00000000-0005-0000-0000-0000711C0000}"/>
    <cellStyle name="Comma 2 2 23 3 2 3" xfId="7285" xr:uid="{00000000-0005-0000-0000-0000721C0000}"/>
    <cellStyle name="Comma 2 2 23 3 3" xfId="7286" xr:uid="{00000000-0005-0000-0000-0000731C0000}"/>
    <cellStyle name="Comma 2 2 23 3 4" xfId="7287" xr:uid="{00000000-0005-0000-0000-0000741C0000}"/>
    <cellStyle name="Comma 2 2 23 3 5" xfId="7288" xr:uid="{00000000-0005-0000-0000-0000751C0000}"/>
    <cellStyle name="Comma 2 2 23 3 6" xfId="7289" xr:uid="{00000000-0005-0000-0000-0000761C0000}"/>
    <cellStyle name="Comma 2 2 23 4" xfId="7290" xr:uid="{00000000-0005-0000-0000-0000771C0000}"/>
    <cellStyle name="Comma 2 2 23 4 2" xfId="7291" xr:uid="{00000000-0005-0000-0000-0000781C0000}"/>
    <cellStyle name="Comma 2 2 23 4 2 2" xfId="7292" xr:uid="{00000000-0005-0000-0000-0000791C0000}"/>
    <cellStyle name="Comma 2 2 23 4 3" xfId="7293" xr:uid="{00000000-0005-0000-0000-00007A1C0000}"/>
    <cellStyle name="Comma 2 2 23 4 4" xfId="7294" xr:uid="{00000000-0005-0000-0000-00007B1C0000}"/>
    <cellStyle name="Comma 2 2 23 4 5" xfId="7295" xr:uid="{00000000-0005-0000-0000-00007C1C0000}"/>
    <cellStyle name="Comma 2 2 23 5" xfId="7296" xr:uid="{00000000-0005-0000-0000-00007D1C0000}"/>
    <cellStyle name="Comma 2 2 23 5 2" xfId="7297" xr:uid="{00000000-0005-0000-0000-00007E1C0000}"/>
    <cellStyle name="Comma 2 2 23 5 3" xfId="7298" xr:uid="{00000000-0005-0000-0000-00007F1C0000}"/>
    <cellStyle name="Comma 2 2 23 5 4" xfId="7299" xr:uid="{00000000-0005-0000-0000-0000801C0000}"/>
    <cellStyle name="Comma 2 2 23 6" xfId="7300" xr:uid="{00000000-0005-0000-0000-0000811C0000}"/>
    <cellStyle name="Comma 2 2 23 6 2" xfId="7301" xr:uid="{00000000-0005-0000-0000-0000821C0000}"/>
    <cellStyle name="Comma 2 2 23 7" xfId="7302" xr:uid="{00000000-0005-0000-0000-0000831C0000}"/>
    <cellStyle name="Comma 2 2 23 8" xfId="7303" xr:uid="{00000000-0005-0000-0000-0000841C0000}"/>
    <cellStyle name="Comma 2 2 23 9" xfId="7304" xr:uid="{00000000-0005-0000-0000-0000851C0000}"/>
    <cellStyle name="Comma 2 2 24" xfId="7305" xr:uid="{00000000-0005-0000-0000-0000861C0000}"/>
    <cellStyle name="Comma 2 2 24 10" xfId="7306" xr:uid="{00000000-0005-0000-0000-0000871C0000}"/>
    <cellStyle name="Comma 2 2 24 2" xfId="7307" xr:uid="{00000000-0005-0000-0000-0000881C0000}"/>
    <cellStyle name="Comma 2 2 24 2 2" xfId="7308" xr:uid="{00000000-0005-0000-0000-0000891C0000}"/>
    <cellStyle name="Comma 2 2 24 2 2 2" xfId="7309" xr:uid="{00000000-0005-0000-0000-00008A1C0000}"/>
    <cellStyle name="Comma 2 2 24 2 2 3" xfId="7310" xr:uid="{00000000-0005-0000-0000-00008B1C0000}"/>
    <cellStyle name="Comma 2 2 24 2 3" xfId="7311" xr:uid="{00000000-0005-0000-0000-00008C1C0000}"/>
    <cellStyle name="Comma 2 2 24 2 4" xfId="7312" xr:uid="{00000000-0005-0000-0000-00008D1C0000}"/>
    <cellStyle name="Comma 2 2 24 2 5" xfId="7313" xr:uid="{00000000-0005-0000-0000-00008E1C0000}"/>
    <cellStyle name="Comma 2 2 24 2 6" xfId="7314" xr:uid="{00000000-0005-0000-0000-00008F1C0000}"/>
    <cellStyle name="Comma 2 2 24 3" xfId="7315" xr:uid="{00000000-0005-0000-0000-0000901C0000}"/>
    <cellStyle name="Comma 2 2 24 3 2" xfId="7316" xr:uid="{00000000-0005-0000-0000-0000911C0000}"/>
    <cellStyle name="Comma 2 2 24 3 2 2" xfId="7317" xr:uid="{00000000-0005-0000-0000-0000921C0000}"/>
    <cellStyle name="Comma 2 2 24 3 2 3" xfId="7318" xr:uid="{00000000-0005-0000-0000-0000931C0000}"/>
    <cellStyle name="Comma 2 2 24 3 3" xfId="7319" xr:uid="{00000000-0005-0000-0000-0000941C0000}"/>
    <cellStyle name="Comma 2 2 24 3 4" xfId="7320" xr:uid="{00000000-0005-0000-0000-0000951C0000}"/>
    <cellStyle name="Comma 2 2 24 3 5" xfId="7321" xr:uid="{00000000-0005-0000-0000-0000961C0000}"/>
    <cellStyle name="Comma 2 2 24 3 6" xfId="7322" xr:uid="{00000000-0005-0000-0000-0000971C0000}"/>
    <cellStyle name="Comma 2 2 24 4" xfId="7323" xr:uid="{00000000-0005-0000-0000-0000981C0000}"/>
    <cellStyle name="Comma 2 2 24 4 2" xfId="7324" xr:uid="{00000000-0005-0000-0000-0000991C0000}"/>
    <cellStyle name="Comma 2 2 24 4 2 2" xfId="7325" xr:uid="{00000000-0005-0000-0000-00009A1C0000}"/>
    <cellStyle name="Comma 2 2 24 4 3" xfId="7326" xr:uid="{00000000-0005-0000-0000-00009B1C0000}"/>
    <cellStyle name="Comma 2 2 24 4 4" xfId="7327" xr:uid="{00000000-0005-0000-0000-00009C1C0000}"/>
    <cellStyle name="Comma 2 2 24 4 5" xfId="7328" xr:uid="{00000000-0005-0000-0000-00009D1C0000}"/>
    <cellStyle name="Comma 2 2 24 5" xfId="7329" xr:uid="{00000000-0005-0000-0000-00009E1C0000}"/>
    <cellStyle name="Comma 2 2 24 5 2" xfId="7330" xr:uid="{00000000-0005-0000-0000-00009F1C0000}"/>
    <cellStyle name="Comma 2 2 24 5 3" xfId="7331" xr:uid="{00000000-0005-0000-0000-0000A01C0000}"/>
    <cellStyle name="Comma 2 2 24 5 4" xfId="7332" xr:uid="{00000000-0005-0000-0000-0000A11C0000}"/>
    <cellStyle name="Comma 2 2 24 6" xfId="7333" xr:uid="{00000000-0005-0000-0000-0000A21C0000}"/>
    <cellStyle name="Comma 2 2 24 6 2" xfId="7334" xr:uid="{00000000-0005-0000-0000-0000A31C0000}"/>
    <cellStyle name="Comma 2 2 24 7" xfId="7335" xr:uid="{00000000-0005-0000-0000-0000A41C0000}"/>
    <cellStyle name="Comma 2 2 24 8" xfId="7336" xr:uid="{00000000-0005-0000-0000-0000A51C0000}"/>
    <cellStyle name="Comma 2 2 24 9" xfId="7337" xr:uid="{00000000-0005-0000-0000-0000A61C0000}"/>
    <cellStyle name="Comma 2 2 25" xfId="7338" xr:uid="{00000000-0005-0000-0000-0000A71C0000}"/>
    <cellStyle name="Comma 2 2 25 10" xfId="7339" xr:uid="{00000000-0005-0000-0000-0000A81C0000}"/>
    <cellStyle name="Comma 2 2 25 2" xfId="7340" xr:uid="{00000000-0005-0000-0000-0000A91C0000}"/>
    <cellStyle name="Comma 2 2 25 2 2" xfId="7341" xr:uid="{00000000-0005-0000-0000-0000AA1C0000}"/>
    <cellStyle name="Comma 2 2 25 2 2 2" xfId="7342" xr:uid="{00000000-0005-0000-0000-0000AB1C0000}"/>
    <cellStyle name="Comma 2 2 25 2 2 3" xfId="7343" xr:uid="{00000000-0005-0000-0000-0000AC1C0000}"/>
    <cellStyle name="Comma 2 2 25 2 3" xfId="7344" xr:uid="{00000000-0005-0000-0000-0000AD1C0000}"/>
    <cellStyle name="Comma 2 2 25 2 4" xfId="7345" xr:uid="{00000000-0005-0000-0000-0000AE1C0000}"/>
    <cellStyle name="Comma 2 2 25 2 5" xfId="7346" xr:uid="{00000000-0005-0000-0000-0000AF1C0000}"/>
    <cellStyle name="Comma 2 2 25 2 6" xfId="7347" xr:uid="{00000000-0005-0000-0000-0000B01C0000}"/>
    <cellStyle name="Comma 2 2 25 3" xfId="7348" xr:uid="{00000000-0005-0000-0000-0000B11C0000}"/>
    <cellStyle name="Comma 2 2 25 3 2" xfId="7349" xr:uid="{00000000-0005-0000-0000-0000B21C0000}"/>
    <cellStyle name="Comma 2 2 25 3 2 2" xfId="7350" xr:uid="{00000000-0005-0000-0000-0000B31C0000}"/>
    <cellStyle name="Comma 2 2 25 3 2 3" xfId="7351" xr:uid="{00000000-0005-0000-0000-0000B41C0000}"/>
    <cellStyle name="Comma 2 2 25 3 3" xfId="7352" xr:uid="{00000000-0005-0000-0000-0000B51C0000}"/>
    <cellStyle name="Comma 2 2 25 3 4" xfId="7353" xr:uid="{00000000-0005-0000-0000-0000B61C0000}"/>
    <cellStyle name="Comma 2 2 25 3 5" xfId="7354" xr:uid="{00000000-0005-0000-0000-0000B71C0000}"/>
    <cellStyle name="Comma 2 2 25 3 6" xfId="7355" xr:uid="{00000000-0005-0000-0000-0000B81C0000}"/>
    <cellStyle name="Comma 2 2 25 4" xfId="7356" xr:uid="{00000000-0005-0000-0000-0000B91C0000}"/>
    <cellStyle name="Comma 2 2 25 4 2" xfId="7357" xr:uid="{00000000-0005-0000-0000-0000BA1C0000}"/>
    <cellStyle name="Comma 2 2 25 4 2 2" xfId="7358" xr:uid="{00000000-0005-0000-0000-0000BB1C0000}"/>
    <cellStyle name="Comma 2 2 25 4 3" xfId="7359" xr:uid="{00000000-0005-0000-0000-0000BC1C0000}"/>
    <cellStyle name="Comma 2 2 25 4 4" xfId="7360" xr:uid="{00000000-0005-0000-0000-0000BD1C0000}"/>
    <cellStyle name="Comma 2 2 25 4 5" xfId="7361" xr:uid="{00000000-0005-0000-0000-0000BE1C0000}"/>
    <cellStyle name="Comma 2 2 25 5" xfId="7362" xr:uid="{00000000-0005-0000-0000-0000BF1C0000}"/>
    <cellStyle name="Comma 2 2 25 5 2" xfId="7363" xr:uid="{00000000-0005-0000-0000-0000C01C0000}"/>
    <cellStyle name="Comma 2 2 25 5 3" xfId="7364" xr:uid="{00000000-0005-0000-0000-0000C11C0000}"/>
    <cellStyle name="Comma 2 2 25 5 4" xfId="7365" xr:uid="{00000000-0005-0000-0000-0000C21C0000}"/>
    <cellStyle name="Comma 2 2 25 6" xfId="7366" xr:uid="{00000000-0005-0000-0000-0000C31C0000}"/>
    <cellStyle name="Comma 2 2 25 6 2" xfId="7367" xr:uid="{00000000-0005-0000-0000-0000C41C0000}"/>
    <cellStyle name="Comma 2 2 25 7" xfId="7368" xr:uid="{00000000-0005-0000-0000-0000C51C0000}"/>
    <cellStyle name="Comma 2 2 25 8" xfId="7369" xr:uid="{00000000-0005-0000-0000-0000C61C0000}"/>
    <cellStyle name="Comma 2 2 25 9" xfId="7370" xr:uid="{00000000-0005-0000-0000-0000C71C0000}"/>
    <cellStyle name="Comma 2 2 26" xfId="7371" xr:uid="{00000000-0005-0000-0000-0000C81C0000}"/>
    <cellStyle name="Comma 2 2 26 10" xfId="7372" xr:uid="{00000000-0005-0000-0000-0000C91C0000}"/>
    <cellStyle name="Comma 2 2 26 2" xfId="7373" xr:uid="{00000000-0005-0000-0000-0000CA1C0000}"/>
    <cellStyle name="Comma 2 2 26 2 2" xfId="7374" xr:uid="{00000000-0005-0000-0000-0000CB1C0000}"/>
    <cellStyle name="Comma 2 2 26 2 2 2" xfId="7375" xr:uid="{00000000-0005-0000-0000-0000CC1C0000}"/>
    <cellStyle name="Comma 2 2 26 2 2 3" xfId="7376" xr:uid="{00000000-0005-0000-0000-0000CD1C0000}"/>
    <cellStyle name="Comma 2 2 26 2 3" xfId="7377" xr:uid="{00000000-0005-0000-0000-0000CE1C0000}"/>
    <cellStyle name="Comma 2 2 26 2 4" xfId="7378" xr:uid="{00000000-0005-0000-0000-0000CF1C0000}"/>
    <cellStyle name="Comma 2 2 26 2 5" xfId="7379" xr:uid="{00000000-0005-0000-0000-0000D01C0000}"/>
    <cellStyle name="Comma 2 2 26 2 6" xfId="7380" xr:uid="{00000000-0005-0000-0000-0000D11C0000}"/>
    <cellStyle name="Comma 2 2 26 3" xfId="7381" xr:uid="{00000000-0005-0000-0000-0000D21C0000}"/>
    <cellStyle name="Comma 2 2 26 3 2" xfId="7382" xr:uid="{00000000-0005-0000-0000-0000D31C0000}"/>
    <cellStyle name="Comma 2 2 26 3 2 2" xfId="7383" xr:uid="{00000000-0005-0000-0000-0000D41C0000}"/>
    <cellStyle name="Comma 2 2 26 3 2 3" xfId="7384" xr:uid="{00000000-0005-0000-0000-0000D51C0000}"/>
    <cellStyle name="Comma 2 2 26 3 3" xfId="7385" xr:uid="{00000000-0005-0000-0000-0000D61C0000}"/>
    <cellStyle name="Comma 2 2 26 3 4" xfId="7386" xr:uid="{00000000-0005-0000-0000-0000D71C0000}"/>
    <cellStyle name="Comma 2 2 26 3 5" xfId="7387" xr:uid="{00000000-0005-0000-0000-0000D81C0000}"/>
    <cellStyle name="Comma 2 2 26 3 6" xfId="7388" xr:uid="{00000000-0005-0000-0000-0000D91C0000}"/>
    <cellStyle name="Comma 2 2 26 4" xfId="7389" xr:uid="{00000000-0005-0000-0000-0000DA1C0000}"/>
    <cellStyle name="Comma 2 2 26 4 2" xfId="7390" xr:uid="{00000000-0005-0000-0000-0000DB1C0000}"/>
    <cellStyle name="Comma 2 2 26 4 2 2" xfId="7391" xr:uid="{00000000-0005-0000-0000-0000DC1C0000}"/>
    <cellStyle name="Comma 2 2 26 4 3" xfId="7392" xr:uid="{00000000-0005-0000-0000-0000DD1C0000}"/>
    <cellStyle name="Comma 2 2 26 4 4" xfId="7393" xr:uid="{00000000-0005-0000-0000-0000DE1C0000}"/>
    <cellStyle name="Comma 2 2 26 4 5" xfId="7394" xr:uid="{00000000-0005-0000-0000-0000DF1C0000}"/>
    <cellStyle name="Comma 2 2 26 5" xfId="7395" xr:uid="{00000000-0005-0000-0000-0000E01C0000}"/>
    <cellStyle name="Comma 2 2 26 5 2" xfId="7396" xr:uid="{00000000-0005-0000-0000-0000E11C0000}"/>
    <cellStyle name="Comma 2 2 26 5 3" xfId="7397" xr:uid="{00000000-0005-0000-0000-0000E21C0000}"/>
    <cellStyle name="Comma 2 2 26 5 4" xfId="7398" xr:uid="{00000000-0005-0000-0000-0000E31C0000}"/>
    <cellStyle name="Comma 2 2 26 6" xfId="7399" xr:uid="{00000000-0005-0000-0000-0000E41C0000}"/>
    <cellStyle name="Comma 2 2 26 6 2" xfId="7400" xr:uid="{00000000-0005-0000-0000-0000E51C0000}"/>
    <cellStyle name="Comma 2 2 26 7" xfId="7401" xr:uid="{00000000-0005-0000-0000-0000E61C0000}"/>
    <cellStyle name="Comma 2 2 26 8" xfId="7402" xr:uid="{00000000-0005-0000-0000-0000E71C0000}"/>
    <cellStyle name="Comma 2 2 26 9" xfId="7403" xr:uid="{00000000-0005-0000-0000-0000E81C0000}"/>
    <cellStyle name="Comma 2 2 27" xfId="7404" xr:uid="{00000000-0005-0000-0000-0000E91C0000}"/>
    <cellStyle name="Comma 2 2 27 10" xfId="7405" xr:uid="{00000000-0005-0000-0000-0000EA1C0000}"/>
    <cellStyle name="Comma 2 2 27 2" xfId="7406" xr:uid="{00000000-0005-0000-0000-0000EB1C0000}"/>
    <cellStyle name="Comma 2 2 27 2 2" xfId="7407" xr:uid="{00000000-0005-0000-0000-0000EC1C0000}"/>
    <cellStyle name="Comma 2 2 27 2 2 2" xfId="7408" xr:uid="{00000000-0005-0000-0000-0000ED1C0000}"/>
    <cellStyle name="Comma 2 2 27 2 2 3" xfId="7409" xr:uid="{00000000-0005-0000-0000-0000EE1C0000}"/>
    <cellStyle name="Comma 2 2 27 2 3" xfId="7410" xr:uid="{00000000-0005-0000-0000-0000EF1C0000}"/>
    <cellStyle name="Comma 2 2 27 2 4" xfId="7411" xr:uid="{00000000-0005-0000-0000-0000F01C0000}"/>
    <cellStyle name="Comma 2 2 27 2 5" xfId="7412" xr:uid="{00000000-0005-0000-0000-0000F11C0000}"/>
    <cellStyle name="Comma 2 2 27 2 6" xfId="7413" xr:uid="{00000000-0005-0000-0000-0000F21C0000}"/>
    <cellStyle name="Comma 2 2 27 3" xfId="7414" xr:uid="{00000000-0005-0000-0000-0000F31C0000}"/>
    <cellStyle name="Comma 2 2 27 3 2" xfId="7415" xr:uid="{00000000-0005-0000-0000-0000F41C0000}"/>
    <cellStyle name="Comma 2 2 27 3 2 2" xfId="7416" xr:uid="{00000000-0005-0000-0000-0000F51C0000}"/>
    <cellStyle name="Comma 2 2 27 3 2 3" xfId="7417" xr:uid="{00000000-0005-0000-0000-0000F61C0000}"/>
    <cellStyle name="Comma 2 2 27 3 3" xfId="7418" xr:uid="{00000000-0005-0000-0000-0000F71C0000}"/>
    <cellStyle name="Comma 2 2 27 3 4" xfId="7419" xr:uid="{00000000-0005-0000-0000-0000F81C0000}"/>
    <cellStyle name="Comma 2 2 27 3 5" xfId="7420" xr:uid="{00000000-0005-0000-0000-0000F91C0000}"/>
    <cellStyle name="Comma 2 2 27 3 6" xfId="7421" xr:uid="{00000000-0005-0000-0000-0000FA1C0000}"/>
    <cellStyle name="Comma 2 2 27 4" xfId="7422" xr:uid="{00000000-0005-0000-0000-0000FB1C0000}"/>
    <cellStyle name="Comma 2 2 27 4 2" xfId="7423" xr:uid="{00000000-0005-0000-0000-0000FC1C0000}"/>
    <cellStyle name="Comma 2 2 27 4 2 2" xfId="7424" xr:uid="{00000000-0005-0000-0000-0000FD1C0000}"/>
    <cellStyle name="Comma 2 2 27 4 3" xfId="7425" xr:uid="{00000000-0005-0000-0000-0000FE1C0000}"/>
    <cellStyle name="Comma 2 2 27 4 4" xfId="7426" xr:uid="{00000000-0005-0000-0000-0000FF1C0000}"/>
    <cellStyle name="Comma 2 2 27 4 5" xfId="7427" xr:uid="{00000000-0005-0000-0000-0000001D0000}"/>
    <cellStyle name="Comma 2 2 27 5" xfId="7428" xr:uid="{00000000-0005-0000-0000-0000011D0000}"/>
    <cellStyle name="Comma 2 2 27 5 2" xfId="7429" xr:uid="{00000000-0005-0000-0000-0000021D0000}"/>
    <cellStyle name="Comma 2 2 27 5 3" xfId="7430" xr:uid="{00000000-0005-0000-0000-0000031D0000}"/>
    <cellStyle name="Comma 2 2 27 5 4" xfId="7431" xr:uid="{00000000-0005-0000-0000-0000041D0000}"/>
    <cellStyle name="Comma 2 2 27 6" xfId="7432" xr:uid="{00000000-0005-0000-0000-0000051D0000}"/>
    <cellStyle name="Comma 2 2 27 6 2" xfId="7433" xr:uid="{00000000-0005-0000-0000-0000061D0000}"/>
    <cellStyle name="Comma 2 2 27 7" xfId="7434" xr:uid="{00000000-0005-0000-0000-0000071D0000}"/>
    <cellStyle name="Comma 2 2 27 8" xfId="7435" xr:uid="{00000000-0005-0000-0000-0000081D0000}"/>
    <cellStyle name="Comma 2 2 27 9" xfId="7436" xr:uid="{00000000-0005-0000-0000-0000091D0000}"/>
    <cellStyle name="Comma 2 2 28" xfId="7437" xr:uid="{00000000-0005-0000-0000-00000A1D0000}"/>
    <cellStyle name="Comma 2 2 28 10" xfId="7438" xr:uid="{00000000-0005-0000-0000-00000B1D0000}"/>
    <cellStyle name="Comma 2 2 28 2" xfId="7439" xr:uid="{00000000-0005-0000-0000-00000C1D0000}"/>
    <cellStyle name="Comma 2 2 28 2 2" xfId="7440" xr:uid="{00000000-0005-0000-0000-00000D1D0000}"/>
    <cellStyle name="Comma 2 2 28 2 2 2" xfId="7441" xr:uid="{00000000-0005-0000-0000-00000E1D0000}"/>
    <cellStyle name="Comma 2 2 28 2 2 3" xfId="7442" xr:uid="{00000000-0005-0000-0000-00000F1D0000}"/>
    <cellStyle name="Comma 2 2 28 2 3" xfId="7443" xr:uid="{00000000-0005-0000-0000-0000101D0000}"/>
    <cellStyle name="Comma 2 2 28 2 4" xfId="7444" xr:uid="{00000000-0005-0000-0000-0000111D0000}"/>
    <cellStyle name="Comma 2 2 28 2 5" xfId="7445" xr:uid="{00000000-0005-0000-0000-0000121D0000}"/>
    <cellStyle name="Comma 2 2 28 2 6" xfId="7446" xr:uid="{00000000-0005-0000-0000-0000131D0000}"/>
    <cellStyle name="Comma 2 2 28 3" xfId="7447" xr:uid="{00000000-0005-0000-0000-0000141D0000}"/>
    <cellStyle name="Comma 2 2 28 3 2" xfId="7448" xr:uid="{00000000-0005-0000-0000-0000151D0000}"/>
    <cellStyle name="Comma 2 2 28 3 2 2" xfId="7449" xr:uid="{00000000-0005-0000-0000-0000161D0000}"/>
    <cellStyle name="Comma 2 2 28 3 2 3" xfId="7450" xr:uid="{00000000-0005-0000-0000-0000171D0000}"/>
    <cellStyle name="Comma 2 2 28 3 3" xfId="7451" xr:uid="{00000000-0005-0000-0000-0000181D0000}"/>
    <cellStyle name="Comma 2 2 28 3 4" xfId="7452" xr:uid="{00000000-0005-0000-0000-0000191D0000}"/>
    <cellStyle name="Comma 2 2 28 3 5" xfId="7453" xr:uid="{00000000-0005-0000-0000-00001A1D0000}"/>
    <cellStyle name="Comma 2 2 28 3 6" xfId="7454" xr:uid="{00000000-0005-0000-0000-00001B1D0000}"/>
    <cellStyle name="Comma 2 2 28 4" xfId="7455" xr:uid="{00000000-0005-0000-0000-00001C1D0000}"/>
    <cellStyle name="Comma 2 2 28 4 2" xfId="7456" xr:uid="{00000000-0005-0000-0000-00001D1D0000}"/>
    <cellStyle name="Comma 2 2 28 4 2 2" xfId="7457" xr:uid="{00000000-0005-0000-0000-00001E1D0000}"/>
    <cellStyle name="Comma 2 2 28 4 3" xfId="7458" xr:uid="{00000000-0005-0000-0000-00001F1D0000}"/>
    <cellStyle name="Comma 2 2 28 4 4" xfId="7459" xr:uid="{00000000-0005-0000-0000-0000201D0000}"/>
    <cellStyle name="Comma 2 2 28 4 5" xfId="7460" xr:uid="{00000000-0005-0000-0000-0000211D0000}"/>
    <cellStyle name="Comma 2 2 28 5" xfId="7461" xr:uid="{00000000-0005-0000-0000-0000221D0000}"/>
    <cellStyle name="Comma 2 2 28 5 2" xfId="7462" xr:uid="{00000000-0005-0000-0000-0000231D0000}"/>
    <cellStyle name="Comma 2 2 28 5 3" xfId="7463" xr:uid="{00000000-0005-0000-0000-0000241D0000}"/>
    <cellStyle name="Comma 2 2 28 5 4" xfId="7464" xr:uid="{00000000-0005-0000-0000-0000251D0000}"/>
    <cellStyle name="Comma 2 2 28 6" xfId="7465" xr:uid="{00000000-0005-0000-0000-0000261D0000}"/>
    <cellStyle name="Comma 2 2 28 6 2" xfId="7466" xr:uid="{00000000-0005-0000-0000-0000271D0000}"/>
    <cellStyle name="Comma 2 2 28 7" xfId="7467" xr:uid="{00000000-0005-0000-0000-0000281D0000}"/>
    <cellStyle name="Comma 2 2 28 8" xfId="7468" xr:uid="{00000000-0005-0000-0000-0000291D0000}"/>
    <cellStyle name="Comma 2 2 28 9" xfId="7469" xr:uid="{00000000-0005-0000-0000-00002A1D0000}"/>
    <cellStyle name="Comma 2 2 29" xfId="7470" xr:uid="{00000000-0005-0000-0000-00002B1D0000}"/>
    <cellStyle name="Comma 2 2 29 2" xfId="7471" xr:uid="{00000000-0005-0000-0000-00002C1D0000}"/>
    <cellStyle name="Comma 2 2 29 2 2" xfId="7472" xr:uid="{00000000-0005-0000-0000-00002D1D0000}"/>
    <cellStyle name="Comma 2 2 29 2 2 2" xfId="7473" xr:uid="{00000000-0005-0000-0000-00002E1D0000}"/>
    <cellStyle name="Comma 2 2 29 2 2 3" xfId="7474" xr:uid="{00000000-0005-0000-0000-00002F1D0000}"/>
    <cellStyle name="Comma 2 2 29 2 3" xfId="7475" xr:uid="{00000000-0005-0000-0000-0000301D0000}"/>
    <cellStyle name="Comma 2 2 29 2 4" xfId="7476" xr:uid="{00000000-0005-0000-0000-0000311D0000}"/>
    <cellStyle name="Comma 2 2 29 2 5" xfId="7477" xr:uid="{00000000-0005-0000-0000-0000321D0000}"/>
    <cellStyle name="Comma 2 2 29 2 6" xfId="7478" xr:uid="{00000000-0005-0000-0000-0000331D0000}"/>
    <cellStyle name="Comma 2 2 29 3" xfId="7479" xr:uid="{00000000-0005-0000-0000-0000341D0000}"/>
    <cellStyle name="Comma 2 2 29 3 2" xfId="7480" xr:uid="{00000000-0005-0000-0000-0000351D0000}"/>
    <cellStyle name="Comma 2 2 29 3 2 2" xfId="7481" xr:uid="{00000000-0005-0000-0000-0000361D0000}"/>
    <cellStyle name="Comma 2 2 29 3 3" xfId="7482" xr:uid="{00000000-0005-0000-0000-0000371D0000}"/>
    <cellStyle name="Comma 2 2 29 3 4" xfId="7483" xr:uid="{00000000-0005-0000-0000-0000381D0000}"/>
    <cellStyle name="Comma 2 2 29 3 5" xfId="7484" xr:uid="{00000000-0005-0000-0000-0000391D0000}"/>
    <cellStyle name="Comma 2 2 29 4" xfId="7485" xr:uid="{00000000-0005-0000-0000-00003A1D0000}"/>
    <cellStyle name="Comma 2 2 29 4 2" xfId="7486" xr:uid="{00000000-0005-0000-0000-00003B1D0000}"/>
    <cellStyle name="Comma 2 2 29 4 3" xfId="7487" xr:uid="{00000000-0005-0000-0000-00003C1D0000}"/>
    <cellStyle name="Comma 2 2 29 4 4" xfId="7488" xr:uid="{00000000-0005-0000-0000-00003D1D0000}"/>
    <cellStyle name="Comma 2 2 29 5" xfId="7489" xr:uid="{00000000-0005-0000-0000-00003E1D0000}"/>
    <cellStyle name="Comma 2 2 29 5 2" xfId="7490" xr:uid="{00000000-0005-0000-0000-00003F1D0000}"/>
    <cellStyle name="Comma 2 2 29 6" xfId="7491" xr:uid="{00000000-0005-0000-0000-0000401D0000}"/>
    <cellStyle name="Comma 2 2 29 7" xfId="7492" xr:uid="{00000000-0005-0000-0000-0000411D0000}"/>
    <cellStyle name="Comma 2 2 29 8" xfId="7493" xr:uid="{00000000-0005-0000-0000-0000421D0000}"/>
    <cellStyle name="Comma 2 2 29 9" xfId="7494" xr:uid="{00000000-0005-0000-0000-0000431D0000}"/>
    <cellStyle name="Comma 2 2 3" xfId="7495" xr:uid="{00000000-0005-0000-0000-0000441D0000}"/>
    <cellStyle name="Comma 2 2 3 10" xfId="7496" xr:uid="{00000000-0005-0000-0000-0000451D0000}"/>
    <cellStyle name="Comma 2 2 3 10 10" xfId="7497" xr:uid="{00000000-0005-0000-0000-0000461D0000}"/>
    <cellStyle name="Comma 2 2 3 10 2" xfId="7498" xr:uid="{00000000-0005-0000-0000-0000471D0000}"/>
    <cellStyle name="Comma 2 2 3 10 2 2" xfId="7499" xr:uid="{00000000-0005-0000-0000-0000481D0000}"/>
    <cellStyle name="Comma 2 2 3 10 2 2 2" xfId="7500" xr:uid="{00000000-0005-0000-0000-0000491D0000}"/>
    <cellStyle name="Comma 2 2 3 10 2 2 3" xfId="7501" xr:uid="{00000000-0005-0000-0000-00004A1D0000}"/>
    <cellStyle name="Comma 2 2 3 10 2 3" xfId="7502" xr:uid="{00000000-0005-0000-0000-00004B1D0000}"/>
    <cellStyle name="Comma 2 2 3 10 2 4" xfId="7503" xr:uid="{00000000-0005-0000-0000-00004C1D0000}"/>
    <cellStyle name="Comma 2 2 3 10 2 5" xfId="7504" xr:uid="{00000000-0005-0000-0000-00004D1D0000}"/>
    <cellStyle name="Comma 2 2 3 10 2 6" xfId="7505" xr:uid="{00000000-0005-0000-0000-00004E1D0000}"/>
    <cellStyle name="Comma 2 2 3 10 3" xfId="7506" xr:uid="{00000000-0005-0000-0000-00004F1D0000}"/>
    <cellStyle name="Comma 2 2 3 10 3 2" xfId="7507" xr:uid="{00000000-0005-0000-0000-0000501D0000}"/>
    <cellStyle name="Comma 2 2 3 10 3 2 2" xfId="7508" xr:uid="{00000000-0005-0000-0000-0000511D0000}"/>
    <cellStyle name="Comma 2 2 3 10 3 2 3" xfId="7509" xr:uid="{00000000-0005-0000-0000-0000521D0000}"/>
    <cellStyle name="Comma 2 2 3 10 3 3" xfId="7510" xr:uid="{00000000-0005-0000-0000-0000531D0000}"/>
    <cellStyle name="Comma 2 2 3 10 3 4" xfId="7511" xr:uid="{00000000-0005-0000-0000-0000541D0000}"/>
    <cellStyle name="Comma 2 2 3 10 3 5" xfId="7512" xr:uid="{00000000-0005-0000-0000-0000551D0000}"/>
    <cellStyle name="Comma 2 2 3 10 3 6" xfId="7513" xr:uid="{00000000-0005-0000-0000-0000561D0000}"/>
    <cellStyle name="Comma 2 2 3 10 4" xfId="7514" xr:uid="{00000000-0005-0000-0000-0000571D0000}"/>
    <cellStyle name="Comma 2 2 3 10 4 2" xfId="7515" xr:uid="{00000000-0005-0000-0000-0000581D0000}"/>
    <cellStyle name="Comma 2 2 3 10 4 2 2" xfId="7516" xr:uid="{00000000-0005-0000-0000-0000591D0000}"/>
    <cellStyle name="Comma 2 2 3 10 4 3" xfId="7517" xr:uid="{00000000-0005-0000-0000-00005A1D0000}"/>
    <cellStyle name="Comma 2 2 3 10 4 4" xfId="7518" xr:uid="{00000000-0005-0000-0000-00005B1D0000}"/>
    <cellStyle name="Comma 2 2 3 10 4 5" xfId="7519" xr:uid="{00000000-0005-0000-0000-00005C1D0000}"/>
    <cellStyle name="Comma 2 2 3 10 5" xfId="7520" xr:uid="{00000000-0005-0000-0000-00005D1D0000}"/>
    <cellStyle name="Comma 2 2 3 10 5 2" xfId="7521" xr:uid="{00000000-0005-0000-0000-00005E1D0000}"/>
    <cellStyle name="Comma 2 2 3 10 5 3" xfId="7522" xr:uid="{00000000-0005-0000-0000-00005F1D0000}"/>
    <cellStyle name="Comma 2 2 3 10 5 4" xfId="7523" xr:uid="{00000000-0005-0000-0000-0000601D0000}"/>
    <cellStyle name="Comma 2 2 3 10 6" xfId="7524" xr:uid="{00000000-0005-0000-0000-0000611D0000}"/>
    <cellStyle name="Comma 2 2 3 10 6 2" xfId="7525" xr:uid="{00000000-0005-0000-0000-0000621D0000}"/>
    <cellStyle name="Comma 2 2 3 10 7" xfId="7526" xr:uid="{00000000-0005-0000-0000-0000631D0000}"/>
    <cellStyle name="Comma 2 2 3 10 8" xfId="7527" xr:uid="{00000000-0005-0000-0000-0000641D0000}"/>
    <cellStyle name="Comma 2 2 3 10 9" xfId="7528" xr:uid="{00000000-0005-0000-0000-0000651D0000}"/>
    <cellStyle name="Comma 2 2 3 11" xfId="7529" xr:uid="{00000000-0005-0000-0000-0000661D0000}"/>
    <cellStyle name="Comma 2 2 3 11 10" xfId="7530" xr:uid="{00000000-0005-0000-0000-0000671D0000}"/>
    <cellStyle name="Comma 2 2 3 11 2" xfId="7531" xr:uid="{00000000-0005-0000-0000-0000681D0000}"/>
    <cellStyle name="Comma 2 2 3 11 2 2" xfId="7532" xr:uid="{00000000-0005-0000-0000-0000691D0000}"/>
    <cellStyle name="Comma 2 2 3 11 2 2 2" xfId="7533" xr:uid="{00000000-0005-0000-0000-00006A1D0000}"/>
    <cellStyle name="Comma 2 2 3 11 2 2 3" xfId="7534" xr:uid="{00000000-0005-0000-0000-00006B1D0000}"/>
    <cellStyle name="Comma 2 2 3 11 2 3" xfId="7535" xr:uid="{00000000-0005-0000-0000-00006C1D0000}"/>
    <cellStyle name="Comma 2 2 3 11 2 4" xfId="7536" xr:uid="{00000000-0005-0000-0000-00006D1D0000}"/>
    <cellStyle name="Comma 2 2 3 11 2 5" xfId="7537" xr:uid="{00000000-0005-0000-0000-00006E1D0000}"/>
    <cellStyle name="Comma 2 2 3 11 2 6" xfId="7538" xr:uid="{00000000-0005-0000-0000-00006F1D0000}"/>
    <cellStyle name="Comma 2 2 3 11 3" xfId="7539" xr:uid="{00000000-0005-0000-0000-0000701D0000}"/>
    <cellStyle name="Comma 2 2 3 11 3 2" xfId="7540" xr:uid="{00000000-0005-0000-0000-0000711D0000}"/>
    <cellStyle name="Comma 2 2 3 11 3 2 2" xfId="7541" xr:uid="{00000000-0005-0000-0000-0000721D0000}"/>
    <cellStyle name="Comma 2 2 3 11 3 2 3" xfId="7542" xr:uid="{00000000-0005-0000-0000-0000731D0000}"/>
    <cellStyle name="Comma 2 2 3 11 3 3" xfId="7543" xr:uid="{00000000-0005-0000-0000-0000741D0000}"/>
    <cellStyle name="Comma 2 2 3 11 3 4" xfId="7544" xr:uid="{00000000-0005-0000-0000-0000751D0000}"/>
    <cellStyle name="Comma 2 2 3 11 3 5" xfId="7545" xr:uid="{00000000-0005-0000-0000-0000761D0000}"/>
    <cellStyle name="Comma 2 2 3 11 3 6" xfId="7546" xr:uid="{00000000-0005-0000-0000-0000771D0000}"/>
    <cellStyle name="Comma 2 2 3 11 4" xfId="7547" xr:uid="{00000000-0005-0000-0000-0000781D0000}"/>
    <cellStyle name="Comma 2 2 3 11 4 2" xfId="7548" xr:uid="{00000000-0005-0000-0000-0000791D0000}"/>
    <cellStyle name="Comma 2 2 3 11 4 2 2" xfId="7549" xr:uid="{00000000-0005-0000-0000-00007A1D0000}"/>
    <cellStyle name="Comma 2 2 3 11 4 3" xfId="7550" xr:uid="{00000000-0005-0000-0000-00007B1D0000}"/>
    <cellStyle name="Comma 2 2 3 11 4 4" xfId="7551" xr:uid="{00000000-0005-0000-0000-00007C1D0000}"/>
    <cellStyle name="Comma 2 2 3 11 4 5" xfId="7552" xr:uid="{00000000-0005-0000-0000-00007D1D0000}"/>
    <cellStyle name="Comma 2 2 3 11 5" xfId="7553" xr:uid="{00000000-0005-0000-0000-00007E1D0000}"/>
    <cellStyle name="Comma 2 2 3 11 5 2" xfId="7554" xr:uid="{00000000-0005-0000-0000-00007F1D0000}"/>
    <cellStyle name="Comma 2 2 3 11 5 3" xfId="7555" xr:uid="{00000000-0005-0000-0000-0000801D0000}"/>
    <cellStyle name="Comma 2 2 3 11 5 4" xfId="7556" xr:uid="{00000000-0005-0000-0000-0000811D0000}"/>
    <cellStyle name="Comma 2 2 3 11 6" xfId="7557" xr:uid="{00000000-0005-0000-0000-0000821D0000}"/>
    <cellStyle name="Comma 2 2 3 11 6 2" xfId="7558" xr:uid="{00000000-0005-0000-0000-0000831D0000}"/>
    <cellStyle name="Comma 2 2 3 11 7" xfId="7559" xr:uid="{00000000-0005-0000-0000-0000841D0000}"/>
    <cellStyle name="Comma 2 2 3 11 8" xfId="7560" xr:uid="{00000000-0005-0000-0000-0000851D0000}"/>
    <cellStyle name="Comma 2 2 3 11 9" xfId="7561" xr:uid="{00000000-0005-0000-0000-0000861D0000}"/>
    <cellStyle name="Comma 2 2 3 12" xfId="7562" xr:uid="{00000000-0005-0000-0000-0000871D0000}"/>
    <cellStyle name="Comma 2 2 3 12 10" xfId="7563" xr:uid="{00000000-0005-0000-0000-0000881D0000}"/>
    <cellStyle name="Comma 2 2 3 12 2" xfId="7564" xr:uid="{00000000-0005-0000-0000-0000891D0000}"/>
    <cellStyle name="Comma 2 2 3 12 2 2" xfId="7565" xr:uid="{00000000-0005-0000-0000-00008A1D0000}"/>
    <cellStyle name="Comma 2 2 3 12 2 2 2" xfId="7566" xr:uid="{00000000-0005-0000-0000-00008B1D0000}"/>
    <cellStyle name="Comma 2 2 3 12 2 2 3" xfId="7567" xr:uid="{00000000-0005-0000-0000-00008C1D0000}"/>
    <cellStyle name="Comma 2 2 3 12 2 3" xfId="7568" xr:uid="{00000000-0005-0000-0000-00008D1D0000}"/>
    <cellStyle name="Comma 2 2 3 12 2 4" xfId="7569" xr:uid="{00000000-0005-0000-0000-00008E1D0000}"/>
    <cellStyle name="Comma 2 2 3 12 2 5" xfId="7570" xr:uid="{00000000-0005-0000-0000-00008F1D0000}"/>
    <cellStyle name="Comma 2 2 3 12 2 6" xfId="7571" xr:uid="{00000000-0005-0000-0000-0000901D0000}"/>
    <cellStyle name="Comma 2 2 3 12 3" xfId="7572" xr:uid="{00000000-0005-0000-0000-0000911D0000}"/>
    <cellStyle name="Comma 2 2 3 12 3 2" xfId="7573" xr:uid="{00000000-0005-0000-0000-0000921D0000}"/>
    <cellStyle name="Comma 2 2 3 12 3 2 2" xfId="7574" xr:uid="{00000000-0005-0000-0000-0000931D0000}"/>
    <cellStyle name="Comma 2 2 3 12 3 2 3" xfId="7575" xr:uid="{00000000-0005-0000-0000-0000941D0000}"/>
    <cellStyle name="Comma 2 2 3 12 3 3" xfId="7576" xr:uid="{00000000-0005-0000-0000-0000951D0000}"/>
    <cellStyle name="Comma 2 2 3 12 3 4" xfId="7577" xr:uid="{00000000-0005-0000-0000-0000961D0000}"/>
    <cellStyle name="Comma 2 2 3 12 3 5" xfId="7578" xr:uid="{00000000-0005-0000-0000-0000971D0000}"/>
    <cellStyle name="Comma 2 2 3 12 3 6" xfId="7579" xr:uid="{00000000-0005-0000-0000-0000981D0000}"/>
    <cellStyle name="Comma 2 2 3 12 4" xfId="7580" xr:uid="{00000000-0005-0000-0000-0000991D0000}"/>
    <cellStyle name="Comma 2 2 3 12 4 2" xfId="7581" xr:uid="{00000000-0005-0000-0000-00009A1D0000}"/>
    <cellStyle name="Comma 2 2 3 12 4 2 2" xfId="7582" xr:uid="{00000000-0005-0000-0000-00009B1D0000}"/>
    <cellStyle name="Comma 2 2 3 12 4 3" xfId="7583" xr:uid="{00000000-0005-0000-0000-00009C1D0000}"/>
    <cellStyle name="Comma 2 2 3 12 4 4" xfId="7584" xr:uid="{00000000-0005-0000-0000-00009D1D0000}"/>
    <cellStyle name="Comma 2 2 3 12 4 5" xfId="7585" xr:uid="{00000000-0005-0000-0000-00009E1D0000}"/>
    <cellStyle name="Comma 2 2 3 12 5" xfId="7586" xr:uid="{00000000-0005-0000-0000-00009F1D0000}"/>
    <cellStyle name="Comma 2 2 3 12 5 2" xfId="7587" xr:uid="{00000000-0005-0000-0000-0000A01D0000}"/>
    <cellStyle name="Comma 2 2 3 12 5 3" xfId="7588" xr:uid="{00000000-0005-0000-0000-0000A11D0000}"/>
    <cellStyle name="Comma 2 2 3 12 5 4" xfId="7589" xr:uid="{00000000-0005-0000-0000-0000A21D0000}"/>
    <cellStyle name="Comma 2 2 3 12 6" xfId="7590" xr:uid="{00000000-0005-0000-0000-0000A31D0000}"/>
    <cellStyle name="Comma 2 2 3 12 6 2" xfId="7591" xr:uid="{00000000-0005-0000-0000-0000A41D0000}"/>
    <cellStyle name="Comma 2 2 3 12 7" xfId="7592" xr:uid="{00000000-0005-0000-0000-0000A51D0000}"/>
    <cellStyle name="Comma 2 2 3 12 8" xfId="7593" xr:uid="{00000000-0005-0000-0000-0000A61D0000}"/>
    <cellStyle name="Comma 2 2 3 12 9" xfId="7594" xr:uid="{00000000-0005-0000-0000-0000A71D0000}"/>
    <cellStyle name="Comma 2 2 3 13" xfId="7595" xr:uid="{00000000-0005-0000-0000-0000A81D0000}"/>
    <cellStyle name="Comma 2 2 3 13 2" xfId="7596" xr:uid="{00000000-0005-0000-0000-0000A91D0000}"/>
    <cellStyle name="Comma 2 2 3 13 2 2" xfId="7597" xr:uid="{00000000-0005-0000-0000-0000AA1D0000}"/>
    <cellStyle name="Comma 2 2 3 13 2 2 2" xfId="7598" xr:uid="{00000000-0005-0000-0000-0000AB1D0000}"/>
    <cellStyle name="Comma 2 2 3 13 2 2 3" xfId="7599" xr:uid="{00000000-0005-0000-0000-0000AC1D0000}"/>
    <cellStyle name="Comma 2 2 3 13 2 3" xfId="7600" xr:uid="{00000000-0005-0000-0000-0000AD1D0000}"/>
    <cellStyle name="Comma 2 2 3 13 2 4" xfId="7601" xr:uid="{00000000-0005-0000-0000-0000AE1D0000}"/>
    <cellStyle name="Comma 2 2 3 13 2 5" xfId="7602" xr:uid="{00000000-0005-0000-0000-0000AF1D0000}"/>
    <cellStyle name="Comma 2 2 3 13 2 6" xfId="7603" xr:uid="{00000000-0005-0000-0000-0000B01D0000}"/>
    <cellStyle name="Comma 2 2 3 13 3" xfId="7604" xr:uid="{00000000-0005-0000-0000-0000B11D0000}"/>
    <cellStyle name="Comma 2 2 3 13 3 2" xfId="7605" xr:uid="{00000000-0005-0000-0000-0000B21D0000}"/>
    <cellStyle name="Comma 2 2 3 13 3 2 2" xfId="7606" xr:uid="{00000000-0005-0000-0000-0000B31D0000}"/>
    <cellStyle name="Comma 2 2 3 13 3 3" xfId="7607" xr:uid="{00000000-0005-0000-0000-0000B41D0000}"/>
    <cellStyle name="Comma 2 2 3 13 3 4" xfId="7608" xr:uid="{00000000-0005-0000-0000-0000B51D0000}"/>
    <cellStyle name="Comma 2 2 3 13 3 5" xfId="7609" xr:uid="{00000000-0005-0000-0000-0000B61D0000}"/>
    <cellStyle name="Comma 2 2 3 13 4" xfId="7610" xr:uid="{00000000-0005-0000-0000-0000B71D0000}"/>
    <cellStyle name="Comma 2 2 3 13 4 2" xfId="7611" xr:uid="{00000000-0005-0000-0000-0000B81D0000}"/>
    <cellStyle name="Comma 2 2 3 13 4 3" xfId="7612" xr:uid="{00000000-0005-0000-0000-0000B91D0000}"/>
    <cellStyle name="Comma 2 2 3 13 4 4" xfId="7613" xr:uid="{00000000-0005-0000-0000-0000BA1D0000}"/>
    <cellStyle name="Comma 2 2 3 13 5" xfId="7614" xr:uid="{00000000-0005-0000-0000-0000BB1D0000}"/>
    <cellStyle name="Comma 2 2 3 13 5 2" xfId="7615" xr:uid="{00000000-0005-0000-0000-0000BC1D0000}"/>
    <cellStyle name="Comma 2 2 3 13 6" xfId="7616" xr:uid="{00000000-0005-0000-0000-0000BD1D0000}"/>
    <cellStyle name="Comma 2 2 3 13 7" xfId="7617" xr:uid="{00000000-0005-0000-0000-0000BE1D0000}"/>
    <cellStyle name="Comma 2 2 3 13 8" xfId="7618" xr:uid="{00000000-0005-0000-0000-0000BF1D0000}"/>
    <cellStyle name="Comma 2 2 3 13 9" xfId="7619" xr:uid="{00000000-0005-0000-0000-0000C01D0000}"/>
    <cellStyle name="Comma 2 2 3 14" xfId="7620" xr:uid="{00000000-0005-0000-0000-0000C11D0000}"/>
    <cellStyle name="Comma 2 2 3 14 2" xfId="7621" xr:uid="{00000000-0005-0000-0000-0000C21D0000}"/>
    <cellStyle name="Comma 2 2 3 14 2 2" xfId="7622" xr:uid="{00000000-0005-0000-0000-0000C31D0000}"/>
    <cellStyle name="Comma 2 2 3 14 2 2 2" xfId="7623" xr:uid="{00000000-0005-0000-0000-0000C41D0000}"/>
    <cellStyle name="Comma 2 2 3 14 2 2 3" xfId="7624" xr:uid="{00000000-0005-0000-0000-0000C51D0000}"/>
    <cellStyle name="Comma 2 2 3 14 2 3" xfId="7625" xr:uid="{00000000-0005-0000-0000-0000C61D0000}"/>
    <cellStyle name="Comma 2 2 3 14 2 4" xfId="7626" xr:uid="{00000000-0005-0000-0000-0000C71D0000}"/>
    <cellStyle name="Comma 2 2 3 14 2 5" xfId="7627" xr:uid="{00000000-0005-0000-0000-0000C81D0000}"/>
    <cellStyle name="Comma 2 2 3 14 2 6" xfId="7628" xr:uid="{00000000-0005-0000-0000-0000C91D0000}"/>
    <cellStyle name="Comma 2 2 3 14 3" xfId="7629" xr:uid="{00000000-0005-0000-0000-0000CA1D0000}"/>
    <cellStyle name="Comma 2 2 3 14 3 2" xfId="7630" xr:uid="{00000000-0005-0000-0000-0000CB1D0000}"/>
    <cellStyle name="Comma 2 2 3 14 3 2 2" xfId="7631" xr:uid="{00000000-0005-0000-0000-0000CC1D0000}"/>
    <cellStyle name="Comma 2 2 3 14 3 3" xfId="7632" xr:uid="{00000000-0005-0000-0000-0000CD1D0000}"/>
    <cellStyle name="Comma 2 2 3 14 3 4" xfId="7633" xr:uid="{00000000-0005-0000-0000-0000CE1D0000}"/>
    <cellStyle name="Comma 2 2 3 14 3 5" xfId="7634" xr:uid="{00000000-0005-0000-0000-0000CF1D0000}"/>
    <cellStyle name="Comma 2 2 3 14 4" xfId="7635" xr:uid="{00000000-0005-0000-0000-0000D01D0000}"/>
    <cellStyle name="Comma 2 2 3 14 4 2" xfId="7636" xr:uid="{00000000-0005-0000-0000-0000D11D0000}"/>
    <cellStyle name="Comma 2 2 3 14 4 3" xfId="7637" xr:uid="{00000000-0005-0000-0000-0000D21D0000}"/>
    <cellStyle name="Comma 2 2 3 14 4 4" xfId="7638" xr:uid="{00000000-0005-0000-0000-0000D31D0000}"/>
    <cellStyle name="Comma 2 2 3 14 5" xfId="7639" xr:uid="{00000000-0005-0000-0000-0000D41D0000}"/>
    <cellStyle name="Comma 2 2 3 14 5 2" xfId="7640" xr:uid="{00000000-0005-0000-0000-0000D51D0000}"/>
    <cellStyle name="Comma 2 2 3 14 6" xfId="7641" xr:uid="{00000000-0005-0000-0000-0000D61D0000}"/>
    <cellStyle name="Comma 2 2 3 14 7" xfId="7642" xr:uid="{00000000-0005-0000-0000-0000D71D0000}"/>
    <cellStyle name="Comma 2 2 3 14 8" xfId="7643" xr:uid="{00000000-0005-0000-0000-0000D81D0000}"/>
    <cellStyle name="Comma 2 2 3 14 9" xfId="7644" xr:uid="{00000000-0005-0000-0000-0000D91D0000}"/>
    <cellStyle name="Comma 2 2 3 15" xfId="7645" xr:uid="{00000000-0005-0000-0000-0000DA1D0000}"/>
    <cellStyle name="Comma 2 2 3 15 2" xfId="7646" xr:uid="{00000000-0005-0000-0000-0000DB1D0000}"/>
    <cellStyle name="Comma 2 2 3 15 2 2" xfId="7647" xr:uid="{00000000-0005-0000-0000-0000DC1D0000}"/>
    <cellStyle name="Comma 2 2 3 15 2 3" xfId="7648" xr:uid="{00000000-0005-0000-0000-0000DD1D0000}"/>
    <cellStyle name="Comma 2 2 3 15 3" xfId="7649" xr:uid="{00000000-0005-0000-0000-0000DE1D0000}"/>
    <cellStyle name="Comma 2 2 3 15 4" xfId="7650" xr:uid="{00000000-0005-0000-0000-0000DF1D0000}"/>
    <cellStyle name="Comma 2 2 3 15 5" xfId="7651" xr:uid="{00000000-0005-0000-0000-0000E01D0000}"/>
    <cellStyle name="Comma 2 2 3 15 6" xfId="7652" xr:uid="{00000000-0005-0000-0000-0000E11D0000}"/>
    <cellStyle name="Comma 2 2 3 16" xfId="7653" xr:uid="{00000000-0005-0000-0000-0000E21D0000}"/>
    <cellStyle name="Comma 2 2 3 16 2" xfId="7654" xr:uid="{00000000-0005-0000-0000-0000E31D0000}"/>
    <cellStyle name="Comma 2 2 3 16 2 2" xfId="7655" xr:uid="{00000000-0005-0000-0000-0000E41D0000}"/>
    <cellStyle name="Comma 2 2 3 16 3" xfId="7656" xr:uid="{00000000-0005-0000-0000-0000E51D0000}"/>
    <cellStyle name="Comma 2 2 3 16 4" xfId="7657" xr:uid="{00000000-0005-0000-0000-0000E61D0000}"/>
    <cellStyle name="Comma 2 2 3 16 5" xfId="7658" xr:uid="{00000000-0005-0000-0000-0000E71D0000}"/>
    <cellStyle name="Comma 2 2 3 17" xfId="7659" xr:uid="{00000000-0005-0000-0000-0000E81D0000}"/>
    <cellStyle name="Comma 2 2 3 17 2" xfId="7660" xr:uid="{00000000-0005-0000-0000-0000E91D0000}"/>
    <cellStyle name="Comma 2 2 3 17 2 2" xfId="7661" xr:uid="{00000000-0005-0000-0000-0000EA1D0000}"/>
    <cellStyle name="Comma 2 2 3 17 3" xfId="7662" xr:uid="{00000000-0005-0000-0000-0000EB1D0000}"/>
    <cellStyle name="Comma 2 2 3 17 4" xfId="7663" xr:uid="{00000000-0005-0000-0000-0000EC1D0000}"/>
    <cellStyle name="Comma 2 2 3 17 5" xfId="7664" xr:uid="{00000000-0005-0000-0000-0000ED1D0000}"/>
    <cellStyle name="Comma 2 2 3 18" xfId="7665" xr:uid="{00000000-0005-0000-0000-0000EE1D0000}"/>
    <cellStyle name="Comma 2 2 3 18 2" xfId="7666" xr:uid="{00000000-0005-0000-0000-0000EF1D0000}"/>
    <cellStyle name="Comma 2 2 3 19" xfId="7667" xr:uid="{00000000-0005-0000-0000-0000F01D0000}"/>
    <cellStyle name="Comma 2 2 3 2" xfId="7668" xr:uid="{00000000-0005-0000-0000-0000F11D0000}"/>
    <cellStyle name="Comma 2 2 3 2 10" xfId="7669" xr:uid="{00000000-0005-0000-0000-0000F21D0000}"/>
    <cellStyle name="Comma 2 2 3 2 11" xfId="7670" xr:uid="{00000000-0005-0000-0000-0000F31D0000}"/>
    <cellStyle name="Comma 2 2 3 2 2" xfId="7671" xr:uid="{00000000-0005-0000-0000-0000F41D0000}"/>
    <cellStyle name="Comma 2 2 3 2 2 2" xfId="7672" xr:uid="{00000000-0005-0000-0000-0000F51D0000}"/>
    <cellStyle name="Comma 2 2 3 2 2 2 2" xfId="7673" xr:uid="{00000000-0005-0000-0000-0000F61D0000}"/>
    <cellStyle name="Comma 2 2 3 2 2 2 2 2" xfId="7674" xr:uid="{00000000-0005-0000-0000-0000F71D0000}"/>
    <cellStyle name="Comma 2 2 3 2 2 2 2 3" xfId="7675" xr:uid="{00000000-0005-0000-0000-0000F81D0000}"/>
    <cellStyle name="Comma 2 2 3 2 2 2 3" xfId="7676" xr:uid="{00000000-0005-0000-0000-0000F91D0000}"/>
    <cellStyle name="Comma 2 2 3 2 2 2 4" xfId="7677" xr:uid="{00000000-0005-0000-0000-0000FA1D0000}"/>
    <cellStyle name="Comma 2 2 3 2 2 2 5" xfId="7678" xr:uid="{00000000-0005-0000-0000-0000FB1D0000}"/>
    <cellStyle name="Comma 2 2 3 2 2 2 6" xfId="7679" xr:uid="{00000000-0005-0000-0000-0000FC1D0000}"/>
    <cellStyle name="Comma 2 2 3 2 2 3" xfId="7680" xr:uid="{00000000-0005-0000-0000-0000FD1D0000}"/>
    <cellStyle name="Comma 2 2 3 2 2 3 2" xfId="7681" xr:uid="{00000000-0005-0000-0000-0000FE1D0000}"/>
    <cellStyle name="Comma 2 2 3 2 2 3 2 2" xfId="7682" xr:uid="{00000000-0005-0000-0000-0000FF1D0000}"/>
    <cellStyle name="Comma 2 2 3 2 2 3 3" xfId="7683" xr:uid="{00000000-0005-0000-0000-0000001E0000}"/>
    <cellStyle name="Comma 2 2 3 2 2 3 4" xfId="7684" xr:uid="{00000000-0005-0000-0000-0000011E0000}"/>
    <cellStyle name="Comma 2 2 3 2 2 3 5" xfId="7685" xr:uid="{00000000-0005-0000-0000-0000021E0000}"/>
    <cellStyle name="Comma 2 2 3 2 2 4" xfId="7686" xr:uid="{00000000-0005-0000-0000-0000031E0000}"/>
    <cellStyle name="Comma 2 2 3 2 2 4 2" xfId="7687" xr:uid="{00000000-0005-0000-0000-0000041E0000}"/>
    <cellStyle name="Comma 2 2 3 2 2 4 3" xfId="7688" xr:uid="{00000000-0005-0000-0000-0000051E0000}"/>
    <cellStyle name="Comma 2 2 3 2 2 4 4" xfId="7689" xr:uid="{00000000-0005-0000-0000-0000061E0000}"/>
    <cellStyle name="Comma 2 2 3 2 2 5" xfId="7690" xr:uid="{00000000-0005-0000-0000-0000071E0000}"/>
    <cellStyle name="Comma 2 2 3 2 2 5 2" xfId="7691" xr:uid="{00000000-0005-0000-0000-0000081E0000}"/>
    <cellStyle name="Comma 2 2 3 2 2 6" xfId="7692" xr:uid="{00000000-0005-0000-0000-0000091E0000}"/>
    <cellStyle name="Comma 2 2 3 2 2 7" xfId="7693" xr:uid="{00000000-0005-0000-0000-00000A1E0000}"/>
    <cellStyle name="Comma 2 2 3 2 2 8" xfId="7694" xr:uid="{00000000-0005-0000-0000-00000B1E0000}"/>
    <cellStyle name="Comma 2 2 3 2 2 9" xfId="7695" xr:uid="{00000000-0005-0000-0000-00000C1E0000}"/>
    <cellStyle name="Comma 2 2 3 2 3" xfId="7696" xr:uid="{00000000-0005-0000-0000-00000D1E0000}"/>
    <cellStyle name="Comma 2 2 3 2 3 2" xfId="7697" xr:uid="{00000000-0005-0000-0000-00000E1E0000}"/>
    <cellStyle name="Comma 2 2 3 2 3 2 2" xfId="7698" xr:uid="{00000000-0005-0000-0000-00000F1E0000}"/>
    <cellStyle name="Comma 2 2 3 2 3 2 2 2" xfId="7699" xr:uid="{00000000-0005-0000-0000-0000101E0000}"/>
    <cellStyle name="Comma 2 2 3 2 3 2 2 3" xfId="7700" xr:uid="{00000000-0005-0000-0000-0000111E0000}"/>
    <cellStyle name="Comma 2 2 3 2 3 2 3" xfId="7701" xr:uid="{00000000-0005-0000-0000-0000121E0000}"/>
    <cellStyle name="Comma 2 2 3 2 3 2 4" xfId="7702" xr:uid="{00000000-0005-0000-0000-0000131E0000}"/>
    <cellStyle name="Comma 2 2 3 2 3 2 5" xfId="7703" xr:uid="{00000000-0005-0000-0000-0000141E0000}"/>
    <cellStyle name="Comma 2 2 3 2 3 2 6" xfId="7704" xr:uid="{00000000-0005-0000-0000-0000151E0000}"/>
    <cellStyle name="Comma 2 2 3 2 3 3" xfId="7705" xr:uid="{00000000-0005-0000-0000-0000161E0000}"/>
    <cellStyle name="Comma 2 2 3 2 3 3 2" xfId="7706" xr:uid="{00000000-0005-0000-0000-0000171E0000}"/>
    <cellStyle name="Comma 2 2 3 2 3 3 2 2" xfId="7707" xr:uid="{00000000-0005-0000-0000-0000181E0000}"/>
    <cellStyle name="Comma 2 2 3 2 3 3 3" xfId="7708" xr:uid="{00000000-0005-0000-0000-0000191E0000}"/>
    <cellStyle name="Comma 2 2 3 2 3 3 4" xfId="7709" xr:uid="{00000000-0005-0000-0000-00001A1E0000}"/>
    <cellStyle name="Comma 2 2 3 2 3 3 5" xfId="7710" xr:uid="{00000000-0005-0000-0000-00001B1E0000}"/>
    <cellStyle name="Comma 2 2 3 2 3 4" xfId="7711" xr:uid="{00000000-0005-0000-0000-00001C1E0000}"/>
    <cellStyle name="Comma 2 2 3 2 3 4 2" xfId="7712" xr:uid="{00000000-0005-0000-0000-00001D1E0000}"/>
    <cellStyle name="Comma 2 2 3 2 3 4 3" xfId="7713" xr:uid="{00000000-0005-0000-0000-00001E1E0000}"/>
    <cellStyle name="Comma 2 2 3 2 3 4 4" xfId="7714" xr:uid="{00000000-0005-0000-0000-00001F1E0000}"/>
    <cellStyle name="Comma 2 2 3 2 3 5" xfId="7715" xr:uid="{00000000-0005-0000-0000-0000201E0000}"/>
    <cellStyle name="Comma 2 2 3 2 3 5 2" xfId="7716" xr:uid="{00000000-0005-0000-0000-0000211E0000}"/>
    <cellStyle name="Comma 2 2 3 2 3 6" xfId="7717" xr:uid="{00000000-0005-0000-0000-0000221E0000}"/>
    <cellStyle name="Comma 2 2 3 2 3 7" xfId="7718" xr:uid="{00000000-0005-0000-0000-0000231E0000}"/>
    <cellStyle name="Comma 2 2 3 2 3 8" xfId="7719" xr:uid="{00000000-0005-0000-0000-0000241E0000}"/>
    <cellStyle name="Comma 2 2 3 2 3 9" xfId="7720" xr:uid="{00000000-0005-0000-0000-0000251E0000}"/>
    <cellStyle name="Comma 2 2 3 2 4" xfId="7721" xr:uid="{00000000-0005-0000-0000-0000261E0000}"/>
    <cellStyle name="Comma 2 2 3 2 4 2" xfId="7722" xr:uid="{00000000-0005-0000-0000-0000271E0000}"/>
    <cellStyle name="Comma 2 2 3 2 4 2 2" xfId="7723" xr:uid="{00000000-0005-0000-0000-0000281E0000}"/>
    <cellStyle name="Comma 2 2 3 2 4 2 3" xfId="7724" xr:uid="{00000000-0005-0000-0000-0000291E0000}"/>
    <cellStyle name="Comma 2 2 3 2 4 3" xfId="7725" xr:uid="{00000000-0005-0000-0000-00002A1E0000}"/>
    <cellStyle name="Comma 2 2 3 2 4 4" xfId="7726" xr:uid="{00000000-0005-0000-0000-00002B1E0000}"/>
    <cellStyle name="Comma 2 2 3 2 4 5" xfId="7727" xr:uid="{00000000-0005-0000-0000-00002C1E0000}"/>
    <cellStyle name="Comma 2 2 3 2 4 6" xfId="7728" xr:uid="{00000000-0005-0000-0000-00002D1E0000}"/>
    <cellStyle name="Comma 2 2 3 2 5" xfId="7729" xr:uid="{00000000-0005-0000-0000-00002E1E0000}"/>
    <cellStyle name="Comma 2 2 3 2 5 2" xfId="7730" xr:uid="{00000000-0005-0000-0000-00002F1E0000}"/>
    <cellStyle name="Comma 2 2 3 2 5 2 2" xfId="7731" xr:uid="{00000000-0005-0000-0000-0000301E0000}"/>
    <cellStyle name="Comma 2 2 3 2 5 3" xfId="7732" xr:uid="{00000000-0005-0000-0000-0000311E0000}"/>
    <cellStyle name="Comma 2 2 3 2 5 4" xfId="7733" xr:uid="{00000000-0005-0000-0000-0000321E0000}"/>
    <cellStyle name="Comma 2 2 3 2 5 5" xfId="7734" xr:uid="{00000000-0005-0000-0000-0000331E0000}"/>
    <cellStyle name="Comma 2 2 3 2 6" xfId="7735" xr:uid="{00000000-0005-0000-0000-0000341E0000}"/>
    <cellStyle name="Comma 2 2 3 2 6 2" xfId="7736" xr:uid="{00000000-0005-0000-0000-0000351E0000}"/>
    <cellStyle name="Comma 2 2 3 2 6 3" xfId="7737" xr:uid="{00000000-0005-0000-0000-0000361E0000}"/>
    <cellStyle name="Comma 2 2 3 2 6 4" xfId="7738" xr:uid="{00000000-0005-0000-0000-0000371E0000}"/>
    <cellStyle name="Comma 2 2 3 2 7" xfId="7739" xr:uid="{00000000-0005-0000-0000-0000381E0000}"/>
    <cellStyle name="Comma 2 2 3 2 7 2" xfId="7740" xr:uid="{00000000-0005-0000-0000-0000391E0000}"/>
    <cellStyle name="Comma 2 2 3 2 8" xfId="7741" xr:uid="{00000000-0005-0000-0000-00003A1E0000}"/>
    <cellStyle name="Comma 2 2 3 2 9" xfId="7742" xr:uid="{00000000-0005-0000-0000-00003B1E0000}"/>
    <cellStyle name="Comma 2 2 3 20" xfId="7743" xr:uid="{00000000-0005-0000-0000-00003C1E0000}"/>
    <cellStyle name="Comma 2 2 3 21" xfId="7744" xr:uid="{00000000-0005-0000-0000-00003D1E0000}"/>
    <cellStyle name="Comma 2 2 3 22" xfId="7745" xr:uid="{00000000-0005-0000-0000-00003E1E0000}"/>
    <cellStyle name="Comma 2 2 3 3" xfId="7746" xr:uid="{00000000-0005-0000-0000-00003F1E0000}"/>
    <cellStyle name="Comma 2 2 3 3 10" xfId="7747" xr:uid="{00000000-0005-0000-0000-0000401E0000}"/>
    <cellStyle name="Comma 2 2 3 3 11" xfId="7748" xr:uid="{00000000-0005-0000-0000-0000411E0000}"/>
    <cellStyle name="Comma 2 2 3 3 2" xfId="7749" xr:uid="{00000000-0005-0000-0000-0000421E0000}"/>
    <cellStyle name="Comma 2 2 3 3 2 2" xfId="7750" xr:uid="{00000000-0005-0000-0000-0000431E0000}"/>
    <cellStyle name="Comma 2 2 3 3 2 2 2" xfId="7751" xr:uid="{00000000-0005-0000-0000-0000441E0000}"/>
    <cellStyle name="Comma 2 2 3 3 2 2 2 2" xfId="7752" xr:uid="{00000000-0005-0000-0000-0000451E0000}"/>
    <cellStyle name="Comma 2 2 3 3 2 2 2 3" xfId="7753" xr:uid="{00000000-0005-0000-0000-0000461E0000}"/>
    <cellStyle name="Comma 2 2 3 3 2 2 3" xfId="7754" xr:uid="{00000000-0005-0000-0000-0000471E0000}"/>
    <cellStyle name="Comma 2 2 3 3 2 2 4" xfId="7755" xr:uid="{00000000-0005-0000-0000-0000481E0000}"/>
    <cellStyle name="Comma 2 2 3 3 2 2 5" xfId="7756" xr:uid="{00000000-0005-0000-0000-0000491E0000}"/>
    <cellStyle name="Comma 2 2 3 3 2 2 6" xfId="7757" xr:uid="{00000000-0005-0000-0000-00004A1E0000}"/>
    <cellStyle name="Comma 2 2 3 3 2 3" xfId="7758" xr:uid="{00000000-0005-0000-0000-00004B1E0000}"/>
    <cellStyle name="Comma 2 2 3 3 2 3 2" xfId="7759" xr:uid="{00000000-0005-0000-0000-00004C1E0000}"/>
    <cellStyle name="Comma 2 2 3 3 2 3 2 2" xfId="7760" xr:uid="{00000000-0005-0000-0000-00004D1E0000}"/>
    <cellStyle name="Comma 2 2 3 3 2 3 3" xfId="7761" xr:uid="{00000000-0005-0000-0000-00004E1E0000}"/>
    <cellStyle name="Comma 2 2 3 3 2 3 4" xfId="7762" xr:uid="{00000000-0005-0000-0000-00004F1E0000}"/>
    <cellStyle name="Comma 2 2 3 3 2 3 5" xfId="7763" xr:uid="{00000000-0005-0000-0000-0000501E0000}"/>
    <cellStyle name="Comma 2 2 3 3 2 4" xfId="7764" xr:uid="{00000000-0005-0000-0000-0000511E0000}"/>
    <cellStyle name="Comma 2 2 3 3 2 4 2" xfId="7765" xr:uid="{00000000-0005-0000-0000-0000521E0000}"/>
    <cellStyle name="Comma 2 2 3 3 2 4 3" xfId="7766" xr:uid="{00000000-0005-0000-0000-0000531E0000}"/>
    <cellStyle name="Comma 2 2 3 3 2 4 4" xfId="7767" xr:uid="{00000000-0005-0000-0000-0000541E0000}"/>
    <cellStyle name="Comma 2 2 3 3 2 5" xfId="7768" xr:uid="{00000000-0005-0000-0000-0000551E0000}"/>
    <cellStyle name="Comma 2 2 3 3 2 5 2" xfId="7769" xr:uid="{00000000-0005-0000-0000-0000561E0000}"/>
    <cellStyle name="Comma 2 2 3 3 2 6" xfId="7770" xr:uid="{00000000-0005-0000-0000-0000571E0000}"/>
    <cellStyle name="Comma 2 2 3 3 2 7" xfId="7771" xr:uid="{00000000-0005-0000-0000-0000581E0000}"/>
    <cellStyle name="Comma 2 2 3 3 2 8" xfId="7772" xr:uid="{00000000-0005-0000-0000-0000591E0000}"/>
    <cellStyle name="Comma 2 2 3 3 2 9" xfId="7773" xr:uid="{00000000-0005-0000-0000-00005A1E0000}"/>
    <cellStyle name="Comma 2 2 3 3 3" xfId="7774" xr:uid="{00000000-0005-0000-0000-00005B1E0000}"/>
    <cellStyle name="Comma 2 2 3 3 3 2" xfId="7775" xr:uid="{00000000-0005-0000-0000-00005C1E0000}"/>
    <cellStyle name="Comma 2 2 3 3 3 2 2" xfId="7776" xr:uid="{00000000-0005-0000-0000-00005D1E0000}"/>
    <cellStyle name="Comma 2 2 3 3 3 2 2 2" xfId="7777" xr:uid="{00000000-0005-0000-0000-00005E1E0000}"/>
    <cellStyle name="Comma 2 2 3 3 3 2 2 3" xfId="7778" xr:uid="{00000000-0005-0000-0000-00005F1E0000}"/>
    <cellStyle name="Comma 2 2 3 3 3 2 3" xfId="7779" xr:uid="{00000000-0005-0000-0000-0000601E0000}"/>
    <cellStyle name="Comma 2 2 3 3 3 2 4" xfId="7780" xr:uid="{00000000-0005-0000-0000-0000611E0000}"/>
    <cellStyle name="Comma 2 2 3 3 3 2 5" xfId="7781" xr:uid="{00000000-0005-0000-0000-0000621E0000}"/>
    <cellStyle name="Comma 2 2 3 3 3 2 6" xfId="7782" xr:uid="{00000000-0005-0000-0000-0000631E0000}"/>
    <cellStyle name="Comma 2 2 3 3 3 3" xfId="7783" xr:uid="{00000000-0005-0000-0000-0000641E0000}"/>
    <cellStyle name="Comma 2 2 3 3 3 3 2" xfId="7784" xr:uid="{00000000-0005-0000-0000-0000651E0000}"/>
    <cellStyle name="Comma 2 2 3 3 3 3 2 2" xfId="7785" xr:uid="{00000000-0005-0000-0000-0000661E0000}"/>
    <cellStyle name="Comma 2 2 3 3 3 3 3" xfId="7786" xr:uid="{00000000-0005-0000-0000-0000671E0000}"/>
    <cellStyle name="Comma 2 2 3 3 3 3 4" xfId="7787" xr:uid="{00000000-0005-0000-0000-0000681E0000}"/>
    <cellStyle name="Comma 2 2 3 3 3 3 5" xfId="7788" xr:uid="{00000000-0005-0000-0000-0000691E0000}"/>
    <cellStyle name="Comma 2 2 3 3 3 4" xfId="7789" xr:uid="{00000000-0005-0000-0000-00006A1E0000}"/>
    <cellStyle name="Comma 2 2 3 3 3 4 2" xfId="7790" xr:uid="{00000000-0005-0000-0000-00006B1E0000}"/>
    <cellStyle name="Comma 2 2 3 3 3 4 3" xfId="7791" xr:uid="{00000000-0005-0000-0000-00006C1E0000}"/>
    <cellStyle name="Comma 2 2 3 3 3 4 4" xfId="7792" xr:uid="{00000000-0005-0000-0000-00006D1E0000}"/>
    <cellStyle name="Comma 2 2 3 3 3 5" xfId="7793" xr:uid="{00000000-0005-0000-0000-00006E1E0000}"/>
    <cellStyle name="Comma 2 2 3 3 3 5 2" xfId="7794" xr:uid="{00000000-0005-0000-0000-00006F1E0000}"/>
    <cellStyle name="Comma 2 2 3 3 3 6" xfId="7795" xr:uid="{00000000-0005-0000-0000-0000701E0000}"/>
    <cellStyle name="Comma 2 2 3 3 3 7" xfId="7796" xr:uid="{00000000-0005-0000-0000-0000711E0000}"/>
    <cellStyle name="Comma 2 2 3 3 3 8" xfId="7797" xr:uid="{00000000-0005-0000-0000-0000721E0000}"/>
    <cellStyle name="Comma 2 2 3 3 3 9" xfId="7798" xr:uid="{00000000-0005-0000-0000-0000731E0000}"/>
    <cellStyle name="Comma 2 2 3 3 4" xfId="7799" xr:uid="{00000000-0005-0000-0000-0000741E0000}"/>
    <cellStyle name="Comma 2 2 3 3 4 2" xfId="7800" xr:uid="{00000000-0005-0000-0000-0000751E0000}"/>
    <cellStyle name="Comma 2 2 3 3 4 2 2" xfId="7801" xr:uid="{00000000-0005-0000-0000-0000761E0000}"/>
    <cellStyle name="Comma 2 2 3 3 4 2 3" xfId="7802" xr:uid="{00000000-0005-0000-0000-0000771E0000}"/>
    <cellStyle name="Comma 2 2 3 3 4 3" xfId="7803" xr:uid="{00000000-0005-0000-0000-0000781E0000}"/>
    <cellStyle name="Comma 2 2 3 3 4 4" xfId="7804" xr:uid="{00000000-0005-0000-0000-0000791E0000}"/>
    <cellStyle name="Comma 2 2 3 3 4 5" xfId="7805" xr:uid="{00000000-0005-0000-0000-00007A1E0000}"/>
    <cellStyle name="Comma 2 2 3 3 4 6" xfId="7806" xr:uid="{00000000-0005-0000-0000-00007B1E0000}"/>
    <cellStyle name="Comma 2 2 3 3 5" xfId="7807" xr:uid="{00000000-0005-0000-0000-00007C1E0000}"/>
    <cellStyle name="Comma 2 2 3 3 5 2" xfId="7808" xr:uid="{00000000-0005-0000-0000-00007D1E0000}"/>
    <cellStyle name="Comma 2 2 3 3 5 2 2" xfId="7809" xr:uid="{00000000-0005-0000-0000-00007E1E0000}"/>
    <cellStyle name="Comma 2 2 3 3 5 3" xfId="7810" xr:uid="{00000000-0005-0000-0000-00007F1E0000}"/>
    <cellStyle name="Comma 2 2 3 3 5 4" xfId="7811" xr:uid="{00000000-0005-0000-0000-0000801E0000}"/>
    <cellStyle name="Comma 2 2 3 3 5 5" xfId="7812" xr:uid="{00000000-0005-0000-0000-0000811E0000}"/>
    <cellStyle name="Comma 2 2 3 3 6" xfId="7813" xr:uid="{00000000-0005-0000-0000-0000821E0000}"/>
    <cellStyle name="Comma 2 2 3 3 6 2" xfId="7814" xr:uid="{00000000-0005-0000-0000-0000831E0000}"/>
    <cellStyle name="Comma 2 2 3 3 6 3" xfId="7815" xr:uid="{00000000-0005-0000-0000-0000841E0000}"/>
    <cellStyle name="Comma 2 2 3 3 6 4" xfId="7816" xr:uid="{00000000-0005-0000-0000-0000851E0000}"/>
    <cellStyle name="Comma 2 2 3 3 7" xfId="7817" xr:uid="{00000000-0005-0000-0000-0000861E0000}"/>
    <cellStyle name="Comma 2 2 3 3 7 2" xfId="7818" xr:uid="{00000000-0005-0000-0000-0000871E0000}"/>
    <cellStyle name="Comma 2 2 3 3 8" xfId="7819" xr:uid="{00000000-0005-0000-0000-0000881E0000}"/>
    <cellStyle name="Comma 2 2 3 3 9" xfId="7820" xr:uid="{00000000-0005-0000-0000-0000891E0000}"/>
    <cellStyle name="Comma 2 2 3 4" xfId="7821" xr:uid="{00000000-0005-0000-0000-00008A1E0000}"/>
    <cellStyle name="Comma 2 2 3 4 10" xfId="7822" xr:uid="{00000000-0005-0000-0000-00008B1E0000}"/>
    <cellStyle name="Comma 2 2 3 4 11" xfId="7823" xr:uid="{00000000-0005-0000-0000-00008C1E0000}"/>
    <cellStyle name="Comma 2 2 3 4 2" xfId="7824" xr:uid="{00000000-0005-0000-0000-00008D1E0000}"/>
    <cellStyle name="Comma 2 2 3 4 2 2" xfId="7825" xr:uid="{00000000-0005-0000-0000-00008E1E0000}"/>
    <cellStyle name="Comma 2 2 3 4 2 2 2" xfId="7826" xr:uid="{00000000-0005-0000-0000-00008F1E0000}"/>
    <cellStyle name="Comma 2 2 3 4 2 2 2 2" xfId="7827" xr:uid="{00000000-0005-0000-0000-0000901E0000}"/>
    <cellStyle name="Comma 2 2 3 4 2 2 2 3" xfId="7828" xr:uid="{00000000-0005-0000-0000-0000911E0000}"/>
    <cellStyle name="Comma 2 2 3 4 2 2 3" xfId="7829" xr:uid="{00000000-0005-0000-0000-0000921E0000}"/>
    <cellStyle name="Comma 2 2 3 4 2 2 4" xfId="7830" xr:uid="{00000000-0005-0000-0000-0000931E0000}"/>
    <cellStyle name="Comma 2 2 3 4 2 2 5" xfId="7831" xr:uid="{00000000-0005-0000-0000-0000941E0000}"/>
    <cellStyle name="Comma 2 2 3 4 2 2 6" xfId="7832" xr:uid="{00000000-0005-0000-0000-0000951E0000}"/>
    <cellStyle name="Comma 2 2 3 4 2 3" xfId="7833" xr:uid="{00000000-0005-0000-0000-0000961E0000}"/>
    <cellStyle name="Comma 2 2 3 4 2 3 2" xfId="7834" xr:uid="{00000000-0005-0000-0000-0000971E0000}"/>
    <cellStyle name="Comma 2 2 3 4 2 3 2 2" xfId="7835" xr:uid="{00000000-0005-0000-0000-0000981E0000}"/>
    <cellStyle name="Comma 2 2 3 4 2 3 3" xfId="7836" xr:uid="{00000000-0005-0000-0000-0000991E0000}"/>
    <cellStyle name="Comma 2 2 3 4 2 3 4" xfId="7837" xr:uid="{00000000-0005-0000-0000-00009A1E0000}"/>
    <cellStyle name="Comma 2 2 3 4 2 3 5" xfId="7838" xr:uid="{00000000-0005-0000-0000-00009B1E0000}"/>
    <cellStyle name="Comma 2 2 3 4 2 4" xfId="7839" xr:uid="{00000000-0005-0000-0000-00009C1E0000}"/>
    <cellStyle name="Comma 2 2 3 4 2 4 2" xfId="7840" xr:uid="{00000000-0005-0000-0000-00009D1E0000}"/>
    <cellStyle name="Comma 2 2 3 4 2 4 3" xfId="7841" xr:uid="{00000000-0005-0000-0000-00009E1E0000}"/>
    <cellStyle name="Comma 2 2 3 4 2 4 4" xfId="7842" xr:uid="{00000000-0005-0000-0000-00009F1E0000}"/>
    <cellStyle name="Comma 2 2 3 4 2 5" xfId="7843" xr:uid="{00000000-0005-0000-0000-0000A01E0000}"/>
    <cellStyle name="Comma 2 2 3 4 2 5 2" xfId="7844" xr:uid="{00000000-0005-0000-0000-0000A11E0000}"/>
    <cellStyle name="Comma 2 2 3 4 2 6" xfId="7845" xr:uid="{00000000-0005-0000-0000-0000A21E0000}"/>
    <cellStyle name="Comma 2 2 3 4 2 7" xfId="7846" xr:uid="{00000000-0005-0000-0000-0000A31E0000}"/>
    <cellStyle name="Comma 2 2 3 4 2 8" xfId="7847" xr:uid="{00000000-0005-0000-0000-0000A41E0000}"/>
    <cellStyle name="Comma 2 2 3 4 2 9" xfId="7848" xr:uid="{00000000-0005-0000-0000-0000A51E0000}"/>
    <cellStyle name="Comma 2 2 3 4 3" xfId="7849" xr:uid="{00000000-0005-0000-0000-0000A61E0000}"/>
    <cellStyle name="Comma 2 2 3 4 3 2" xfId="7850" xr:uid="{00000000-0005-0000-0000-0000A71E0000}"/>
    <cellStyle name="Comma 2 2 3 4 3 2 2" xfId="7851" xr:uid="{00000000-0005-0000-0000-0000A81E0000}"/>
    <cellStyle name="Comma 2 2 3 4 3 2 2 2" xfId="7852" xr:uid="{00000000-0005-0000-0000-0000A91E0000}"/>
    <cellStyle name="Comma 2 2 3 4 3 2 2 3" xfId="7853" xr:uid="{00000000-0005-0000-0000-0000AA1E0000}"/>
    <cellStyle name="Comma 2 2 3 4 3 2 3" xfId="7854" xr:uid="{00000000-0005-0000-0000-0000AB1E0000}"/>
    <cellStyle name="Comma 2 2 3 4 3 2 4" xfId="7855" xr:uid="{00000000-0005-0000-0000-0000AC1E0000}"/>
    <cellStyle name="Comma 2 2 3 4 3 2 5" xfId="7856" xr:uid="{00000000-0005-0000-0000-0000AD1E0000}"/>
    <cellStyle name="Comma 2 2 3 4 3 2 6" xfId="7857" xr:uid="{00000000-0005-0000-0000-0000AE1E0000}"/>
    <cellStyle name="Comma 2 2 3 4 3 3" xfId="7858" xr:uid="{00000000-0005-0000-0000-0000AF1E0000}"/>
    <cellStyle name="Comma 2 2 3 4 3 3 2" xfId="7859" xr:uid="{00000000-0005-0000-0000-0000B01E0000}"/>
    <cellStyle name="Comma 2 2 3 4 3 3 2 2" xfId="7860" xr:uid="{00000000-0005-0000-0000-0000B11E0000}"/>
    <cellStyle name="Comma 2 2 3 4 3 3 3" xfId="7861" xr:uid="{00000000-0005-0000-0000-0000B21E0000}"/>
    <cellStyle name="Comma 2 2 3 4 3 3 4" xfId="7862" xr:uid="{00000000-0005-0000-0000-0000B31E0000}"/>
    <cellStyle name="Comma 2 2 3 4 3 3 5" xfId="7863" xr:uid="{00000000-0005-0000-0000-0000B41E0000}"/>
    <cellStyle name="Comma 2 2 3 4 3 4" xfId="7864" xr:uid="{00000000-0005-0000-0000-0000B51E0000}"/>
    <cellStyle name="Comma 2 2 3 4 3 4 2" xfId="7865" xr:uid="{00000000-0005-0000-0000-0000B61E0000}"/>
    <cellStyle name="Comma 2 2 3 4 3 4 3" xfId="7866" xr:uid="{00000000-0005-0000-0000-0000B71E0000}"/>
    <cellStyle name="Comma 2 2 3 4 3 4 4" xfId="7867" xr:uid="{00000000-0005-0000-0000-0000B81E0000}"/>
    <cellStyle name="Comma 2 2 3 4 3 5" xfId="7868" xr:uid="{00000000-0005-0000-0000-0000B91E0000}"/>
    <cellStyle name="Comma 2 2 3 4 3 5 2" xfId="7869" xr:uid="{00000000-0005-0000-0000-0000BA1E0000}"/>
    <cellStyle name="Comma 2 2 3 4 3 6" xfId="7870" xr:uid="{00000000-0005-0000-0000-0000BB1E0000}"/>
    <cellStyle name="Comma 2 2 3 4 3 7" xfId="7871" xr:uid="{00000000-0005-0000-0000-0000BC1E0000}"/>
    <cellStyle name="Comma 2 2 3 4 3 8" xfId="7872" xr:uid="{00000000-0005-0000-0000-0000BD1E0000}"/>
    <cellStyle name="Comma 2 2 3 4 3 9" xfId="7873" xr:uid="{00000000-0005-0000-0000-0000BE1E0000}"/>
    <cellStyle name="Comma 2 2 3 4 4" xfId="7874" xr:uid="{00000000-0005-0000-0000-0000BF1E0000}"/>
    <cellStyle name="Comma 2 2 3 4 4 2" xfId="7875" xr:uid="{00000000-0005-0000-0000-0000C01E0000}"/>
    <cellStyle name="Comma 2 2 3 4 4 2 2" xfId="7876" xr:uid="{00000000-0005-0000-0000-0000C11E0000}"/>
    <cellStyle name="Comma 2 2 3 4 4 2 3" xfId="7877" xr:uid="{00000000-0005-0000-0000-0000C21E0000}"/>
    <cellStyle name="Comma 2 2 3 4 4 3" xfId="7878" xr:uid="{00000000-0005-0000-0000-0000C31E0000}"/>
    <cellStyle name="Comma 2 2 3 4 4 4" xfId="7879" xr:uid="{00000000-0005-0000-0000-0000C41E0000}"/>
    <cellStyle name="Comma 2 2 3 4 4 5" xfId="7880" xr:uid="{00000000-0005-0000-0000-0000C51E0000}"/>
    <cellStyle name="Comma 2 2 3 4 4 6" xfId="7881" xr:uid="{00000000-0005-0000-0000-0000C61E0000}"/>
    <cellStyle name="Comma 2 2 3 4 5" xfId="7882" xr:uid="{00000000-0005-0000-0000-0000C71E0000}"/>
    <cellStyle name="Comma 2 2 3 4 5 2" xfId="7883" xr:uid="{00000000-0005-0000-0000-0000C81E0000}"/>
    <cellStyle name="Comma 2 2 3 4 5 2 2" xfId="7884" xr:uid="{00000000-0005-0000-0000-0000C91E0000}"/>
    <cellStyle name="Comma 2 2 3 4 5 3" xfId="7885" xr:uid="{00000000-0005-0000-0000-0000CA1E0000}"/>
    <cellStyle name="Comma 2 2 3 4 5 4" xfId="7886" xr:uid="{00000000-0005-0000-0000-0000CB1E0000}"/>
    <cellStyle name="Comma 2 2 3 4 5 5" xfId="7887" xr:uid="{00000000-0005-0000-0000-0000CC1E0000}"/>
    <cellStyle name="Comma 2 2 3 4 6" xfId="7888" xr:uid="{00000000-0005-0000-0000-0000CD1E0000}"/>
    <cellStyle name="Comma 2 2 3 4 6 2" xfId="7889" xr:uid="{00000000-0005-0000-0000-0000CE1E0000}"/>
    <cellStyle name="Comma 2 2 3 4 6 3" xfId="7890" xr:uid="{00000000-0005-0000-0000-0000CF1E0000}"/>
    <cellStyle name="Comma 2 2 3 4 6 4" xfId="7891" xr:uid="{00000000-0005-0000-0000-0000D01E0000}"/>
    <cellStyle name="Comma 2 2 3 4 7" xfId="7892" xr:uid="{00000000-0005-0000-0000-0000D11E0000}"/>
    <cellStyle name="Comma 2 2 3 4 7 2" xfId="7893" xr:uid="{00000000-0005-0000-0000-0000D21E0000}"/>
    <cellStyle name="Comma 2 2 3 4 8" xfId="7894" xr:uid="{00000000-0005-0000-0000-0000D31E0000}"/>
    <cellStyle name="Comma 2 2 3 4 9" xfId="7895" xr:uid="{00000000-0005-0000-0000-0000D41E0000}"/>
    <cellStyle name="Comma 2 2 3 5" xfId="7896" xr:uid="{00000000-0005-0000-0000-0000D51E0000}"/>
    <cellStyle name="Comma 2 2 3 5 10" xfId="7897" xr:uid="{00000000-0005-0000-0000-0000D61E0000}"/>
    <cellStyle name="Comma 2 2 3 5 11" xfId="7898" xr:uid="{00000000-0005-0000-0000-0000D71E0000}"/>
    <cellStyle name="Comma 2 2 3 5 2" xfId="7899" xr:uid="{00000000-0005-0000-0000-0000D81E0000}"/>
    <cellStyle name="Comma 2 2 3 5 2 2" xfId="7900" xr:uid="{00000000-0005-0000-0000-0000D91E0000}"/>
    <cellStyle name="Comma 2 2 3 5 2 2 2" xfId="7901" xr:uid="{00000000-0005-0000-0000-0000DA1E0000}"/>
    <cellStyle name="Comma 2 2 3 5 2 2 2 2" xfId="7902" xr:uid="{00000000-0005-0000-0000-0000DB1E0000}"/>
    <cellStyle name="Comma 2 2 3 5 2 2 2 3" xfId="7903" xr:uid="{00000000-0005-0000-0000-0000DC1E0000}"/>
    <cellStyle name="Comma 2 2 3 5 2 2 3" xfId="7904" xr:uid="{00000000-0005-0000-0000-0000DD1E0000}"/>
    <cellStyle name="Comma 2 2 3 5 2 2 4" xfId="7905" xr:uid="{00000000-0005-0000-0000-0000DE1E0000}"/>
    <cellStyle name="Comma 2 2 3 5 2 2 5" xfId="7906" xr:uid="{00000000-0005-0000-0000-0000DF1E0000}"/>
    <cellStyle name="Comma 2 2 3 5 2 2 6" xfId="7907" xr:uid="{00000000-0005-0000-0000-0000E01E0000}"/>
    <cellStyle name="Comma 2 2 3 5 2 3" xfId="7908" xr:uid="{00000000-0005-0000-0000-0000E11E0000}"/>
    <cellStyle name="Comma 2 2 3 5 2 3 2" xfId="7909" xr:uid="{00000000-0005-0000-0000-0000E21E0000}"/>
    <cellStyle name="Comma 2 2 3 5 2 3 2 2" xfId="7910" xr:uid="{00000000-0005-0000-0000-0000E31E0000}"/>
    <cellStyle name="Comma 2 2 3 5 2 3 3" xfId="7911" xr:uid="{00000000-0005-0000-0000-0000E41E0000}"/>
    <cellStyle name="Comma 2 2 3 5 2 3 4" xfId="7912" xr:uid="{00000000-0005-0000-0000-0000E51E0000}"/>
    <cellStyle name="Comma 2 2 3 5 2 3 5" xfId="7913" xr:uid="{00000000-0005-0000-0000-0000E61E0000}"/>
    <cellStyle name="Comma 2 2 3 5 2 4" xfId="7914" xr:uid="{00000000-0005-0000-0000-0000E71E0000}"/>
    <cellStyle name="Comma 2 2 3 5 2 4 2" xfId="7915" xr:uid="{00000000-0005-0000-0000-0000E81E0000}"/>
    <cellStyle name="Comma 2 2 3 5 2 4 3" xfId="7916" xr:uid="{00000000-0005-0000-0000-0000E91E0000}"/>
    <cellStyle name="Comma 2 2 3 5 2 4 4" xfId="7917" xr:uid="{00000000-0005-0000-0000-0000EA1E0000}"/>
    <cellStyle name="Comma 2 2 3 5 2 5" xfId="7918" xr:uid="{00000000-0005-0000-0000-0000EB1E0000}"/>
    <cellStyle name="Comma 2 2 3 5 2 5 2" xfId="7919" xr:uid="{00000000-0005-0000-0000-0000EC1E0000}"/>
    <cellStyle name="Comma 2 2 3 5 2 6" xfId="7920" xr:uid="{00000000-0005-0000-0000-0000ED1E0000}"/>
    <cellStyle name="Comma 2 2 3 5 2 7" xfId="7921" xr:uid="{00000000-0005-0000-0000-0000EE1E0000}"/>
    <cellStyle name="Comma 2 2 3 5 2 8" xfId="7922" xr:uid="{00000000-0005-0000-0000-0000EF1E0000}"/>
    <cellStyle name="Comma 2 2 3 5 2 9" xfId="7923" xr:uid="{00000000-0005-0000-0000-0000F01E0000}"/>
    <cellStyle name="Comma 2 2 3 5 3" xfId="7924" xr:uid="{00000000-0005-0000-0000-0000F11E0000}"/>
    <cellStyle name="Comma 2 2 3 5 3 2" xfId="7925" xr:uid="{00000000-0005-0000-0000-0000F21E0000}"/>
    <cellStyle name="Comma 2 2 3 5 3 2 2" xfId="7926" xr:uid="{00000000-0005-0000-0000-0000F31E0000}"/>
    <cellStyle name="Comma 2 2 3 5 3 2 2 2" xfId="7927" xr:uid="{00000000-0005-0000-0000-0000F41E0000}"/>
    <cellStyle name="Comma 2 2 3 5 3 2 2 3" xfId="7928" xr:uid="{00000000-0005-0000-0000-0000F51E0000}"/>
    <cellStyle name="Comma 2 2 3 5 3 2 3" xfId="7929" xr:uid="{00000000-0005-0000-0000-0000F61E0000}"/>
    <cellStyle name="Comma 2 2 3 5 3 2 4" xfId="7930" xr:uid="{00000000-0005-0000-0000-0000F71E0000}"/>
    <cellStyle name="Comma 2 2 3 5 3 2 5" xfId="7931" xr:uid="{00000000-0005-0000-0000-0000F81E0000}"/>
    <cellStyle name="Comma 2 2 3 5 3 2 6" xfId="7932" xr:uid="{00000000-0005-0000-0000-0000F91E0000}"/>
    <cellStyle name="Comma 2 2 3 5 3 3" xfId="7933" xr:uid="{00000000-0005-0000-0000-0000FA1E0000}"/>
    <cellStyle name="Comma 2 2 3 5 3 3 2" xfId="7934" xr:uid="{00000000-0005-0000-0000-0000FB1E0000}"/>
    <cellStyle name="Comma 2 2 3 5 3 3 2 2" xfId="7935" xr:uid="{00000000-0005-0000-0000-0000FC1E0000}"/>
    <cellStyle name="Comma 2 2 3 5 3 3 3" xfId="7936" xr:uid="{00000000-0005-0000-0000-0000FD1E0000}"/>
    <cellStyle name="Comma 2 2 3 5 3 3 4" xfId="7937" xr:uid="{00000000-0005-0000-0000-0000FE1E0000}"/>
    <cellStyle name="Comma 2 2 3 5 3 3 5" xfId="7938" xr:uid="{00000000-0005-0000-0000-0000FF1E0000}"/>
    <cellStyle name="Comma 2 2 3 5 3 4" xfId="7939" xr:uid="{00000000-0005-0000-0000-0000001F0000}"/>
    <cellStyle name="Comma 2 2 3 5 3 4 2" xfId="7940" xr:uid="{00000000-0005-0000-0000-0000011F0000}"/>
    <cellStyle name="Comma 2 2 3 5 3 4 3" xfId="7941" xr:uid="{00000000-0005-0000-0000-0000021F0000}"/>
    <cellStyle name="Comma 2 2 3 5 3 4 4" xfId="7942" xr:uid="{00000000-0005-0000-0000-0000031F0000}"/>
    <cellStyle name="Comma 2 2 3 5 3 5" xfId="7943" xr:uid="{00000000-0005-0000-0000-0000041F0000}"/>
    <cellStyle name="Comma 2 2 3 5 3 5 2" xfId="7944" xr:uid="{00000000-0005-0000-0000-0000051F0000}"/>
    <cellStyle name="Comma 2 2 3 5 3 6" xfId="7945" xr:uid="{00000000-0005-0000-0000-0000061F0000}"/>
    <cellStyle name="Comma 2 2 3 5 3 7" xfId="7946" xr:uid="{00000000-0005-0000-0000-0000071F0000}"/>
    <cellStyle name="Comma 2 2 3 5 3 8" xfId="7947" xr:uid="{00000000-0005-0000-0000-0000081F0000}"/>
    <cellStyle name="Comma 2 2 3 5 3 9" xfId="7948" xr:uid="{00000000-0005-0000-0000-0000091F0000}"/>
    <cellStyle name="Comma 2 2 3 5 4" xfId="7949" xr:uid="{00000000-0005-0000-0000-00000A1F0000}"/>
    <cellStyle name="Comma 2 2 3 5 4 2" xfId="7950" xr:uid="{00000000-0005-0000-0000-00000B1F0000}"/>
    <cellStyle name="Comma 2 2 3 5 4 2 2" xfId="7951" xr:uid="{00000000-0005-0000-0000-00000C1F0000}"/>
    <cellStyle name="Comma 2 2 3 5 4 2 3" xfId="7952" xr:uid="{00000000-0005-0000-0000-00000D1F0000}"/>
    <cellStyle name="Comma 2 2 3 5 4 3" xfId="7953" xr:uid="{00000000-0005-0000-0000-00000E1F0000}"/>
    <cellStyle name="Comma 2 2 3 5 4 4" xfId="7954" xr:uid="{00000000-0005-0000-0000-00000F1F0000}"/>
    <cellStyle name="Comma 2 2 3 5 4 5" xfId="7955" xr:uid="{00000000-0005-0000-0000-0000101F0000}"/>
    <cellStyle name="Comma 2 2 3 5 4 6" xfId="7956" xr:uid="{00000000-0005-0000-0000-0000111F0000}"/>
    <cellStyle name="Comma 2 2 3 5 5" xfId="7957" xr:uid="{00000000-0005-0000-0000-0000121F0000}"/>
    <cellStyle name="Comma 2 2 3 5 5 2" xfId="7958" xr:uid="{00000000-0005-0000-0000-0000131F0000}"/>
    <cellStyle name="Comma 2 2 3 5 5 2 2" xfId="7959" xr:uid="{00000000-0005-0000-0000-0000141F0000}"/>
    <cellStyle name="Comma 2 2 3 5 5 3" xfId="7960" xr:uid="{00000000-0005-0000-0000-0000151F0000}"/>
    <cellStyle name="Comma 2 2 3 5 5 4" xfId="7961" xr:uid="{00000000-0005-0000-0000-0000161F0000}"/>
    <cellStyle name="Comma 2 2 3 5 5 5" xfId="7962" xr:uid="{00000000-0005-0000-0000-0000171F0000}"/>
    <cellStyle name="Comma 2 2 3 5 6" xfId="7963" xr:uid="{00000000-0005-0000-0000-0000181F0000}"/>
    <cellStyle name="Comma 2 2 3 5 6 2" xfId="7964" xr:uid="{00000000-0005-0000-0000-0000191F0000}"/>
    <cellStyle name="Comma 2 2 3 5 6 3" xfId="7965" xr:uid="{00000000-0005-0000-0000-00001A1F0000}"/>
    <cellStyle name="Comma 2 2 3 5 6 4" xfId="7966" xr:uid="{00000000-0005-0000-0000-00001B1F0000}"/>
    <cellStyle name="Comma 2 2 3 5 7" xfId="7967" xr:uid="{00000000-0005-0000-0000-00001C1F0000}"/>
    <cellStyle name="Comma 2 2 3 5 7 2" xfId="7968" xr:uid="{00000000-0005-0000-0000-00001D1F0000}"/>
    <cellStyle name="Comma 2 2 3 5 8" xfId="7969" xr:uid="{00000000-0005-0000-0000-00001E1F0000}"/>
    <cellStyle name="Comma 2 2 3 5 9" xfId="7970" xr:uid="{00000000-0005-0000-0000-00001F1F0000}"/>
    <cellStyle name="Comma 2 2 3 6" xfId="7971" xr:uid="{00000000-0005-0000-0000-0000201F0000}"/>
    <cellStyle name="Comma 2 2 3 6 10" xfId="7972" xr:uid="{00000000-0005-0000-0000-0000211F0000}"/>
    <cellStyle name="Comma 2 2 3 6 11" xfId="7973" xr:uid="{00000000-0005-0000-0000-0000221F0000}"/>
    <cellStyle name="Comma 2 2 3 6 2" xfId="7974" xr:uid="{00000000-0005-0000-0000-0000231F0000}"/>
    <cellStyle name="Comma 2 2 3 6 2 2" xfId="7975" xr:uid="{00000000-0005-0000-0000-0000241F0000}"/>
    <cellStyle name="Comma 2 2 3 6 2 2 2" xfId="7976" xr:uid="{00000000-0005-0000-0000-0000251F0000}"/>
    <cellStyle name="Comma 2 2 3 6 2 2 2 2" xfId="7977" xr:uid="{00000000-0005-0000-0000-0000261F0000}"/>
    <cellStyle name="Comma 2 2 3 6 2 2 2 3" xfId="7978" xr:uid="{00000000-0005-0000-0000-0000271F0000}"/>
    <cellStyle name="Comma 2 2 3 6 2 2 3" xfId="7979" xr:uid="{00000000-0005-0000-0000-0000281F0000}"/>
    <cellStyle name="Comma 2 2 3 6 2 2 4" xfId="7980" xr:uid="{00000000-0005-0000-0000-0000291F0000}"/>
    <cellStyle name="Comma 2 2 3 6 2 2 5" xfId="7981" xr:uid="{00000000-0005-0000-0000-00002A1F0000}"/>
    <cellStyle name="Comma 2 2 3 6 2 2 6" xfId="7982" xr:uid="{00000000-0005-0000-0000-00002B1F0000}"/>
    <cellStyle name="Comma 2 2 3 6 2 3" xfId="7983" xr:uid="{00000000-0005-0000-0000-00002C1F0000}"/>
    <cellStyle name="Comma 2 2 3 6 2 3 2" xfId="7984" xr:uid="{00000000-0005-0000-0000-00002D1F0000}"/>
    <cellStyle name="Comma 2 2 3 6 2 3 2 2" xfId="7985" xr:uid="{00000000-0005-0000-0000-00002E1F0000}"/>
    <cellStyle name="Comma 2 2 3 6 2 3 3" xfId="7986" xr:uid="{00000000-0005-0000-0000-00002F1F0000}"/>
    <cellStyle name="Comma 2 2 3 6 2 3 4" xfId="7987" xr:uid="{00000000-0005-0000-0000-0000301F0000}"/>
    <cellStyle name="Comma 2 2 3 6 2 3 5" xfId="7988" xr:uid="{00000000-0005-0000-0000-0000311F0000}"/>
    <cellStyle name="Comma 2 2 3 6 2 4" xfId="7989" xr:uid="{00000000-0005-0000-0000-0000321F0000}"/>
    <cellStyle name="Comma 2 2 3 6 2 4 2" xfId="7990" xr:uid="{00000000-0005-0000-0000-0000331F0000}"/>
    <cellStyle name="Comma 2 2 3 6 2 4 3" xfId="7991" xr:uid="{00000000-0005-0000-0000-0000341F0000}"/>
    <cellStyle name="Comma 2 2 3 6 2 4 4" xfId="7992" xr:uid="{00000000-0005-0000-0000-0000351F0000}"/>
    <cellStyle name="Comma 2 2 3 6 2 5" xfId="7993" xr:uid="{00000000-0005-0000-0000-0000361F0000}"/>
    <cellStyle name="Comma 2 2 3 6 2 5 2" xfId="7994" xr:uid="{00000000-0005-0000-0000-0000371F0000}"/>
    <cellStyle name="Comma 2 2 3 6 2 6" xfId="7995" xr:uid="{00000000-0005-0000-0000-0000381F0000}"/>
    <cellStyle name="Comma 2 2 3 6 2 7" xfId="7996" xr:uid="{00000000-0005-0000-0000-0000391F0000}"/>
    <cellStyle name="Comma 2 2 3 6 2 8" xfId="7997" xr:uid="{00000000-0005-0000-0000-00003A1F0000}"/>
    <cellStyle name="Comma 2 2 3 6 2 9" xfId="7998" xr:uid="{00000000-0005-0000-0000-00003B1F0000}"/>
    <cellStyle name="Comma 2 2 3 6 3" xfId="7999" xr:uid="{00000000-0005-0000-0000-00003C1F0000}"/>
    <cellStyle name="Comma 2 2 3 6 3 2" xfId="8000" xr:uid="{00000000-0005-0000-0000-00003D1F0000}"/>
    <cellStyle name="Comma 2 2 3 6 3 2 2" xfId="8001" xr:uid="{00000000-0005-0000-0000-00003E1F0000}"/>
    <cellStyle name="Comma 2 2 3 6 3 2 2 2" xfId="8002" xr:uid="{00000000-0005-0000-0000-00003F1F0000}"/>
    <cellStyle name="Comma 2 2 3 6 3 2 2 3" xfId="8003" xr:uid="{00000000-0005-0000-0000-0000401F0000}"/>
    <cellStyle name="Comma 2 2 3 6 3 2 3" xfId="8004" xr:uid="{00000000-0005-0000-0000-0000411F0000}"/>
    <cellStyle name="Comma 2 2 3 6 3 2 4" xfId="8005" xr:uid="{00000000-0005-0000-0000-0000421F0000}"/>
    <cellStyle name="Comma 2 2 3 6 3 2 5" xfId="8006" xr:uid="{00000000-0005-0000-0000-0000431F0000}"/>
    <cellStyle name="Comma 2 2 3 6 3 2 6" xfId="8007" xr:uid="{00000000-0005-0000-0000-0000441F0000}"/>
    <cellStyle name="Comma 2 2 3 6 3 3" xfId="8008" xr:uid="{00000000-0005-0000-0000-0000451F0000}"/>
    <cellStyle name="Comma 2 2 3 6 3 3 2" xfId="8009" xr:uid="{00000000-0005-0000-0000-0000461F0000}"/>
    <cellStyle name="Comma 2 2 3 6 3 3 2 2" xfId="8010" xr:uid="{00000000-0005-0000-0000-0000471F0000}"/>
    <cellStyle name="Comma 2 2 3 6 3 3 3" xfId="8011" xr:uid="{00000000-0005-0000-0000-0000481F0000}"/>
    <cellStyle name="Comma 2 2 3 6 3 3 4" xfId="8012" xr:uid="{00000000-0005-0000-0000-0000491F0000}"/>
    <cellStyle name="Comma 2 2 3 6 3 3 5" xfId="8013" xr:uid="{00000000-0005-0000-0000-00004A1F0000}"/>
    <cellStyle name="Comma 2 2 3 6 3 4" xfId="8014" xr:uid="{00000000-0005-0000-0000-00004B1F0000}"/>
    <cellStyle name="Comma 2 2 3 6 3 4 2" xfId="8015" xr:uid="{00000000-0005-0000-0000-00004C1F0000}"/>
    <cellStyle name="Comma 2 2 3 6 3 4 3" xfId="8016" xr:uid="{00000000-0005-0000-0000-00004D1F0000}"/>
    <cellStyle name="Comma 2 2 3 6 3 4 4" xfId="8017" xr:uid="{00000000-0005-0000-0000-00004E1F0000}"/>
    <cellStyle name="Comma 2 2 3 6 3 5" xfId="8018" xr:uid="{00000000-0005-0000-0000-00004F1F0000}"/>
    <cellStyle name="Comma 2 2 3 6 3 5 2" xfId="8019" xr:uid="{00000000-0005-0000-0000-0000501F0000}"/>
    <cellStyle name="Comma 2 2 3 6 3 6" xfId="8020" xr:uid="{00000000-0005-0000-0000-0000511F0000}"/>
    <cellStyle name="Comma 2 2 3 6 3 7" xfId="8021" xr:uid="{00000000-0005-0000-0000-0000521F0000}"/>
    <cellStyle name="Comma 2 2 3 6 3 8" xfId="8022" xr:uid="{00000000-0005-0000-0000-0000531F0000}"/>
    <cellStyle name="Comma 2 2 3 6 3 9" xfId="8023" xr:uid="{00000000-0005-0000-0000-0000541F0000}"/>
    <cellStyle name="Comma 2 2 3 6 4" xfId="8024" xr:uid="{00000000-0005-0000-0000-0000551F0000}"/>
    <cellStyle name="Comma 2 2 3 6 4 2" xfId="8025" xr:uid="{00000000-0005-0000-0000-0000561F0000}"/>
    <cellStyle name="Comma 2 2 3 6 4 2 2" xfId="8026" xr:uid="{00000000-0005-0000-0000-0000571F0000}"/>
    <cellStyle name="Comma 2 2 3 6 4 2 3" xfId="8027" xr:uid="{00000000-0005-0000-0000-0000581F0000}"/>
    <cellStyle name="Comma 2 2 3 6 4 3" xfId="8028" xr:uid="{00000000-0005-0000-0000-0000591F0000}"/>
    <cellStyle name="Comma 2 2 3 6 4 4" xfId="8029" xr:uid="{00000000-0005-0000-0000-00005A1F0000}"/>
    <cellStyle name="Comma 2 2 3 6 4 5" xfId="8030" xr:uid="{00000000-0005-0000-0000-00005B1F0000}"/>
    <cellStyle name="Comma 2 2 3 6 4 6" xfId="8031" xr:uid="{00000000-0005-0000-0000-00005C1F0000}"/>
    <cellStyle name="Comma 2 2 3 6 5" xfId="8032" xr:uid="{00000000-0005-0000-0000-00005D1F0000}"/>
    <cellStyle name="Comma 2 2 3 6 5 2" xfId="8033" xr:uid="{00000000-0005-0000-0000-00005E1F0000}"/>
    <cellStyle name="Comma 2 2 3 6 5 2 2" xfId="8034" xr:uid="{00000000-0005-0000-0000-00005F1F0000}"/>
    <cellStyle name="Comma 2 2 3 6 5 3" xfId="8035" xr:uid="{00000000-0005-0000-0000-0000601F0000}"/>
    <cellStyle name="Comma 2 2 3 6 5 4" xfId="8036" xr:uid="{00000000-0005-0000-0000-0000611F0000}"/>
    <cellStyle name="Comma 2 2 3 6 5 5" xfId="8037" xr:uid="{00000000-0005-0000-0000-0000621F0000}"/>
    <cellStyle name="Comma 2 2 3 6 6" xfId="8038" xr:uid="{00000000-0005-0000-0000-0000631F0000}"/>
    <cellStyle name="Comma 2 2 3 6 6 2" xfId="8039" xr:uid="{00000000-0005-0000-0000-0000641F0000}"/>
    <cellStyle name="Comma 2 2 3 6 6 3" xfId="8040" xr:uid="{00000000-0005-0000-0000-0000651F0000}"/>
    <cellStyle name="Comma 2 2 3 6 6 4" xfId="8041" xr:uid="{00000000-0005-0000-0000-0000661F0000}"/>
    <cellStyle name="Comma 2 2 3 6 7" xfId="8042" xr:uid="{00000000-0005-0000-0000-0000671F0000}"/>
    <cellStyle name="Comma 2 2 3 6 7 2" xfId="8043" xr:uid="{00000000-0005-0000-0000-0000681F0000}"/>
    <cellStyle name="Comma 2 2 3 6 8" xfId="8044" xr:uid="{00000000-0005-0000-0000-0000691F0000}"/>
    <cellStyle name="Comma 2 2 3 6 9" xfId="8045" xr:uid="{00000000-0005-0000-0000-00006A1F0000}"/>
    <cellStyle name="Comma 2 2 3 7" xfId="8046" xr:uid="{00000000-0005-0000-0000-00006B1F0000}"/>
    <cellStyle name="Comma 2 2 3 7 10" xfId="8047" xr:uid="{00000000-0005-0000-0000-00006C1F0000}"/>
    <cellStyle name="Comma 2 2 3 7 11" xfId="8048" xr:uid="{00000000-0005-0000-0000-00006D1F0000}"/>
    <cellStyle name="Comma 2 2 3 7 2" xfId="8049" xr:uid="{00000000-0005-0000-0000-00006E1F0000}"/>
    <cellStyle name="Comma 2 2 3 7 2 2" xfId="8050" xr:uid="{00000000-0005-0000-0000-00006F1F0000}"/>
    <cellStyle name="Comma 2 2 3 7 2 2 2" xfId="8051" xr:uid="{00000000-0005-0000-0000-0000701F0000}"/>
    <cellStyle name="Comma 2 2 3 7 2 2 2 2" xfId="8052" xr:uid="{00000000-0005-0000-0000-0000711F0000}"/>
    <cellStyle name="Comma 2 2 3 7 2 2 2 3" xfId="8053" xr:uid="{00000000-0005-0000-0000-0000721F0000}"/>
    <cellStyle name="Comma 2 2 3 7 2 2 3" xfId="8054" xr:uid="{00000000-0005-0000-0000-0000731F0000}"/>
    <cellStyle name="Comma 2 2 3 7 2 2 4" xfId="8055" xr:uid="{00000000-0005-0000-0000-0000741F0000}"/>
    <cellStyle name="Comma 2 2 3 7 2 2 5" xfId="8056" xr:uid="{00000000-0005-0000-0000-0000751F0000}"/>
    <cellStyle name="Comma 2 2 3 7 2 2 6" xfId="8057" xr:uid="{00000000-0005-0000-0000-0000761F0000}"/>
    <cellStyle name="Comma 2 2 3 7 2 3" xfId="8058" xr:uid="{00000000-0005-0000-0000-0000771F0000}"/>
    <cellStyle name="Comma 2 2 3 7 2 3 2" xfId="8059" xr:uid="{00000000-0005-0000-0000-0000781F0000}"/>
    <cellStyle name="Comma 2 2 3 7 2 3 2 2" xfId="8060" xr:uid="{00000000-0005-0000-0000-0000791F0000}"/>
    <cellStyle name="Comma 2 2 3 7 2 3 3" xfId="8061" xr:uid="{00000000-0005-0000-0000-00007A1F0000}"/>
    <cellStyle name="Comma 2 2 3 7 2 3 4" xfId="8062" xr:uid="{00000000-0005-0000-0000-00007B1F0000}"/>
    <cellStyle name="Comma 2 2 3 7 2 3 5" xfId="8063" xr:uid="{00000000-0005-0000-0000-00007C1F0000}"/>
    <cellStyle name="Comma 2 2 3 7 2 4" xfId="8064" xr:uid="{00000000-0005-0000-0000-00007D1F0000}"/>
    <cellStyle name="Comma 2 2 3 7 2 4 2" xfId="8065" xr:uid="{00000000-0005-0000-0000-00007E1F0000}"/>
    <cellStyle name="Comma 2 2 3 7 2 4 3" xfId="8066" xr:uid="{00000000-0005-0000-0000-00007F1F0000}"/>
    <cellStyle name="Comma 2 2 3 7 2 4 4" xfId="8067" xr:uid="{00000000-0005-0000-0000-0000801F0000}"/>
    <cellStyle name="Comma 2 2 3 7 2 5" xfId="8068" xr:uid="{00000000-0005-0000-0000-0000811F0000}"/>
    <cellStyle name="Comma 2 2 3 7 2 5 2" xfId="8069" xr:uid="{00000000-0005-0000-0000-0000821F0000}"/>
    <cellStyle name="Comma 2 2 3 7 2 6" xfId="8070" xr:uid="{00000000-0005-0000-0000-0000831F0000}"/>
    <cellStyle name="Comma 2 2 3 7 2 7" xfId="8071" xr:uid="{00000000-0005-0000-0000-0000841F0000}"/>
    <cellStyle name="Comma 2 2 3 7 2 8" xfId="8072" xr:uid="{00000000-0005-0000-0000-0000851F0000}"/>
    <cellStyle name="Comma 2 2 3 7 2 9" xfId="8073" xr:uid="{00000000-0005-0000-0000-0000861F0000}"/>
    <cellStyle name="Comma 2 2 3 7 3" xfId="8074" xr:uid="{00000000-0005-0000-0000-0000871F0000}"/>
    <cellStyle name="Comma 2 2 3 7 3 2" xfId="8075" xr:uid="{00000000-0005-0000-0000-0000881F0000}"/>
    <cellStyle name="Comma 2 2 3 7 3 2 2" xfId="8076" xr:uid="{00000000-0005-0000-0000-0000891F0000}"/>
    <cellStyle name="Comma 2 2 3 7 3 2 2 2" xfId="8077" xr:uid="{00000000-0005-0000-0000-00008A1F0000}"/>
    <cellStyle name="Comma 2 2 3 7 3 2 2 3" xfId="8078" xr:uid="{00000000-0005-0000-0000-00008B1F0000}"/>
    <cellStyle name="Comma 2 2 3 7 3 2 3" xfId="8079" xr:uid="{00000000-0005-0000-0000-00008C1F0000}"/>
    <cellStyle name="Comma 2 2 3 7 3 2 4" xfId="8080" xr:uid="{00000000-0005-0000-0000-00008D1F0000}"/>
    <cellStyle name="Comma 2 2 3 7 3 2 5" xfId="8081" xr:uid="{00000000-0005-0000-0000-00008E1F0000}"/>
    <cellStyle name="Comma 2 2 3 7 3 2 6" xfId="8082" xr:uid="{00000000-0005-0000-0000-00008F1F0000}"/>
    <cellStyle name="Comma 2 2 3 7 3 3" xfId="8083" xr:uid="{00000000-0005-0000-0000-0000901F0000}"/>
    <cellStyle name="Comma 2 2 3 7 3 3 2" xfId="8084" xr:uid="{00000000-0005-0000-0000-0000911F0000}"/>
    <cellStyle name="Comma 2 2 3 7 3 3 2 2" xfId="8085" xr:uid="{00000000-0005-0000-0000-0000921F0000}"/>
    <cellStyle name="Comma 2 2 3 7 3 3 3" xfId="8086" xr:uid="{00000000-0005-0000-0000-0000931F0000}"/>
    <cellStyle name="Comma 2 2 3 7 3 3 4" xfId="8087" xr:uid="{00000000-0005-0000-0000-0000941F0000}"/>
    <cellStyle name="Comma 2 2 3 7 3 3 5" xfId="8088" xr:uid="{00000000-0005-0000-0000-0000951F0000}"/>
    <cellStyle name="Comma 2 2 3 7 3 4" xfId="8089" xr:uid="{00000000-0005-0000-0000-0000961F0000}"/>
    <cellStyle name="Comma 2 2 3 7 3 4 2" xfId="8090" xr:uid="{00000000-0005-0000-0000-0000971F0000}"/>
    <cellStyle name="Comma 2 2 3 7 3 4 3" xfId="8091" xr:uid="{00000000-0005-0000-0000-0000981F0000}"/>
    <cellStyle name="Comma 2 2 3 7 3 4 4" xfId="8092" xr:uid="{00000000-0005-0000-0000-0000991F0000}"/>
    <cellStyle name="Comma 2 2 3 7 3 5" xfId="8093" xr:uid="{00000000-0005-0000-0000-00009A1F0000}"/>
    <cellStyle name="Comma 2 2 3 7 3 5 2" xfId="8094" xr:uid="{00000000-0005-0000-0000-00009B1F0000}"/>
    <cellStyle name="Comma 2 2 3 7 3 6" xfId="8095" xr:uid="{00000000-0005-0000-0000-00009C1F0000}"/>
    <cellStyle name="Comma 2 2 3 7 3 7" xfId="8096" xr:uid="{00000000-0005-0000-0000-00009D1F0000}"/>
    <cellStyle name="Comma 2 2 3 7 3 8" xfId="8097" xr:uid="{00000000-0005-0000-0000-00009E1F0000}"/>
    <cellStyle name="Comma 2 2 3 7 3 9" xfId="8098" xr:uid="{00000000-0005-0000-0000-00009F1F0000}"/>
    <cellStyle name="Comma 2 2 3 7 4" xfId="8099" xr:uid="{00000000-0005-0000-0000-0000A01F0000}"/>
    <cellStyle name="Comma 2 2 3 7 4 2" xfId="8100" xr:uid="{00000000-0005-0000-0000-0000A11F0000}"/>
    <cellStyle name="Comma 2 2 3 7 4 2 2" xfId="8101" xr:uid="{00000000-0005-0000-0000-0000A21F0000}"/>
    <cellStyle name="Comma 2 2 3 7 4 2 3" xfId="8102" xr:uid="{00000000-0005-0000-0000-0000A31F0000}"/>
    <cellStyle name="Comma 2 2 3 7 4 3" xfId="8103" xr:uid="{00000000-0005-0000-0000-0000A41F0000}"/>
    <cellStyle name="Comma 2 2 3 7 4 4" xfId="8104" xr:uid="{00000000-0005-0000-0000-0000A51F0000}"/>
    <cellStyle name="Comma 2 2 3 7 4 5" xfId="8105" xr:uid="{00000000-0005-0000-0000-0000A61F0000}"/>
    <cellStyle name="Comma 2 2 3 7 4 6" xfId="8106" xr:uid="{00000000-0005-0000-0000-0000A71F0000}"/>
    <cellStyle name="Comma 2 2 3 7 5" xfId="8107" xr:uid="{00000000-0005-0000-0000-0000A81F0000}"/>
    <cellStyle name="Comma 2 2 3 7 5 2" xfId="8108" xr:uid="{00000000-0005-0000-0000-0000A91F0000}"/>
    <cellStyle name="Comma 2 2 3 7 5 2 2" xfId="8109" xr:uid="{00000000-0005-0000-0000-0000AA1F0000}"/>
    <cellStyle name="Comma 2 2 3 7 5 3" xfId="8110" xr:uid="{00000000-0005-0000-0000-0000AB1F0000}"/>
    <cellStyle name="Comma 2 2 3 7 5 4" xfId="8111" xr:uid="{00000000-0005-0000-0000-0000AC1F0000}"/>
    <cellStyle name="Comma 2 2 3 7 5 5" xfId="8112" xr:uid="{00000000-0005-0000-0000-0000AD1F0000}"/>
    <cellStyle name="Comma 2 2 3 7 6" xfId="8113" xr:uid="{00000000-0005-0000-0000-0000AE1F0000}"/>
    <cellStyle name="Comma 2 2 3 7 6 2" xfId="8114" xr:uid="{00000000-0005-0000-0000-0000AF1F0000}"/>
    <cellStyle name="Comma 2 2 3 7 6 3" xfId="8115" xr:uid="{00000000-0005-0000-0000-0000B01F0000}"/>
    <cellStyle name="Comma 2 2 3 7 6 4" xfId="8116" xr:uid="{00000000-0005-0000-0000-0000B11F0000}"/>
    <cellStyle name="Comma 2 2 3 7 7" xfId="8117" xr:uid="{00000000-0005-0000-0000-0000B21F0000}"/>
    <cellStyle name="Comma 2 2 3 7 7 2" xfId="8118" xr:uid="{00000000-0005-0000-0000-0000B31F0000}"/>
    <cellStyle name="Comma 2 2 3 7 8" xfId="8119" xr:uid="{00000000-0005-0000-0000-0000B41F0000}"/>
    <cellStyle name="Comma 2 2 3 7 9" xfId="8120" xr:uid="{00000000-0005-0000-0000-0000B51F0000}"/>
    <cellStyle name="Comma 2 2 3 8" xfId="8121" xr:uid="{00000000-0005-0000-0000-0000B61F0000}"/>
    <cellStyle name="Comma 2 2 3 8 10" xfId="8122" xr:uid="{00000000-0005-0000-0000-0000B71F0000}"/>
    <cellStyle name="Comma 2 2 3 8 2" xfId="8123" xr:uid="{00000000-0005-0000-0000-0000B81F0000}"/>
    <cellStyle name="Comma 2 2 3 8 2 2" xfId="8124" xr:uid="{00000000-0005-0000-0000-0000B91F0000}"/>
    <cellStyle name="Comma 2 2 3 8 2 2 2" xfId="8125" xr:uid="{00000000-0005-0000-0000-0000BA1F0000}"/>
    <cellStyle name="Comma 2 2 3 8 2 2 3" xfId="8126" xr:uid="{00000000-0005-0000-0000-0000BB1F0000}"/>
    <cellStyle name="Comma 2 2 3 8 2 3" xfId="8127" xr:uid="{00000000-0005-0000-0000-0000BC1F0000}"/>
    <cellStyle name="Comma 2 2 3 8 2 4" xfId="8128" xr:uid="{00000000-0005-0000-0000-0000BD1F0000}"/>
    <cellStyle name="Comma 2 2 3 8 2 5" xfId="8129" xr:uid="{00000000-0005-0000-0000-0000BE1F0000}"/>
    <cellStyle name="Comma 2 2 3 8 2 6" xfId="8130" xr:uid="{00000000-0005-0000-0000-0000BF1F0000}"/>
    <cellStyle name="Comma 2 2 3 8 3" xfId="8131" xr:uid="{00000000-0005-0000-0000-0000C01F0000}"/>
    <cellStyle name="Comma 2 2 3 8 3 2" xfId="8132" xr:uid="{00000000-0005-0000-0000-0000C11F0000}"/>
    <cellStyle name="Comma 2 2 3 8 3 2 2" xfId="8133" xr:uid="{00000000-0005-0000-0000-0000C21F0000}"/>
    <cellStyle name="Comma 2 2 3 8 3 2 3" xfId="8134" xr:uid="{00000000-0005-0000-0000-0000C31F0000}"/>
    <cellStyle name="Comma 2 2 3 8 3 3" xfId="8135" xr:uid="{00000000-0005-0000-0000-0000C41F0000}"/>
    <cellStyle name="Comma 2 2 3 8 3 4" xfId="8136" xr:uid="{00000000-0005-0000-0000-0000C51F0000}"/>
    <cellStyle name="Comma 2 2 3 8 3 5" xfId="8137" xr:uid="{00000000-0005-0000-0000-0000C61F0000}"/>
    <cellStyle name="Comma 2 2 3 8 3 6" xfId="8138" xr:uid="{00000000-0005-0000-0000-0000C71F0000}"/>
    <cellStyle name="Comma 2 2 3 8 4" xfId="8139" xr:uid="{00000000-0005-0000-0000-0000C81F0000}"/>
    <cellStyle name="Comma 2 2 3 8 4 2" xfId="8140" xr:uid="{00000000-0005-0000-0000-0000C91F0000}"/>
    <cellStyle name="Comma 2 2 3 8 4 2 2" xfId="8141" xr:uid="{00000000-0005-0000-0000-0000CA1F0000}"/>
    <cellStyle name="Comma 2 2 3 8 4 3" xfId="8142" xr:uid="{00000000-0005-0000-0000-0000CB1F0000}"/>
    <cellStyle name="Comma 2 2 3 8 4 4" xfId="8143" xr:uid="{00000000-0005-0000-0000-0000CC1F0000}"/>
    <cellStyle name="Comma 2 2 3 8 4 5" xfId="8144" xr:uid="{00000000-0005-0000-0000-0000CD1F0000}"/>
    <cellStyle name="Comma 2 2 3 8 5" xfId="8145" xr:uid="{00000000-0005-0000-0000-0000CE1F0000}"/>
    <cellStyle name="Comma 2 2 3 8 5 2" xfId="8146" xr:uid="{00000000-0005-0000-0000-0000CF1F0000}"/>
    <cellStyle name="Comma 2 2 3 8 5 3" xfId="8147" xr:uid="{00000000-0005-0000-0000-0000D01F0000}"/>
    <cellStyle name="Comma 2 2 3 8 5 4" xfId="8148" xr:uid="{00000000-0005-0000-0000-0000D11F0000}"/>
    <cellStyle name="Comma 2 2 3 8 6" xfId="8149" xr:uid="{00000000-0005-0000-0000-0000D21F0000}"/>
    <cellStyle name="Comma 2 2 3 8 6 2" xfId="8150" xr:uid="{00000000-0005-0000-0000-0000D31F0000}"/>
    <cellStyle name="Comma 2 2 3 8 7" xfId="8151" xr:uid="{00000000-0005-0000-0000-0000D41F0000}"/>
    <cellStyle name="Comma 2 2 3 8 8" xfId="8152" xr:uid="{00000000-0005-0000-0000-0000D51F0000}"/>
    <cellStyle name="Comma 2 2 3 8 9" xfId="8153" xr:uid="{00000000-0005-0000-0000-0000D61F0000}"/>
    <cellStyle name="Comma 2 2 3 9" xfId="8154" xr:uid="{00000000-0005-0000-0000-0000D71F0000}"/>
    <cellStyle name="Comma 2 2 3 9 10" xfId="8155" xr:uid="{00000000-0005-0000-0000-0000D81F0000}"/>
    <cellStyle name="Comma 2 2 3 9 2" xfId="8156" xr:uid="{00000000-0005-0000-0000-0000D91F0000}"/>
    <cellStyle name="Comma 2 2 3 9 2 2" xfId="8157" xr:uid="{00000000-0005-0000-0000-0000DA1F0000}"/>
    <cellStyle name="Comma 2 2 3 9 2 2 2" xfId="8158" xr:uid="{00000000-0005-0000-0000-0000DB1F0000}"/>
    <cellStyle name="Comma 2 2 3 9 2 2 3" xfId="8159" xr:uid="{00000000-0005-0000-0000-0000DC1F0000}"/>
    <cellStyle name="Comma 2 2 3 9 2 3" xfId="8160" xr:uid="{00000000-0005-0000-0000-0000DD1F0000}"/>
    <cellStyle name="Comma 2 2 3 9 2 4" xfId="8161" xr:uid="{00000000-0005-0000-0000-0000DE1F0000}"/>
    <cellStyle name="Comma 2 2 3 9 2 5" xfId="8162" xr:uid="{00000000-0005-0000-0000-0000DF1F0000}"/>
    <cellStyle name="Comma 2 2 3 9 2 6" xfId="8163" xr:uid="{00000000-0005-0000-0000-0000E01F0000}"/>
    <cellStyle name="Comma 2 2 3 9 3" xfId="8164" xr:uid="{00000000-0005-0000-0000-0000E11F0000}"/>
    <cellStyle name="Comma 2 2 3 9 3 2" xfId="8165" xr:uid="{00000000-0005-0000-0000-0000E21F0000}"/>
    <cellStyle name="Comma 2 2 3 9 3 2 2" xfId="8166" xr:uid="{00000000-0005-0000-0000-0000E31F0000}"/>
    <cellStyle name="Comma 2 2 3 9 3 2 3" xfId="8167" xr:uid="{00000000-0005-0000-0000-0000E41F0000}"/>
    <cellStyle name="Comma 2 2 3 9 3 3" xfId="8168" xr:uid="{00000000-0005-0000-0000-0000E51F0000}"/>
    <cellStyle name="Comma 2 2 3 9 3 4" xfId="8169" xr:uid="{00000000-0005-0000-0000-0000E61F0000}"/>
    <cellStyle name="Comma 2 2 3 9 3 5" xfId="8170" xr:uid="{00000000-0005-0000-0000-0000E71F0000}"/>
    <cellStyle name="Comma 2 2 3 9 3 6" xfId="8171" xr:uid="{00000000-0005-0000-0000-0000E81F0000}"/>
    <cellStyle name="Comma 2 2 3 9 4" xfId="8172" xr:uid="{00000000-0005-0000-0000-0000E91F0000}"/>
    <cellStyle name="Comma 2 2 3 9 4 2" xfId="8173" xr:uid="{00000000-0005-0000-0000-0000EA1F0000}"/>
    <cellStyle name="Comma 2 2 3 9 4 2 2" xfId="8174" xr:uid="{00000000-0005-0000-0000-0000EB1F0000}"/>
    <cellStyle name="Comma 2 2 3 9 4 3" xfId="8175" xr:uid="{00000000-0005-0000-0000-0000EC1F0000}"/>
    <cellStyle name="Comma 2 2 3 9 4 4" xfId="8176" xr:uid="{00000000-0005-0000-0000-0000ED1F0000}"/>
    <cellStyle name="Comma 2 2 3 9 4 5" xfId="8177" xr:uid="{00000000-0005-0000-0000-0000EE1F0000}"/>
    <cellStyle name="Comma 2 2 3 9 5" xfId="8178" xr:uid="{00000000-0005-0000-0000-0000EF1F0000}"/>
    <cellStyle name="Comma 2 2 3 9 5 2" xfId="8179" xr:uid="{00000000-0005-0000-0000-0000F01F0000}"/>
    <cellStyle name="Comma 2 2 3 9 5 3" xfId="8180" xr:uid="{00000000-0005-0000-0000-0000F11F0000}"/>
    <cellStyle name="Comma 2 2 3 9 5 4" xfId="8181" xr:uid="{00000000-0005-0000-0000-0000F21F0000}"/>
    <cellStyle name="Comma 2 2 3 9 6" xfId="8182" xr:uid="{00000000-0005-0000-0000-0000F31F0000}"/>
    <cellStyle name="Comma 2 2 3 9 6 2" xfId="8183" xr:uid="{00000000-0005-0000-0000-0000F41F0000}"/>
    <cellStyle name="Comma 2 2 3 9 7" xfId="8184" xr:uid="{00000000-0005-0000-0000-0000F51F0000}"/>
    <cellStyle name="Comma 2 2 3 9 8" xfId="8185" xr:uid="{00000000-0005-0000-0000-0000F61F0000}"/>
    <cellStyle name="Comma 2 2 3 9 9" xfId="8186" xr:uid="{00000000-0005-0000-0000-0000F71F0000}"/>
    <cellStyle name="Comma 2 2 30" xfId="8187" xr:uid="{00000000-0005-0000-0000-0000F81F0000}"/>
    <cellStyle name="Comma 2 2 30 2" xfId="8188" xr:uid="{00000000-0005-0000-0000-0000F91F0000}"/>
    <cellStyle name="Comma 2 2 30 2 2" xfId="8189" xr:uid="{00000000-0005-0000-0000-0000FA1F0000}"/>
    <cellStyle name="Comma 2 2 30 2 2 2" xfId="8190" xr:uid="{00000000-0005-0000-0000-0000FB1F0000}"/>
    <cellStyle name="Comma 2 2 30 2 2 3" xfId="8191" xr:uid="{00000000-0005-0000-0000-0000FC1F0000}"/>
    <cellStyle name="Comma 2 2 30 2 3" xfId="8192" xr:uid="{00000000-0005-0000-0000-0000FD1F0000}"/>
    <cellStyle name="Comma 2 2 30 2 4" xfId="8193" xr:uid="{00000000-0005-0000-0000-0000FE1F0000}"/>
    <cellStyle name="Comma 2 2 30 2 5" xfId="8194" xr:uid="{00000000-0005-0000-0000-0000FF1F0000}"/>
    <cellStyle name="Comma 2 2 30 2 6" xfId="8195" xr:uid="{00000000-0005-0000-0000-000000200000}"/>
    <cellStyle name="Comma 2 2 30 3" xfId="8196" xr:uid="{00000000-0005-0000-0000-000001200000}"/>
    <cellStyle name="Comma 2 2 30 3 2" xfId="8197" xr:uid="{00000000-0005-0000-0000-000002200000}"/>
    <cellStyle name="Comma 2 2 30 3 2 2" xfId="8198" xr:uid="{00000000-0005-0000-0000-000003200000}"/>
    <cellStyle name="Comma 2 2 30 3 3" xfId="8199" xr:uid="{00000000-0005-0000-0000-000004200000}"/>
    <cellStyle name="Comma 2 2 30 3 4" xfId="8200" xr:uid="{00000000-0005-0000-0000-000005200000}"/>
    <cellStyle name="Comma 2 2 30 3 5" xfId="8201" xr:uid="{00000000-0005-0000-0000-000006200000}"/>
    <cellStyle name="Comma 2 2 30 4" xfId="8202" xr:uid="{00000000-0005-0000-0000-000007200000}"/>
    <cellStyle name="Comma 2 2 30 4 2" xfId="8203" xr:uid="{00000000-0005-0000-0000-000008200000}"/>
    <cellStyle name="Comma 2 2 30 4 3" xfId="8204" xr:uid="{00000000-0005-0000-0000-000009200000}"/>
    <cellStyle name="Comma 2 2 30 4 4" xfId="8205" xr:uid="{00000000-0005-0000-0000-00000A200000}"/>
    <cellStyle name="Comma 2 2 30 5" xfId="8206" xr:uid="{00000000-0005-0000-0000-00000B200000}"/>
    <cellStyle name="Comma 2 2 30 5 2" xfId="8207" xr:uid="{00000000-0005-0000-0000-00000C200000}"/>
    <cellStyle name="Comma 2 2 30 6" xfId="8208" xr:uid="{00000000-0005-0000-0000-00000D200000}"/>
    <cellStyle name="Comma 2 2 30 7" xfId="8209" xr:uid="{00000000-0005-0000-0000-00000E200000}"/>
    <cellStyle name="Comma 2 2 30 8" xfId="8210" xr:uid="{00000000-0005-0000-0000-00000F200000}"/>
    <cellStyle name="Comma 2 2 30 9" xfId="8211" xr:uid="{00000000-0005-0000-0000-000010200000}"/>
    <cellStyle name="Comma 2 2 31" xfId="8212" xr:uid="{00000000-0005-0000-0000-000011200000}"/>
    <cellStyle name="Comma 2 2 31 2" xfId="8213" xr:uid="{00000000-0005-0000-0000-000012200000}"/>
    <cellStyle name="Comma 2 2 31 2 2" xfId="8214" xr:uid="{00000000-0005-0000-0000-000013200000}"/>
    <cellStyle name="Comma 2 2 31 2 3" xfId="8215" xr:uid="{00000000-0005-0000-0000-000014200000}"/>
    <cellStyle name="Comma 2 2 31 3" xfId="8216" xr:uid="{00000000-0005-0000-0000-000015200000}"/>
    <cellStyle name="Comma 2 2 31 4" xfId="8217" xr:uid="{00000000-0005-0000-0000-000016200000}"/>
    <cellStyle name="Comma 2 2 31 5" xfId="8218" xr:uid="{00000000-0005-0000-0000-000017200000}"/>
    <cellStyle name="Comma 2 2 31 6" xfId="8219" xr:uid="{00000000-0005-0000-0000-000018200000}"/>
    <cellStyle name="Comma 2 2 32" xfId="8220" xr:uid="{00000000-0005-0000-0000-000019200000}"/>
    <cellStyle name="Comma 2 2 32 2" xfId="8221" xr:uid="{00000000-0005-0000-0000-00001A200000}"/>
    <cellStyle name="Comma 2 2 32 2 2" xfId="8222" xr:uid="{00000000-0005-0000-0000-00001B200000}"/>
    <cellStyle name="Comma 2 2 32 3" xfId="8223" xr:uid="{00000000-0005-0000-0000-00001C200000}"/>
    <cellStyle name="Comma 2 2 32 4" xfId="8224" xr:uid="{00000000-0005-0000-0000-00001D200000}"/>
    <cellStyle name="Comma 2 2 32 5" xfId="8225" xr:uid="{00000000-0005-0000-0000-00001E200000}"/>
    <cellStyle name="Comma 2 2 32 6" xfId="8226" xr:uid="{00000000-0005-0000-0000-00001F200000}"/>
    <cellStyle name="Comma 2 2 33" xfId="8227" xr:uid="{00000000-0005-0000-0000-000020200000}"/>
    <cellStyle name="Comma 2 2 33 2" xfId="8228" xr:uid="{00000000-0005-0000-0000-000021200000}"/>
    <cellStyle name="Comma 2 2 33 2 2" xfId="8229" xr:uid="{00000000-0005-0000-0000-000022200000}"/>
    <cellStyle name="Comma 2 2 33 3" xfId="8230" xr:uid="{00000000-0005-0000-0000-000023200000}"/>
    <cellStyle name="Comma 2 2 33 4" xfId="8231" xr:uid="{00000000-0005-0000-0000-000024200000}"/>
    <cellStyle name="Comma 2 2 33 5" xfId="8232" xr:uid="{00000000-0005-0000-0000-000025200000}"/>
    <cellStyle name="Comma 2 2 33 6" xfId="8233" xr:uid="{00000000-0005-0000-0000-000026200000}"/>
    <cellStyle name="Comma 2 2 34" xfId="8234" xr:uid="{00000000-0005-0000-0000-000027200000}"/>
    <cellStyle name="Comma 2 2 34 2" xfId="8235" xr:uid="{00000000-0005-0000-0000-000028200000}"/>
    <cellStyle name="Comma 2 2 34 3" xfId="8236" xr:uid="{00000000-0005-0000-0000-000029200000}"/>
    <cellStyle name="Comma 2 2 34 4" xfId="8237" xr:uid="{00000000-0005-0000-0000-00002A200000}"/>
    <cellStyle name="Comma 2 2 35" xfId="8238" xr:uid="{00000000-0005-0000-0000-00002B200000}"/>
    <cellStyle name="Comma 2 2 35 2" xfId="8239" xr:uid="{00000000-0005-0000-0000-00002C200000}"/>
    <cellStyle name="Comma 2 2 35 3" xfId="8240" xr:uid="{00000000-0005-0000-0000-00002D200000}"/>
    <cellStyle name="Comma 2 2 36" xfId="8241" xr:uid="{00000000-0005-0000-0000-00002E200000}"/>
    <cellStyle name="Comma 2 2 36 2" xfId="8242" xr:uid="{00000000-0005-0000-0000-00002F200000}"/>
    <cellStyle name="Comma 2 2 36 3" xfId="8243" xr:uid="{00000000-0005-0000-0000-000030200000}"/>
    <cellStyle name="Comma 2 2 37" xfId="8244" xr:uid="{00000000-0005-0000-0000-000031200000}"/>
    <cellStyle name="Comma 2 2 38" xfId="8245" xr:uid="{00000000-0005-0000-0000-000032200000}"/>
    <cellStyle name="Comma 2 2 39" xfId="8246" xr:uid="{00000000-0005-0000-0000-000033200000}"/>
    <cellStyle name="Comma 2 2 4" xfId="8247" xr:uid="{00000000-0005-0000-0000-000034200000}"/>
    <cellStyle name="Comma 2 2 4 10" xfId="8248" xr:uid="{00000000-0005-0000-0000-000035200000}"/>
    <cellStyle name="Comma 2 2 4 11" xfId="8249" xr:uid="{00000000-0005-0000-0000-000036200000}"/>
    <cellStyle name="Comma 2 2 4 2" xfId="8250" xr:uid="{00000000-0005-0000-0000-000037200000}"/>
    <cellStyle name="Comma 2 2 4 2 2" xfId="8251" xr:uid="{00000000-0005-0000-0000-000038200000}"/>
    <cellStyle name="Comma 2 2 4 2 2 2" xfId="8252" xr:uid="{00000000-0005-0000-0000-000039200000}"/>
    <cellStyle name="Comma 2 2 4 2 2 2 2" xfId="8253" xr:uid="{00000000-0005-0000-0000-00003A200000}"/>
    <cellStyle name="Comma 2 2 4 2 2 2 3" xfId="8254" xr:uid="{00000000-0005-0000-0000-00003B200000}"/>
    <cellStyle name="Comma 2 2 4 2 2 3" xfId="8255" xr:uid="{00000000-0005-0000-0000-00003C200000}"/>
    <cellStyle name="Comma 2 2 4 2 2 4" xfId="8256" xr:uid="{00000000-0005-0000-0000-00003D200000}"/>
    <cellStyle name="Comma 2 2 4 2 2 5" xfId="8257" xr:uid="{00000000-0005-0000-0000-00003E200000}"/>
    <cellStyle name="Comma 2 2 4 2 2 6" xfId="8258" xr:uid="{00000000-0005-0000-0000-00003F200000}"/>
    <cellStyle name="Comma 2 2 4 2 3" xfId="8259" xr:uid="{00000000-0005-0000-0000-000040200000}"/>
    <cellStyle name="Comma 2 2 4 2 3 2" xfId="8260" xr:uid="{00000000-0005-0000-0000-000041200000}"/>
    <cellStyle name="Comma 2 2 4 2 3 2 2" xfId="8261" xr:uid="{00000000-0005-0000-0000-000042200000}"/>
    <cellStyle name="Comma 2 2 4 2 3 3" xfId="8262" xr:uid="{00000000-0005-0000-0000-000043200000}"/>
    <cellStyle name="Comma 2 2 4 2 3 4" xfId="8263" xr:uid="{00000000-0005-0000-0000-000044200000}"/>
    <cellStyle name="Comma 2 2 4 2 3 5" xfId="8264" xr:uid="{00000000-0005-0000-0000-000045200000}"/>
    <cellStyle name="Comma 2 2 4 2 4" xfId="8265" xr:uid="{00000000-0005-0000-0000-000046200000}"/>
    <cellStyle name="Comma 2 2 4 2 4 2" xfId="8266" xr:uid="{00000000-0005-0000-0000-000047200000}"/>
    <cellStyle name="Comma 2 2 4 2 4 3" xfId="8267" xr:uid="{00000000-0005-0000-0000-000048200000}"/>
    <cellStyle name="Comma 2 2 4 2 4 4" xfId="8268" xr:uid="{00000000-0005-0000-0000-000049200000}"/>
    <cellStyle name="Comma 2 2 4 2 5" xfId="8269" xr:uid="{00000000-0005-0000-0000-00004A200000}"/>
    <cellStyle name="Comma 2 2 4 2 5 2" xfId="8270" xr:uid="{00000000-0005-0000-0000-00004B200000}"/>
    <cellStyle name="Comma 2 2 4 2 6" xfId="8271" xr:uid="{00000000-0005-0000-0000-00004C200000}"/>
    <cellStyle name="Comma 2 2 4 2 7" xfId="8272" xr:uid="{00000000-0005-0000-0000-00004D200000}"/>
    <cellStyle name="Comma 2 2 4 2 8" xfId="8273" xr:uid="{00000000-0005-0000-0000-00004E200000}"/>
    <cellStyle name="Comma 2 2 4 2 9" xfId="8274" xr:uid="{00000000-0005-0000-0000-00004F200000}"/>
    <cellStyle name="Comma 2 2 4 3" xfId="8275" xr:uid="{00000000-0005-0000-0000-000050200000}"/>
    <cellStyle name="Comma 2 2 4 3 2" xfId="8276" xr:uid="{00000000-0005-0000-0000-000051200000}"/>
    <cellStyle name="Comma 2 2 4 3 2 2" xfId="8277" xr:uid="{00000000-0005-0000-0000-000052200000}"/>
    <cellStyle name="Comma 2 2 4 3 2 2 2" xfId="8278" xr:uid="{00000000-0005-0000-0000-000053200000}"/>
    <cellStyle name="Comma 2 2 4 3 2 2 3" xfId="8279" xr:uid="{00000000-0005-0000-0000-000054200000}"/>
    <cellStyle name="Comma 2 2 4 3 2 3" xfId="8280" xr:uid="{00000000-0005-0000-0000-000055200000}"/>
    <cellStyle name="Comma 2 2 4 3 2 4" xfId="8281" xr:uid="{00000000-0005-0000-0000-000056200000}"/>
    <cellStyle name="Comma 2 2 4 3 2 5" xfId="8282" xr:uid="{00000000-0005-0000-0000-000057200000}"/>
    <cellStyle name="Comma 2 2 4 3 2 6" xfId="8283" xr:uid="{00000000-0005-0000-0000-000058200000}"/>
    <cellStyle name="Comma 2 2 4 3 3" xfId="8284" xr:uid="{00000000-0005-0000-0000-000059200000}"/>
    <cellStyle name="Comma 2 2 4 3 3 2" xfId="8285" xr:uid="{00000000-0005-0000-0000-00005A200000}"/>
    <cellStyle name="Comma 2 2 4 3 3 2 2" xfId="8286" xr:uid="{00000000-0005-0000-0000-00005B200000}"/>
    <cellStyle name="Comma 2 2 4 3 3 3" xfId="8287" xr:uid="{00000000-0005-0000-0000-00005C200000}"/>
    <cellStyle name="Comma 2 2 4 3 3 4" xfId="8288" xr:uid="{00000000-0005-0000-0000-00005D200000}"/>
    <cellStyle name="Comma 2 2 4 3 3 5" xfId="8289" xr:uid="{00000000-0005-0000-0000-00005E200000}"/>
    <cellStyle name="Comma 2 2 4 3 4" xfId="8290" xr:uid="{00000000-0005-0000-0000-00005F200000}"/>
    <cellStyle name="Comma 2 2 4 3 4 2" xfId="8291" xr:uid="{00000000-0005-0000-0000-000060200000}"/>
    <cellStyle name="Comma 2 2 4 3 4 3" xfId="8292" xr:uid="{00000000-0005-0000-0000-000061200000}"/>
    <cellStyle name="Comma 2 2 4 3 4 4" xfId="8293" xr:uid="{00000000-0005-0000-0000-000062200000}"/>
    <cellStyle name="Comma 2 2 4 3 5" xfId="8294" xr:uid="{00000000-0005-0000-0000-000063200000}"/>
    <cellStyle name="Comma 2 2 4 3 5 2" xfId="8295" xr:uid="{00000000-0005-0000-0000-000064200000}"/>
    <cellStyle name="Comma 2 2 4 3 6" xfId="8296" xr:uid="{00000000-0005-0000-0000-000065200000}"/>
    <cellStyle name="Comma 2 2 4 3 7" xfId="8297" xr:uid="{00000000-0005-0000-0000-000066200000}"/>
    <cellStyle name="Comma 2 2 4 3 8" xfId="8298" xr:uid="{00000000-0005-0000-0000-000067200000}"/>
    <cellStyle name="Comma 2 2 4 3 9" xfId="8299" xr:uid="{00000000-0005-0000-0000-000068200000}"/>
    <cellStyle name="Comma 2 2 4 4" xfId="8300" xr:uid="{00000000-0005-0000-0000-000069200000}"/>
    <cellStyle name="Comma 2 2 4 4 2" xfId="8301" xr:uid="{00000000-0005-0000-0000-00006A200000}"/>
    <cellStyle name="Comma 2 2 4 4 2 2" xfId="8302" xr:uid="{00000000-0005-0000-0000-00006B200000}"/>
    <cellStyle name="Comma 2 2 4 4 2 3" xfId="8303" xr:uid="{00000000-0005-0000-0000-00006C200000}"/>
    <cellStyle name="Comma 2 2 4 4 3" xfId="8304" xr:uid="{00000000-0005-0000-0000-00006D200000}"/>
    <cellStyle name="Comma 2 2 4 4 4" xfId="8305" xr:uid="{00000000-0005-0000-0000-00006E200000}"/>
    <cellStyle name="Comma 2 2 4 4 5" xfId="8306" xr:uid="{00000000-0005-0000-0000-00006F200000}"/>
    <cellStyle name="Comma 2 2 4 4 6" xfId="8307" xr:uid="{00000000-0005-0000-0000-000070200000}"/>
    <cellStyle name="Comma 2 2 4 5" xfId="8308" xr:uid="{00000000-0005-0000-0000-000071200000}"/>
    <cellStyle name="Comma 2 2 4 5 2" xfId="8309" xr:uid="{00000000-0005-0000-0000-000072200000}"/>
    <cellStyle name="Comma 2 2 4 5 2 2" xfId="8310" xr:uid="{00000000-0005-0000-0000-000073200000}"/>
    <cellStyle name="Comma 2 2 4 5 3" xfId="8311" xr:uid="{00000000-0005-0000-0000-000074200000}"/>
    <cellStyle name="Comma 2 2 4 5 4" xfId="8312" xr:uid="{00000000-0005-0000-0000-000075200000}"/>
    <cellStyle name="Comma 2 2 4 5 5" xfId="8313" xr:uid="{00000000-0005-0000-0000-000076200000}"/>
    <cellStyle name="Comma 2 2 4 6" xfId="8314" xr:uid="{00000000-0005-0000-0000-000077200000}"/>
    <cellStyle name="Comma 2 2 4 6 2" xfId="8315" xr:uid="{00000000-0005-0000-0000-000078200000}"/>
    <cellStyle name="Comma 2 2 4 6 3" xfId="8316" xr:uid="{00000000-0005-0000-0000-000079200000}"/>
    <cellStyle name="Comma 2 2 4 6 4" xfId="8317" xr:uid="{00000000-0005-0000-0000-00007A200000}"/>
    <cellStyle name="Comma 2 2 4 7" xfId="8318" xr:uid="{00000000-0005-0000-0000-00007B200000}"/>
    <cellStyle name="Comma 2 2 4 7 2" xfId="8319" xr:uid="{00000000-0005-0000-0000-00007C200000}"/>
    <cellStyle name="Comma 2 2 4 8" xfId="8320" xr:uid="{00000000-0005-0000-0000-00007D200000}"/>
    <cellStyle name="Comma 2 2 4 9" xfId="8321" xr:uid="{00000000-0005-0000-0000-00007E200000}"/>
    <cellStyle name="Comma 2 2 40" xfId="8322" xr:uid="{00000000-0005-0000-0000-00007F200000}"/>
    <cellStyle name="Comma 2 2 41" xfId="8323" xr:uid="{00000000-0005-0000-0000-000080200000}"/>
    <cellStyle name="Comma 2 2 42" xfId="8324" xr:uid="{00000000-0005-0000-0000-000081200000}"/>
    <cellStyle name="Comma 2 2 43" xfId="8325" xr:uid="{00000000-0005-0000-0000-000082200000}"/>
    <cellStyle name="Comma 2 2 44" xfId="8326" xr:uid="{00000000-0005-0000-0000-000083200000}"/>
    <cellStyle name="Comma 2 2 45" xfId="8327" xr:uid="{00000000-0005-0000-0000-000084200000}"/>
    <cellStyle name="Comma 2 2 46" xfId="8328" xr:uid="{00000000-0005-0000-0000-000085200000}"/>
    <cellStyle name="Comma 2 2 47" xfId="8329" xr:uid="{00000000-0005-0000-0000-000086200000}"/>
    <cellStyle name="Comma 2 2 48" xfId="8330" xr:uid="{00000000-0005-0000-0000-000087200000}"/>
    <cellStyle name="Comma 2 2 49" xfId="8331" xr:uid="{00000000-0005-0000-0000-000088200000}"/>
    <cellStyle name="Comma 2 2 5" xfId="8332" xr:uid="{00000000-0005-0000-0000-000089200000}"/>
    <cellStyle name="Comma 2 2 5 10" xfId="8333" xr:uid="{00000000-0005-0000-0000-00008A200000}"/>
    <cellStyle name="Comma 2 2 5 11" xfId="8334" xr:uid="{00000000-0005-0000-0000-00008B200000}"/>
    <cellStyle name="Comma 2 2 5 2" xfId="8335" xr:uid="{00000000-0005-0000-0000-00008C200000}"/>
    <cellStyle name="Comma 2 2 5 2 2" xfId="8336" xr:uid="{00000000-0005-0000-0000-00008D200000}"/>
    <cellStyle name="Comma 2 2 5 2 2 2" xfId="8337" xr:uid="{00000000-0005-0000-0000-00008E200000}"/>
    <cellStyle name="Comma 2 2 5 2 2 2 2" xfId="8338" xr:uid="{00000000-0005-0000-0000-00008F200000}"/>
    <cellStyle name="Comma 2 2 5 2 2 2 3" xfId="8339" xr:uid="{00000000-0005-0000-0000-000090200000}"/>
    <cellStyle name="Comma 2 2 5 2 2 3" xfId="8340" xr:uid="{00000000-0005-0000-0000-000091200000}"/>
    <cellStyle name="Comma 2 2 5 2 2 4" xfId="8341" xr:uid="{00000000-0005-0000-0000-000092200000}"/>
    <cellStyle name="Comma 2 2 5 2 2 5" xfId="8342" xr:uid="{00000000-0005-0000-0000-000093200000}"/>
    <cellStyle name="Comma 2 2 5 2 2 6" xfId="8343" xr:uid="{00000000-0005-0000-0000-000094200000}"/>
    <cellStyle name="Comma 2 2 5 2 3" xfId="8344" xr:uid="{00000000-0005-0000-0000-000095200000}"/>
    <cellStyle name="Comma 2 2 5 2 3 2" xfId="8345" xr:uid="{00000000-0005-0000-0000-000096200000}"/>
    <cellStyle name="Comma 2 2 5 2 3 2 2" xfId="8346" xr:uid="{00000000-0005-0000-0000-000097200000}"/>
    <cellStyle name="Comma 2 2 5 2 3 3" xfId="8347" xr:uid="{00000000-0005-0000-0000-000098200000}"/>
    <cellStyle name="Comma 2 2 5 2 3 4" xfId="8348" xr:uid="{00000000-0005-0000-0000-000099200000}"/>
    <cellStyle name="Comma 2 2 5 2 3 5" xfId="8349" xr:uid="{00000000-0005-0000-0000-00009A200000}"/>
    <cellStyle name="Comma 2 2 5 2 4" xfId="8350" xr:uid="{00000000-0005-0000-0000-00009B200000}"/>
    <cellStyle name="Comma 2 2 5 2 4 2" xfId="8351" xr:uid="{00000000-0005-0000-0000-00009C200000}"/>
    <cellStyle name="Comma 2 2 5 2 4 3" xfId="8352" xr:uid="{00000000-0005-0000-0000-00009D200000}"/>
    <cellStyle name="Comma 2 2 5 2 4 4" xfId="8353" xr:uid="{00000000-0005-0000-0000-00009E200000}"/>
    <cellStyle name="Comma 2 2 5 2 5" xfId="8354" xr:uid="{00000000-0005-0000-0000-00009F200000}"/>
    <cellStyle name="Comma 2 2 5 2 5 2" xfId="8355" xr:uid="{00000000-0005-0000-0000-0000A0200000}"/>
    <cellStyle name="Comma 2 2 5 2 6" xfId="8356" xr:uid="{00000000-0005-0000-0000-0000A1200000}"/>
    <cellStyle name="Comma 2 2 5 2 7" xfId="8357" xr:uid="{00000000-0005-0000-0000-0000A2200000}"/>
    <cellStyle name="Comma 2 2 5 2 8" xfId="8358" xr:uid="{00000000-0005-0000-0000-0000A3200000}"/>
    <cellStyle name="Comma 2 2 5 2 9" xfId="8359" xr:uid="{00000000-0005-0000-0000-0000A4200000}"/>
    <cellStyle name="Comma 2 2 5 3" xfId="8360" xr:uid="{00000000-0005-0000-0000-0000A5200000}"/>
    <cellStyle name="Comma 2 2 5 3 2" xfId="8361" xr:uid="{00000000-0005-0000-0000-0000A6200000}"/>
    <cellStyle name="Comma 2 2 5 3 2 2" xfId="8362" xr:uid="{00000000-0005-0000-0000-0000A7200000}"/>
    <cellStyle name="Comma 2 2 5 3 2 2 2" xfId="8363" xr:uid="{00000000-0005-0000-0000-0000A8200000}"/>
    <cellStyle name="Comma 2 2 5 3 2 2 3" xfId="8364" xr:uid="{00000000-0005-0000-0000-0000A9200000}"/>
    <cellStyle name="Comma 2 2 5 3 2 3" xfId="8365" xr:uid="{00000000-0005-0000-0000-0000AA200000}"/>
    <cellStyle name="Comma 2 2 5 3 2 4" xfId="8366" xr:uid="{00000000-0005-0000-0000-0000AB200000}"/>
    <cellStyle name="Comma 2 2 5 3 2 5" xfId="8367" xr:uid="{00000000-0005-0000-0000-0000AC200000}"/>
    <cellStyle name="Comma 2 2 5 3 2 6" xfId="8368" xr:uid="{00000000-0005-0000-0000-0000AD200000}"/>
    <cellStyle name="Comma 2 2 5 3 3" xfId="8369" xr:uid="{00000000-0005-0000-0000-0000AE200000}"/>
    <cellStyle name="Comma 2 2 5 3 3 2" xfId="8370" xr:uid="{00000000-0005-0000-0000-0000AF200000}"/>
    <cellStyle name="Comma 2 2 5 3 3 2 2" xfId="8371" xr:uid="{00000000-0005-0000-0000-0000B0200000}"/>
    <cellStyle name="Comma 2 2 5 3 3 3" xfId="8372" xr:uid="{00000000-0005-0000-0000-0000B1200000}"/>
    <cellStyle name="Comma 2 2 5 3 3 4" xfId="8373" xr:uid="{00000000-0005-0000-0000-0000B2200000}"/>
    <cellStyle name="Comma 2 2 5 3 3 5" xfId="8374" xr:uid="{00000000-0005-0000-0000-0000B3200000}"/>
    <cellStyle name="Comma 2 2 5 3 4" xfId="8375" xr:uid="{00000000-0005-0000-0000-0000B4200000}"/>
    <cellStyle name="Comma 2 2 5 3 4 2" xfId="8376" xr:uid="{00000000-0005-0000-0000-0000B5200000}"/>
    <cellStyle name="Comma 2 2 5 3 4 3" xfId="8377" xr:uid="{00000000-0005-0000-0000-0000B6200000}"/>
    <cellStyle name="Comma 2 2 5 3 4 4" xfId="8378" xr:uid="{00000000-0005-0000-0000-0000B7200000}"/>
    <cellStyle name="Comma 2 2 5 3 5" xfId="8379" xr:uid="{00000000-0005-0000-0000-0000B8200000}"/>
    <cellStyle name="Comma 2 2 5 3 5 2" xfId="8380" xr:uid="{00000000-0005-0000-0000-0000B9200000}"/>
    <cellStyle name="Comma 2 2 5 3 6" xfId="8381" xr:uid="{00000000-0005-0000-0000-0000BA200000}"/>
    <cellStyle name="Comma 2 2 5 3 7" xfId="8382" xr:uid="{00000000-0005-0000-0000-0000BB200000}"/>
    <cellStyle name="Comma 2 2 5 3 8" xfId="8383" xr:uid="{00000000-0005-0000-0000-0000BC200000}"/>
    <cellStyle name="Comma 2 2 5 3 9" xfId="8384" xr:uid="{00000000-0005-0000-0000-0000BD200000}"/>
    <cellStyle name="Comma 2 2 5 4" xfId="8385" xr:uid="{00000000-0005-0000-0000-0000BE200000}"/>
    <cellStyle name="Comma 2 2 5 4 2" xfId="8386" xr:uid="{00000000-0005-0000-0000-0000BF200000}"/>
    <cellStyle name="Comma 2 2 5 4 2 2" xfId="8387" xr:uid="{00000000-0005-0000-0000-0000C0200000}"/>
    <cellStyle name="Comma 2 2 5 4 2 3" xfId="8388" xr:uid="{00000000-0005-0000-0000-0000C1200000}"/>
    <cellStyle name="Comma 2 2 5 4 3" xfId="8389" xr:uid="{00000000-0005-0000-0000-0000C2200000}"/>
    <cellStyle name="Comma 2 2 5 4 4" xfId="8390" xr:uid="{00000000-0005-0000-0000-0000C3200000}"/>
    <cellStyle name="Comma 2 2 5 4 5" xfId="8391" xr:uid="{00000000-0005-0000-0000-0000C4200000}"/>
    <cellStyle name="Comma 2 2 5 4 6" xfId="8392" xr:uid="{00000000-0005-0000-0000-0000C5200000}"/>
    <cellStyle name="Comma 2 2 5 5" xfId="8393" xr:uid="{00000000-0005-0000-0000-0000C6200000}"/>
    <cellStyle name="Comma 2 2 5 5 2" xfId="8394" xr:uid="{00000000-0005-0000-0000-0000C7200000}"/>
    <cellStyle name="Comma 2 2 5 5 2 2" xfId="8395" xr:uid="{00000000-0005-0000-0000-0000C8200000}"/>
    <cellStyle name="Comma 2 2 5 5 3" xfId="8396" xr:uid="{00000000-0005-0000-0000-0000C9200000}"/>
    <cellStyle name="Comma 2 2 5 5 4" xfId="8397" xr:uid="{00000000-0005-0000-0000-0000CA200000}"/>
    <cellStyle name="Comma 2 2 5 5 5" xfId="8398" xr:uid="{00000000-0005-0000-0000-0000CB200000}"/>
    <cellStyle name="Comma 2 2 5 6" xfId="8399" xr:uid="{00000000-0005-0000-0000-0000CC200000}"/>
    <cellStyle name="Comma 2 2 5 6 2" xfId="8400" xr:uid="{00000000-0005-0000-0000-0000CD200000}"/>
    <cellStyle name="Comma 2 2 5 6 3" xfId="8401" xr:uid="{00000000-0005-0000-0000-0000CE200000}"/>
    <cellStyle name="Comma 2 2 5 6 4" xfId="8402" xr:uid="{00000000-0005-0000-0000-0000CF200000}"/>
    <cellStyle name="Comma 2 2 5 7" xfId="8403" xr:uid="{00000000-0005-0000-0000-0000D0200000}"/>
    <cellStyle name="Comma 2 2 5 7 2" xfId="8404" xr:uid="{00000000-0005-0000-0000-0000D1200000}"/>
    <cellStyle name="Comma 2 2 5 8" xfId="8405" xr:uid="{00000000-0005-0000-0000-0000D2200000}"/>
    <cellStyle name="Comma 2 2 5 9" xfId="8406" xr:uid="{00000000-0005-0000-0000-0000D3200000}"/>
    <cellStyle name="Comma 2 2 50" xfId="8407" xr:uid="{00000000-0005-0000-0000-0000D4200000}"/>
    <cellStyle name="Comma 2 2 51" xfId="8408" xr:uid="{00000000-0005-0000-0000-0000D5200000}"/>
    <cellStyle name="Comma 2 2 52" xfId="8409" xr:uid="{00000000-0005-0000-0000-0000D6200000}"/>
    <cellStyle name="Comma 2 2 53" xfId="8410" xr:uid="{00000000-0005-0000-0000-0000D7200000}"/>
    <cellStyle name="Comma 2 2 54" xfId="8411" xr:uid="{00000000-0005-0000-0000-0000D8200000}"/>
    <cellStyle name="Comma 2 2 55" xfId="8412" xr:uid="{00000000-0005-0000-0000-0000D9200000}"/>
    <cellStyle name="Comma 2 2 6" xfId="8413" xr:uid="{00000000-0005-0000-0000-0000DA200000}"/>
    <cellStyle name="Comma 2 2 6 10" xfId="8414" xr:uid="{00000000-0005-0000-0000-0000DB200000}"/>
    <cellStyle name="Comma 2 2 6 11" xfId="8415" xr:uid="{00000000-0005-0000-0000-0000DC200000}"/>
    <cellStyle name="Comma 2 2 6 2" xfId="8416" xr:uid="{00000000-0005-0000-0000-0000DD200000}"/>
    <cellStyle name="Comma 2 2 6 2 2" xfId="8417" xr:uid="{00000000-0005-0000-0000-0000DE200000}"/>
    <cellStyle name="Comma 2 2 6 2 2 2" xfId="8418" xr:uid="{00000000-0005-0000-0000-0000DF200000}"/>
    <cellStyle name="Comma 2 2 6 2 2 2 2" xfId="8419" xr:uid="{00000000-0005-0000-0000-0000E0200000}"/>
    <cellStyle name="Comma 2 2 6 2 2 2 3" xfId="8420" xr:uid="{00000000-0005-0000-0000-0000E1200000}"/>
    <cellStyle name="Comma 2 2 6 2 2 3" xfId="8421" xr:uid="{00000000-0005-0000-0000-0000E2200000}"/>
    <cellStyle name="Comma 2 2 6 2 2 4" xfId="8422" xr:uid="{00000000-0005-0000-0000-0000E3200000}"/>
    <cellStyle name="Comma 2 2 6 2 2 5" xfId="8423" xr:uid="{00000000-0005-0000-0000-0000E4200000}"/>
    <cellStyle name="Comma 2 2 6 2 2 6" xfId="8424" xr:uid="{00000000-0005-0000-0000-0000E5200000}"/>
    <cellStyle name="Comma 2 2 6 2 3" xfId="8425" xr:uid="{00000000-0005-0000-0000-0000E6200000}"/>
    <cellStyle name="Comma 2 2 6 2 3 2" xfId="8426" xr:uid="{00000000-0005-0000-0000-0000E7200000}"/>
    <cellStyle name="Comma 2 2 6 2 3 2 2" xfId="8427" xr:uid="{00000000-0005-0000-0000-0000E8200000}"/>
    <cellStyle name="Comma 2 2 6 2 3 3" xfId="8428" xr:uid="{00000000-0005-0000-0000-0000E9200000}"/>
    <cellStyle name="Comma 2 2 6 2 3 4" xfId="8429" xr:uid="{00000000-0005-0000-0000-0000EA200000}"/>
    <cellStyle name="Comma 2 2 6 2 3 5" xfId="8430" xr:uid="{00000000-0005-0000-0000-0000EB200000}"/>
    <cellStyle name="Comma 2 2 6 2 4" xfId="8431" xr:uid="{00000000-0005-0000-0000-0000EC200000}"/>
    <cellStyle name="Comma 2 2 6 2 4 2" xfId="8432" xr:uid="{00000000-0005-0000-0000-0000ED200000}"/>
    <cellStyle name="Comma 2 2 6 2 4 3" xfId="8433" xr:uid="{00000000-0005-0000-0000-0000EE200000}"/>
    <cellStyle name="Comma 2 2 6 2 4 4" xfId="8434" xr:uid="{00000000-0005-0000-0000-0000EF200000}"/>
    <cellStyle name="Comma 2 2 6 2 5" xfId="8435" xr:uid="{00000000-0005-0000-0000-0000F0200000}"/>
    <cellStyle name="Comma 2 2 6 2 5 2" xfId="8436" xr:uid="{00000000-0005-0000-0000-0000F1200000}"/>
    <cellStyle name="Comma 2 2 6 2 6" xfId="8437" xr:uid="{00000000-0005-0000-0000-0000F2200000}"/>
    <cellStyle name="Comma 2 2 6 2 7" xfId="8438" xr:uid="{00000000-0005-0000-0000-0000F3200000}"/>
    <cellStyle name="Comma 2 2 6 2 8" xfId="8439" xr:uid="{00000000-0005-0000-0000-0000F4200000}"/>
    <cellStyle name="Comma 2 2 6 2 9" xfId="8440" xr:uid="{00000000-0005-0000-0000-0000F5200000}"/>
    <cellStyle name="Comma 2 2 6 3" xfId="8441" xr:uid="{00000000-0005-0000-0000-0000F6200000}"/>
    <cellStyle name="Comma 2 2 6 3 2" xfId="8442" xr:uid="{00000000-0005-0000-0000-0000F7200000}"/>
    <cellStyle name="Comma 2 2 6 3 2 2" xfId="8443" xr:uid="{00000000-0005-0000-0000-0000F8200000}"/>
    <cellStyle name="Comma 2 2 6 3 2 2 2" xfId="8444" xr:uid="{00000000-0005-0000-0000-0000F9200000}"/>
    <cellStyle name="Comma 2 2 6 3 2 2 3" xfId="8445" xr:uid="{00000000-0005-0000-0000-0000FA200000}"/>
    <cellStyle name="Comma 2 2 6 3 2 3" xfId="8446" xr:uid="{00000000-0005-0000-0000-0000FB200000}"/>
    <cellStyle name="Comma 2 2 6 3 2 4" xfId="8447" xr:uid="{00000000-0005-0000-0000-0000FC200000}"/>
    <cellStyle name="Comma 2 2 6 3 2 5" xfId="8448" xr:uid="{00000000-0005-0000-0000-0000FD200000}"/>
    <cellStyle name="Comma 2 2 6 3 2 6" xfId="8449" xr:uid="{00000000-0005-0000-0000-0000FE200000}"/>
    <cellStyle name="Comma 2 2 6 3 3" xfId="8450" xr:uid="{00000000-0005-0000-0000-0000FF200000}"/>
    <cellStyle name="Comma 2 2 6 3 3 2" xfId="8451" xr:uid="{00000000-0005-0000-0000-000000210000}"/>
    <cellStyle name="Comma 2 2 6 3 3 2 2" xfId="8452" xr:uid="{00000000-0005-0000-0000-000001210000}"/>
    <cellStyle name="Comma 2 2 6 3 3 3" xfId="8453" xr:uid="{00000000-0005-0000-0000-000002210000}"/>
    <cellStyle name="Comma 2 2 6 3 3 4" xfId="8454" xr:uid="{00000000-0005-0000-0000-000003210000}"/>
    <cellStyle name="Comma 2 2 6 3 3 5" xfId="8455" xr:uid="{00000000-0005-0000-0000-000004210000}"/>
    <cellStyle name="Comma 2 2 6 3 4" xfId="8456" xr:uid="{00000000-0005-0000-0000-000005210000}"/>
    <cellStyle name="Comma 2 2 6 3 4 2" xfId="8457" xr:uid="{00000000-0005-0000-0000-000006210000}"/>
    <cellStyle name="Comma 2 2 6 3 4 3" xfId="8458" xr:uid="{00000000-0005-0000-0000-000007210000}"/>
    <cellStyle name="Comma 2 2 6 3 4 4" xfId="8459" xr:uid="{00000000-0005-0000-0000-000008210000}"/>
    <cellStyle name="Comma 2 2 6 3 5" xfId="8460" xr:uid="{00000000-0005-0000-0000-000009210000}"/>
    <cellStyle name="Comma 2 2 6 3 5 2" xfId="8461" xr:uid="{00000000-0005-0000-0000-00000A210000}"/>
    <cellStyle name="Comma 2 2 6 3 6" xfId="8462" xr:uid="{00000000-0005-0000-0000-00000B210000}"/>
    <cellStyle name="Comma 2 2 6 3 7" xfId="8463" xr:uid="{00000000-0005-0000-0000-00000C210000}"/>
    <cellStyle name="Comma 2 2 6 3 8" xfId="8464" xr:uid="{00000000-0005-0000-0000-00000D210000}"/>
    <cellStyle name="Comma 2 2 6 3 9" xfId="8465" xr:uid="{00000000-0005-0000-0000-00000E210000}"/>
    <cellStyle name="Comma 2 2 6 4" xfId="8466" xr:uid="{00000000-0005-0000-0000-00000F210000}"/>
    <cellStyle name="Comma 2 2 6 4 2" xfId="8467" xr:uid="{00000000-0005-0000-0000-000010210000}"/>
    <cellStyle name="Comma 2 2 6 4 2 2" xfId="8468" xr:uid="{00000000-0005-0000-0000-000011210000}"/>
    <cellStyle name="Comma 2 2 6 4 2 3" xfId="8469" xr:uid="{00000000-0005-0000-0000-000012210000}"/>
    <cellStyle name="Comma 2 2 6 4 3" xfId="8470" xr:uid="{00000000-0005-0000-0000-000013210000}"/>
    <cellStyle name="Comma 2 2 6 4 4" xfId="8471" xr:uid="{00000000-0005-0000-0000-000014210000}"/>
    <cellStyle name="Comma 2 2 6 4 5" xfId="8472" xr:uid="{00000000-0005-0000-0000-000015210000}"/>
    <cellStyle name="Comma 2 2 6 4 6" xfId="8473" xr:uid="{00000000-0005-0000-0000-000016210000}"/>
    <cellStyle name="Comma 2 2 6 5" xfId="8474" xr:uid="{00000000-0005-0000-0000-000017210000}"/>
    <cellStyle name="Comma 2 2 6 5 2" xfId="8475" xr:uid="{00000000-0005-0000-0000-000018210000}"/>
    <cellStyle name="Comma 2 2 6 5 2 2" xfId="8476" xr:uid="{00000000-0005-0000-0000-000019210000}"/>
    <cellStyle name="Comma 2 2 6 5 3" xfId="8477" xr:uid="{00000000-0005-0000-0000-00001A210000}"/>
    <cellStyle name="Comma 2 2 6 5 4" xfId="8478" xr:uid="{00000000-0005-0000-0000-00001B210000}"/>
    <cellStyle name="Comma 2 2 6 5 5" xfId="8479" xr:uid="{00000000-0005-0000-0000-00001C210000}"/>
    <cellStyle name="Comma 2 2 6 6" xfId="8480" xr:uid="{00000000-0005-0000-0000-00001D210000}"/>
    <cellStyle name="Comma 2 2 6 6 2" xfId="8481" xr:uid="{00000000-0005-0000-0000-00001E210000}"/>
    <cellStyle name="Comma 2 2 6 6 3" xfId="8482" xr:uid="{00000000-0005-0000-0000-00001F210000}"/>
    <cellStyle name="Comma 2 2 6 6 4" xfId="8483" xr:uid="{00000000-0005-0000-0000-000020210000}"/>
    <cellStyle name="Comma 2 2 6 7" xfId="8484" xr:uid="{00000000-0005-0000-0000-000021210000}"/>
    <cellStyle name="Comma 2 2 6 7 2" xfId="8485" xr:uid="{00000000-0005-0000-0000-000022210000}"/>
    <cellStyle name="Comma 2 2 6 8" xfId="8486" xr:uid="{00000000-0005-0000-0000-000023210000}"/>
    <cellStyle name="Comma 2 2 6 9" xfId="8487" xr:uid="{00000000-0005-0000-0000-000024210000}"/>
    <cellStyle name="Comma 2 2 7" xfId="8488" xr:uid="{00000000-0005-0000-0000-000025210000}"/>
    <cellStyle name="Comma 2 2 7 10" xfId="8489" xr:uid="{00000000-0005-0000-0000-000026210000}"/>
    <cellStyle name="Comma 2 2 7 11" xfId="8490" xr:uid="{00000000-0005-0000-0000-000027210000}"/>
    <cellStyle name="Comma 2 2 7 2" xfId="8491" xr:uid="{00000000-0005-0000-0000-000028210000}"/>
    <cellStyle name="Comma 2 2 7 2 2" xfId="8492" xr:uid="{00000000-0005-0000-0000-000029210000}"/>
    <cellStyle name="Comma 2 2 7 2 2 2" xfId="8493" xr:uid="{00000000-0005-0000-0000-00002A210000}"/>
    <cellStyle name="Comma 2 2 7 2 2 2 2" xfId="8494" xr:uid="{00000000-0005-0000-0000-00002B210000}"/>
    <cellStyle name="Comma 2 2 7 2 2 2 3" xfId="8495" xr:uid="{00000000-0005-0000-0000-00002C210000}"/>
    <cellStyle name="Comma 2 2 7 2 2 3" xfId="8496" xr:uid="{00000000-0005-0000-0000-00002D210000}"/>
    <cellStyle name="Comma 2 2 7 2 2 4" xfId="8497" xr:uid="{00000000-0005-0000-0000-00002E210000}"/>
    <cellStyle name="Comma 2 2 7 2 2 5" xfId="8498" xr:uid="{00000000-0005-0000-0000-00002F210000}"/>
    <cellStyle name="Comma 2 2 7 2 2 6" xfId="8499" xr:uid="{00000000-0005-0000-0000-000030210000}"/>
    <cellStyle name="Comma 2 2 7 2 3" xfId="8500" xr:uid="{00000000-0005-0000-0000-000031210000}"/>
    <cellStyle name="Comma 2 2 7 2 3 2" xfId="8501" xr:uid="{00000000-0005-0000-0000-000032210000}"/>
    <cellStyle name="Comma 2 2 7 2 3 2 2" xfId="8502" xr:uid="{00000000-0005-0000-0000-000033210000}"/>
    <cellStyle name="Comma 2 2 7 2 3 3" xfId="8503" xr:uid="{00000000-0005-0000-0000-000034210000}"/>
    <cellStyle name="Comma 2 2 7 2 3 4" xfId="8504" xr:uid="{00000000-0005-0000-0000-000035210000}"/>
    <cellStyle name="Comma 2 2 7 2 3 5" xfId="8505" xr:uid="{00000000-0005-0000-0000-000036210000}"/>
    <cellStyle name="Comma 2 2 7 2 4" xfId="8506" xr:uid="{00000000-0005-0000-0000-000037210000}"/>
    <cellStyle name="Comma 2 2 7 2 4 2" xfId="8507" xr:uid="{00000000-0005-0000-0000-000038210000}"/>
    <cellStyle name="Comma 2 2 7 2 4 3" xfId="8508" xr:uid="{00000000-0005-0000-0000-000039210000}"/>
    <cellStyle name="Comma 2 2 7 2 4 4" xfId="8509" xr:uid="{00000000-0005-0000-0000-00003A210000}"/>
    <cellStyle name="Comma 2 2 7 2 5" xfId="8510" xr:uid="{00000000-0005-0000-0000-00003B210000}"/>
    <cellStyle name="Comma 2 2 7 2 5 2" xfId="8511" xr:uid="{00000000-0005-0000-0000-00003C210000}"/>
    <cellStyle name="Comma 2 2 7 2 6" xfId="8512" xr:uid="{00000000-0005-0000-0000-00003D210000}"/>
    <cellStyle name="Comma 2 2 7 2 7" xfId="8513" xr:uid="{00000000-0005-0000-0000-00003E210000}"/>
    <cellStyle name="Comma 2 2 7 2 8" xfId="8514" xr:uid="{00000000-0005-0000-0000-00003F210000}"/>
    <cellStyle name="Comma 2 2 7 2 9" xfId="8515" xr:uid="{00000000-0005-0000-0000-000040210000}"/>
    <cellStyle name="Comma 2 2 7 3" xfId="8516" xr:uid="{00000000-0005-0000-0000-000041210000}"/>
    <cellStyle name="Comma 2 2 7 3 2" xfId="8517" xr:uid="{00000000-0005-0000-0000-000042210000}"/>
    <cellStyle name="Comma 2 2 7 3 2 2" xfId="8518" xr:uid="{00000000-0005-0000-0000-000043210000}"/>
    <cellStyle name="Comma 2 2 7 3 2 2 2" xfId="8519" xr:uid="{00000000-0005-0000-0000-000044210000}"/>
    <cellStyle name="Comma 2 2 7 3 2 2 3" xfId="8520" xr:uid="{00000000-0005-0000-0000-000045210000}"/>
    <cellStyle name="Comma 2 2 7 3 2 3" xfId="8521" xr:uid="{00000000-0005-0000-0000-000046210000}"/>
    <cellStyle name="Comma 2 2 7 3 2 4" xfId="8522" xr:uid="{00000000-0005-0000-0000-000047210000}"/>
    <cellStyle name="Comma 2 2 7 3 2 5" xfId="8523" xr:uid="{00000000-0005-0000-0000-000048210000}"/>
    <cellStyle name="Comma 2 2 7 3 2 6" xfId="8524" xr:uid="{00000000-0005-0000-0000-000049210000}"/>
    <cellStyle name="Comma 2 2 7 3 3" xfId="8525" xr:uid="{00000000-0005-0000-0000-00004A210000}"/>
    <cellStyle name="Comma 2 2 7 3 3 2" xfId="8526" xr:uid="{00000000-0005-0000-0000-00004B210000}"/>
    <cellStyle name="Comma 2 2 7 3 3 2 2" xfId="8527" xr:uid="{00000000-0005-0000-0000-00004C210000}"/>
    <cellStyle name="Comma 2 2 7 3 3 3" xfId="8528" xr:uid="{00000000-0005-0000-0000-00004D210000}"/>
    <cellStyle name="Comma 2 2 7 3 3 4" xfId="8529" xr:uid="{00000000-0005-0000-0000-00004E210000}"/>
    <cellStyle name="Comma 2 2 7 3 3 5" xfId="8530" xr:uid="{00000000-0005-0000-0000-00004F210000}"/>
    <cellStyle name="Comma 2 2 7 3 4" xfId="8531" xr:uid="{00000000-0005-0000-0000-000050210000}"/>
    <cellStyle name="Comma 2 2 7 3 4 2" xfId="8532" xr:uid="{00000000-0005-0000-0000-000051210000}"/>
    <cellStyle name="Comma 2 2 7 3 4 3" xfId="8533" xr:uid="{00000000-0005-0000-0000-000052210000}"/>
    <cellStyle name="Comma 2 2 7 3 4 4" xfId="8534" xr:uid="{00000000-0005-0000-0000-000053210000}"/>
    <cellStyle name="Comma 2 2 7 3 5" xfId="8535" xr:uid="{00000000-0005-0000-0000-000054210000}"/>
    <cellStyle name="Comma 2 2 7 3 5 2" xfId="8536" xr:uid="{00000000-0005-0000-0000-000055210000}"/>
    <cellStyle name="Comma 2 2 7 3 6" xfId="8537" xr:uid="{00000000-0005-0000-0000-000056210000}"/>
    <cellStyle name="Comma 2 2 7 3 7" xfId="8538" xr:uid="{00000000-0005-0000-0000-000057210000}"/>
    <cellStyle name="Comma 2 2 7 3 8" xfId="8539" xr:uid="{00000000-0005-0000-0000-000058210000}"/>
    <cellStyle name="Comma 2 2 7 3 9" xfId="8540" xr:uid="{00000000-0005-0000-0000-000059210000}"/>
    <cellStyle name="Comma 2 2 7 4" xfId="8541" xr:uid="{00000000-0005-0000-0000-00005A210000}"/>
    <cellStyle name="Comma 2 2 7 4 2" xfId="8542" xr:uid="{00000000-0005-0000-0000-00005B210000}"/>
    <cellStyle name="Comma 2 2 7 4 2 2" xfId="8543" xr:uid="{00000000-0005-0000-0000-00005C210000}"/>
    <cellStyle name="Comma 2 2 7 4 2 3" xfId="8544" xr:uid="{00000000-0005-0000-0000-00005D210000}"/>
    <cellStyle name="Comma 2 2 7 4 3" xfId="8545" xr:uid="{00000000-0005-0000-0000-00005E210000}"/>
    <cellStyle name="Comma 2 2 7 4 4" xfId="8546" xr:uid="{00000000-0005-0000-0000-00005F210000}"/>
    <cellStyle name="Comma 2 2 7 4 5" xfId="8547" xr:uid="{00000000-0005-0000-0000-000060210000}"/>
    <cellStyle name="Comma 2 2 7 4 6" xfId="8548" xr:uid="{00000000-0005-0000-0000-000061210000}"/>
    <cellStyle name="Comma 2 2 7 5" xfId="8549" xr:uid="{00000000-0005-0000-0000-000062210000}"/>
    <cellStyle name="Comma 2 2 7 5 2" xfId="8550" xr:uid="{00000000-0005-0000-0000-000063210000}"/>
    <cellStyle name="Comma 2 2 7 5 2 2" xfId="8551" xr:uid="{00000000-0005-0000-0000-000064210000}"/>
    <cellStyle name="Comma 2 2 7 5 3" xfId="8552" xr:uid="{00000000-0005-0000-0000-000065210000}"/>
    <cellStyle name="Comma 2 2 7 5 4" xfId="8553" xr:uid="{00000000-0005-0000-0000-000066210000}"/>
    <cellStyle name="Comma 2 2 7 5 5" xfId="8554" xr:uid="{00000000-0005-0000-0000-000067210000}"/>
    <cellStyle name="Comma 2 2 7 6" xfId="8555" xr:uid="{00000000-0005-0000-0000-000068210000}"/>
    <cellStyle name="Comma 2 2 7 6 2" xfId="8556" xr:uid="{00000000-0005-0000-0000-000069210000}"/>
    <cellStyle name="Comma 2 2 7 6 3" xfId="8557" xr:uid="{00000000-0005-0000-0000-00006A210000}"/>
    <cellStyle name="Comma 2 2 7 6 4" xfId="8558" xr:uid="{00000000-0005-0000-0000-00006B210000}"/>
    <cellStyle name="Comma 2 2 7 7" xfId="8559" xr:uid="{00000000-0005-0000-0000-00006C210000}"/>
    <cellStyle name="Comma 2 2 7 7 2" xfId="8560" xr:uid="{00000000-0005-0000-0000-00006D210000}"/>
    <cellStyle name="Comma 2 2 7 8" xfId="8561" xr:uid="{00000000-0005-0000-0000-00006E210000}"/>
    <cellStyle name="Comma 2 2 7 9" xfId="8562" xr:uid="{00000000-0005-0000-0000-00006F210000}"/>
    <cellStyle name="Comma 2 2 8" xfId="8563" xr:uid="{00000000-0005-0000-0000-000070210000}"/>
    <cellStyle name="Comma 2 2 8 10" xfId="8564" xr:uid="{00000000-0005-0000-0000-000071210000}"/>
    <cellStyle name="Comma 2 2 8 11" xfId="8565" xr:uid="{00000000-0005-0000-0000-000072210000}"/>
    <cellStyle name="Comma 2 2 8 2" xfId="8566" xr:uid="{00000000-0005-0000-0000-000073210000}"/>
    <cellStyle name="Comma 2 2 8 2 2" xfId="8567" xr:uid="{00000000-0005-0000-0000-000074210000}"/>
    <cellStyle name="Comma 2 2 8 2 2 2" xfId="8568" xr:uid="{00000000-0005-0000-0000-000075210000}"/>
    <cellStyle name="Comma 2 2 8 2 2 2 2" xfId="8569" xr:uid="{00000000-0005-0000-0000-000076210000}"/>
    <cellStyle name="Comma 2 2 8 2 2 2 3" xfId="8570" xr:uid="{00000000-0005-0000-0000-000077210000}"/>
    <cellStyle name="Comma 2 2 8 2 2 3" xfId="8571" xr:uid="{00000000-0005-0000-0000-000078210000}"/>
    <cellStyle name="Comma 2 2 8 2 2 4" xfId="8572" xr:uid="{00000000-0005-0000-0000-000079210000}"/>
    <cellStyle name="Comma 2 2 8 2 2 5" xfId="8573" xr:uid="{00000000-0005-0000-0000-00007A210000}"/>
    <cellStyle name="Comma 2 2 8 2 2 6" xfId="8574" xr:uid="{00000000-0005-0000-0000-00007B210000}"/>
    <cellStyle name="Comma 2 2 8 2 3" xfId="8575" xr:uid="{00000000-0005-0000-0000-00007C210000}"/>
    <cellStyle name="Comma 2 2 8 2 3 2" xfId="8576" xr:uid="{00000000-0005-0000-0000-00007D210000}"/>
    <cellStyle name="Comma 2 2 8 2 3 2 2" xfId="8577" xr:uid="{00000000-0005-0000-0000-00007E210000}"/>
    <cellStyle name="Comma 2 2 8 2 3 3" xfId="8578" xr:uid="{00000000-0005-0000-0000-00007F210000}"/>
    <cellStyle name="Comma 2 2 8 2 3 4" xfId="8579" xr:uid="{00000000-0005-0000-0000-000080210000}"/>
    <cellStyle name="Comma 2 2 8 2 3 5" xfId="8580" xr:uid="{00000000-0005-0000-0000-000081210000}"/>
    <cellStyle name="Comma 2 2 8 2 4" xfId="8581" xr:uid="{00000000-0005-0000-0000-000082210000}"/>
    <cellStyle name="Comma 2 2 8 2 4 2" xfId="8582" xr:uid="{00000000-0005-0000-0000-000083210000}"/>
    <cellStyle name="Comma 2 2 8 2 4 3" xfId="8583" xr:uid="{00000000-0005-0000-0000-000084210000}"/>
    <cellStyle name="Comma 2 2 8 2 4 4" xfId="8584" xr:uid="{00000000-0005-0000-0000-000085210000}"/>
    <cellStyle name="Comma 2 2 8 2 5" xfId="8585" xr:uid="{00000000-0005-0000-0000-000086210000}"/>
    <cellStyle name="Comma 2 2 8 2 5 2" xfId="8586" xr:uid="{00000000-0005-0000-0000-000087210000}"/>
    <cellStyle name="Comma 2 2 8 2 6" xfId="8587" xr:uid="{00000000-0005-0000-0000-000088210000}"/>
    <cellStyle name="Comma 2 2 8 2 7" xfId="8588" xr:uid="{00000000-0005-0000-0000-000089210000}"/>
    <cellStyle name="Comma 2 2 8 2 8" xfId="8589" xr:uid="{00000000-0005-0000-0000-00008A210000}"/>
    <cellStyle name="Comma 2 2 8 2 9" xfId="8590" xr:uid="{00000000-0005-0000-0000-00008B210000}"/>
    <cellStyle name="Comma 2 2 8 3" xfId="8591" xr:uid="{00000000-0005-0000-0000-00008C210000}"/>
    <cellStyle name="Comma 2 2 8 3 2" xfId="8592" xr:uid="{00000000-0005-0000-0000-00008D210000}"/>
    <cellStyle name="Comma 2 2 8 3 2 2" xfId="8593" xr:uid="{00000000-0005-0000-0000-00008E210000}"/>
    <cellStyle name="Comma 2 2 8 3 2 2 2" xfId="8594" xr:uid="{00000000-0005-0000-0000-00008F210000}"/>
    <cellStyle name="Comma 2 2 8 3 2 2 3" xfId="8595" xr:uid="{00000000-0005-0000-0000-000090210000}"/>
    <cellStyle name="Comma 2 2 8 3 2 3" xfId="8596" xr:uid="{00000000-0005-0000-0000-000091210000}"/>
    <cellStyle name="Comma 2 2 8 3 2 4" xfId="8597" xr:uid="{00000000-0005-0000-0000-000092210000}"/>
    <cellStyle name="Comma 2 2 8 3 2 5" xfId="8598" xr:uid="{00000000-0005-0000-0000-000093210000}"/>
    <cellStyle name="Comma 2 2 8 3 2 6" xfId="8599" xr:uid="{00000000-0005-0000-0000-000094210000}"/>
    <cellStyle name="Comma 2 2 8 3 3" xfId="8600" xr:uid="{00000000-0005-0000-0000-000095210000}"/>
    <cellStyle name="Comma 2 2 8 3 3 2" xfId="8601" xr:uid="{00000000-0005-0000-0000-000096210000}"/>
    <cellStyle name="Comma 2 2 8 3 3 2 2" xfId="8602" xr:uid="{00000000-0005-0000-0000-000097210000}"/>
    <cellStyle name="Comma 2 2 8 3 3 3" xfId="8603" xr:uid="{00000000-0005-0000-0000-000098210000}"/>
    <cellStyle name="Comma 2 2 8 3 3 4" xfId="8604" xr:uid="{00000000-0005-0000-0000-000099210000}"/>
    <cellStyle name="Comma 2 2 8 3 3 5" xfId="8605" xr:uid="{00000000-0005-0000-0000-00009A210000}"/>
    <cellStyle name="Comma 2 2 8 3 4" xfId="8606" xr:uid="{00000000-0005-0000-0000-00009B210000}"/>
    <cellStyle name="Comma 2 2 8 3 4 2" xfId="8607" xr:uid="{00000000-0005-0000-0000-00009C210000}"/>
    <cellStyle name="Comma 2 2 8 3 4 3" xfId="8608" xr:uid="{00000000-0005-0000-0000-00009D210000}"/>
    <cellStyle name="Comma 2 2 8 3 4 4" xfId="8609" xr:uid="{00000000-0005-0000-0000-00009E210000}"/>
    <cellStyle name="Comma 2 2 8 3 5" xfId="8610" xr:uid="{00000000-0005-0000-0000-00009F210000}"/>
    <cellStyle name="Comma 2 2 8 3 5 2" xfId="8611" xr:uid="{00000000-0005-0000-0000-0000A0210000}"/>
    <cellStyle name="Comma 2 2 8 3 6" xfId="8612" xr:uid="{00000000-0005-0000-0000-0000A1210000}"/>
    <cellStyle name="Comma 2 2 8 3 7" xfId="8613" xr:uid="{00000000-0005-0000-0000-0000A2210000}"/>
    <cellStyle name="Comma 2 2 8 3 8" xfId="8614" xr:uid="{00000000-0005-0000-0000-0000A3210000}"/>
    <cellStyle name="Comma 2 2 8 3 9" xfId="8615" xr:uid="{00000000-0005-0000-0000-0000A4210000}"/>
    <cellStyle name="Comma 2 2 8 4" xfId="8616" xr:uid="{00000000-0005-0000-0000-0000A5210000}"/>
    <cellStyle name="Comma 2 2 8 4 2" xfId="8617" xr:uid="{00000000-0005-0000-0000-0000A6210000}"/>
    <cellStyle name="Comma 2 2 8 4 2 2" xfId="8618" xr:uid="{00000000-0005-0000-0000-0000A7210000}"/>
    <cellStyle name="Comma 2 2 8 4 2 3" xfId="8619" xr:uid="{00000000-0005-0000-0000-0000A8210000}"/>
    <cellStyle name="Comma 2 2 8 4 3" xfId="8620" xr:uid="{00000000-0005-0000-0000-0000A9210000}"/>
    <cellStyle name="Comma 2 2 8 4 4" xfId="8621" xr:uid="{00000000-0005-0000-0000-0000AA210000}"/>
    <cellStyle name="Comma 2 2 8 4 5" xfId="8622" xr:uid="{00000000-0005-0000-0000-0000AB210000}"/>
    <cellStyle name="Comma 2 2 8 4 6" xfId="8623" xr:uid="{00000000-0005-0000-0000-0000AC210000}"/>
    <cellStyle name="Comma 2 2 8 5" xfId="8624" xr:uid="{00000000-0005-0000-0000-0000AD210000}"/>
    <cellStyle name="Comma 2 2 8 5 2" xfId="8625" xr:uid="{00000000-0005-0000-0000-0000AE210000}"/>
    <cellStyle name="Comma 2 2 8 5 2 2" xfId="8626" xr:uid="{00000000-0005-0000-0000-0000AF210000}"/>
    <cellStyle name="Comma 2 2 8 5 3" xfId="8627" xr:uid="{00000000-0005-0000-0000-0000B0210000}"/>
    <cellStyle name="Comma 2 2 8 5 4" xfId="8628" xr:uid="{00000000-0005-0000-0000-0000B1210000}"/>
    <cellStyle name="Comma 2 2 8 5 5" xfId="8629" xr:uid="{00000000-0005-0000-0000-0000B2210000}"/>
    <cellStyle name="Comma 2 2 8 6" xfId="8630" xr:uid="{00000000-0005-0000-0000-0000B3210000}"/>
    <cellStyle name="Comma 2 2 8 6 2" xfId="8631" xr:uid="{00000000-0005-0000-0000-0000B4210000}"/>
    <cellStyle name="Comma 2 2 8 6 3" xfId="8632" xr:uid="{00000000-0005-0000-0000-0000B5210000}"/>
    <cellStyle name="Comma 2 2 8 6 4" xfId="8633" xr:uid="{00000000-0005-0000-0000-0000B6210000}"/>
    <cellStyle name="Comma 2 2 8 7" xfId="8634" xr:uid="{00000000-0005-0000-0000-0000B7210000}"/>
    <cellStyle name="Comma 2 2 8 7 2" xfId="8635" xr:uid="{00000000-0005-0000-0000-0000B8210000}"/>
    <cellStyle name="Comma 2 2 8 8" xfId="8636" xr:uid="{00000000-0005-0000-0000-0000B9210000}"/>
    <cellStyle name="Comma 2 2 8 9" xfId="8637" xr:uid="{00000000-0005-0000-0000-0000BA210000}"/>
    <cellStyle name="Comma 2 2 9" xfId="8638" xr:uid="{00000000-0005-0000-0000-0000BB210000}"/>
    <cellStyle name="Comma 2 2 9 10" xfId="8639" xr:uid="{00000000-0005-0000-0000-0000BC210000}"/>
    <cellStyle name="Comma 2 2 9 11" xfId="8640" xr:uid="{00000000-0005-0000-0000-0000BD210000}"/>
    <cellStyle name="Comma 2 2 9 2" xfId="8641" xr:uid="{00000000-0005-0000-0000-0000BE210000}"/>
    <cellStyle name="Comma 2 2 9 2 2" xfId="8642" xr:uid="{00000000-0005-0000-0000-0000BF210000}"/>
    <cellStyle name="Comma 2 2 9 2 2 2" xfId="8643" xr:uid="{00000000-0005-0000-0000-0000C0210000}"/>
    <cellStyle name="Comma 2 2 9 2 2 2 2" xfId="8644" xr:uid="{00000000-0005-0000-0000-0000C1210000}"/>
    <cellStyle name="Comma 2 2 9 2 2 2 3" xfId="8645" xr:uid="{00000000-0005-0000-0000-0000C2210000}"/>
    <cellStyle name="Comma 2 2 9 2 2 3" xfId="8646" xr:uid="{00000000-0005-0000-0000-0000C3210000}"/>
    <cellStyle name="Comma 2 2 9 2 2 4" xfId="8647" xr:uid="{00000000-0005-0000-0000-0000C4210000}"/>
    <cellStyle name="Comma 2 2 9 2 2 5" xfId="8648" xr:uid="{00000000-0005-0000-0000-0000C5210000}"/>
    <cellStyle name="Comma 2 2 9 2 2 6" xfId="8649" xr:uid="{00000000-0005-0000-0000-0000C6210000}"/>
    <cellStyle name="Comma 2 2 9 2 3" xfId="8650" xr:uid="{00000000-0005-0000-0000-0000C7210000}"/>
    <cellStyle name="Comma 2 2 9 2 3 2" xfId="8651" xr:uid="{00000000-0005-0000-0000-0000C8210000}"/>
    <cellStyle name="Comma 2 2 9 2 3 2 2" xfId="8652" xr:uid="{00000000-0005-0000-0000-0000C9210000}"/>
    <cellStyle name="Comma 2 2 9 2 3 3" xfId="8653" xr:uid="{00000000-0005-0000-0000-0000CA210000}"/>
    <cellStyle name="Comma 2 2 9 2 3 4" xfId="8654" xr:uid="{00000000-0005-0000-0000-0000CB210000}"/>
    <cellStyle name="Comma 2 2 9 2 3 5" xfId="8655" xr:uid="{00000000-0005-0000-0000-0000CC210000}"/>
    <cellStyle name="Comma 2 2 9 2 4" xfId="8656" xr:uid="{00000000-0005-0000-0000-0000CD210000}"/>
    <cellStyle name="Comma 2 2 9 2 4 2" xfId="8657" xr:uid="{00000000-0005-0000-0000-0000CE210000}"/>
    <cellStyle name="Comma 2 2 9 2 4 3" xfId="8658" xr:uid="{00000000-0005-0000-0000-0000CF210000}"/>
    <cellStyle name="Comma 2 2 9 2 4 4" xfId="8659" xr:uid="{00000000-0005-0000-0000-0000D0210000}"/>
    <cellStyle name="Comma 2 2 9 2 5" xfId="8660" xr:uid="{00000000-0005-0000-0000-0000D1210000}"/>
    <cellStyle name="Comma 2 2 9 2 5 2" xfId="8661" xr:uid="{00000000-0005-0000-0000-0000D2210000}"/>
    <cellStyle name="Comma 2 2 9 2 6" xfId="8662" xr:uid="{00000000-0005-0000-0000-0000D3210000}"/>
    <cellStyle name="Comma 2 2 9 2 7" xfId="8663" xr:uid="{00000000-0005-0000-0000-0000D4210000}"/>
    <cellStyle name="Comma 2 2 9 2 8" xfId="8664" xr:uid="{00000000-0005-0000-0000-0000D5210000}"/>
    <cellStyle name="Comma 2 2 9 2 9" xfId="8665" xr:uid="{00000000-0005-0000-0000-0000D6210000}"/>
    <cellStyle name="Comma 2 2 9 3" xfId="8666" xr:uid="{00000000-0005-0000-0000-0000D7210000}"/>
    <cellStyle name="Comma 2 2 9 3 2" xfId="8667" xr:uid="{00000000-0005-0000-0000-0000D8210000}"/>
    <cellStyle name="Comma 2 2 9 3 2 2" xfId="8668" xr:uid="{00000000-0005-0000-0000-0000D9210000}"/>
    <cellStyle name="Comma 2 2 9 3 2 2 2" xfId="8669" xr:uid="{00000000-0005-0000-0000-0000DA210000}"/>
    <cellStyle name="Comma 2 2 9 3 2 2 3" xfId="8670" xr:uid="{00000000-0005-0000-0000-0000DB210000}"/>
    <cellStyle name="Comma 2 2 9 3 2 3" xfId="8671" xr:uid="{00000000-0005-0000-0000-0000DC210000}"/>
    <cellStyle name="Comma 2 2 9 3 2 4" xfId="8672" xr:uid="{00000000-0005-0000-0000-0000DD210000}"/>
    <cellStyle name="Comma 2 2 9 3 2 5" xfId="8673" xr:uid="{00000000-0005-0000-0000-0000DE210000}"/>
    <cellStyle name="Comma 2 2 9 3 2 6" xfId="8674" xr:uid="{00000000-0005-0000-0000-0000DF210000}"/>
    <cellStyle name="Comma 2 2 9 3 3" xfId="8675" xr:uid="{00000000-0005-0000-0000-0000E0210000}"/>
    <cellStyle name="Comma 2 2 9 3 3 2" xfId="8676" xr:uid="{00000000-0005-0000-0000-0000E1210000}"/>
    <cellStyle name="Comma 2 2 9 3 3 2 2" xfId="8677" xr:uid="{00000000-0005-0000-0000-0000E2210000}"/>
    <cellStyle name="Comma 2 2 9 3 3 3" xfId="8678" xr:uid="{00000000-0005-0000-0000-0000E3210000}"/>
    <cellStyle name="Comma 2 2 9 3 3 4" xfId="8679" xr:uid="{00000000-0005-0000-0000-0000E4210000}"/>
    <cellStyle name="Comma 2 2 9 3 3 5" xfId="8680" xr:uid="{00000000-0005-0000-0000-0000E5210000}"/>
    <cellStyle name="Comma 2 2 9 3 4" xfId="8681" xr:uid="{00000000-0005-0000-0000-0000E6210000}"/>
    <cellStyle name="Comma 2 2 9 3 4 2" xfId="8682" xr:uid="{00000000-0005-0000-0000-0000E7210000}"/>
    <cellStyle name="Comma 2 2 9 3 4 3" xfId="8683" xr:uid="{00000000-0005-0000-0000-0000E8210000}"/>
    <cellStyle name="Comma 2 2 9 3 4 4" xfId="8684" xr:uid="{00000000-0005-0000-0000-0000E9210000}"/>
    <cellStyle name="Comma 2 2 9 3 5" xfId="8685" xr:uid="{00000000-0005-0000-0000-0000EA210000}"/>
    <cellStyle name="Comma 2 2 9 3 5 2" xfId="8686" xr:uid="{00000000-0005-0000-0000-0000EB210000}"/>
    <cellStyle name="Comma 2 2 9 3 6" xfId="8687" xr:uid="{00000000-0005-0000-0000-0000EC210000}"/>
    <cellStyle name="Comma 2 2 9 3 7" xfId="8688" xr:uid="{00000000-0005-0000-0000-0000ED210000}"/>
    <cellStyle name="Comma 2 2 9 3 8" xfId="8689" xr:uid="{00000000-0005-0000-0000-0000EE210000}"/>
    <cellStyle name="Comma 2 2 9 3 9" xfId="8690" xr:uid="{00000000-0005-0000-0000-0000EF210000}"/>
    <cellStyle name="Comma 2 2 9 4" xfId="8691" xr:uid="{00000000-0005-0000-0000-0000F0210000}"/>
    <cellStyle name="Comma 2 2 9 4 2" xfId="8692" xr:uid="{00000000-0005-0000-0000-0000F1210000}"/>
    <cellStyle name="Comma 2 2 9 4 2 2" xfId="8693" xr:uid="{00000000-0005-0000-0000-0000F2210000}"/>
    <cellStyle name="Comma 2 2 9 4 2 3" xfId="8694" xr:uid="{00000000-0005-0000-0000-0000F3210000}"/>
    <cellStyle name="Comma 2 2 9 4 3" xfId="8695" xr:uid="{00000000-0005-0000-0000-0000F4210000}"/>
    <cellStyle name="Comma 2 2 9 4 4" xfId="8696" xr:uid="{00000000-0005-0000-0000-0000F5210000}"/>
    <cellStyle name="Comma 2 2 9 4 5" xfId="8697" xr:uid="{00000000-0005-0000-0000-0000F6210000}"/>
    <cellStyle name="Comma 2 2 9 4 6" xfId="8698" xr:uid="{00000000-0005-0000-0000-0000F7210000}"/>
    <cellStyle name="Comma 2 2 9 5" xfId="8699" xr:uid="{00000000-0005-0000-0000-0000F8210000}"/>
    <cellStyle name="Comma 2 2 9 5 2" xfId="8700" xr:uid="{00000000-0005-0000-0000-0000F9210000}"/>
    <cellStyle name="Comma 2 2 9 5 2 2" xfId="8701" xr:uid="{00000000-0005-0000-0000-0000FA210000}"/>
    <cellStyle name="Comma 2 2 9 5 3" xfId="8702" xr:uid="{00000000-0005-0000-0000-0000FB210000}"/>
    <cellStyle name="Comma 2 2 9 5 4" xfId="8703" xr:uid="{00000000-0005-0000-0000-0000FC210000}"/>
    <cellStyle name="Comma 2 2 9 5 5" xfId="8704" xr:uid="{00000000-0005-0000-0000-0000FD210000}"/>
    <cellStyle name="Comma 2 2 9 6" xfId="8705" xr:uid="{00000000-0005-0000-0000-0000FE210000}"/>
    <cellStyle name="Comma 2 2 9 6 2" xfId="8706" xr:uid="{00000000-0005-0000-0000-0000FF210000}"/>
    <cellStyle name="Comma 2 2 9 6 3" xfId="8707" xr:uid="{00000000-0005-0000-0000-000000220000}"/>
    <cellStyle name="Comma 2 2 9 6 4" xfId="8708" xr:uid="{00000000-0005-0000-0000-000001220000}"/>
    <cellStyle name="Comma 2 2 9 7" xfId="8709" xr:uid="{00000000-0005-0000-0000-000002220000}"/>
    <cellStyle name="Comma 2 2 9 7 2" xfId="8710" xr:uid="{00000000-0005-0000-0000-000003220000}"/>
    <cellStyle name="Comma 2 2 9 8" xfId="8711" xr:uid="{00000000-0005-0000-0000-000004220000}"/>
    <cellStyle name="Comma 2 2 9 9" xfId="8712" xr:uid="{00000000-0005-0000-0000-000005220000}"/>
    <cellStyle name="Comma 2 20" xfId="8713" xr:uid="{00000000-0005-0000-0000-000006220000}"/>
    <cellStyle name="Comma 2 20 10" xfId="8714" xr:uid="{00000000-0005-0000-0000-000007220000}"/>
    <cellStyle name="Comma 2 20 2" xfId="8715" xr:uid="{00000000-0005-0000-0000-000008220000}"/>
    <cellStyle name="Comma 2 20 2 2" xfId="8716" xr:uid="{00000000-0005-0000-0000-000009220000}"/>
    <cellStyle name="Comma 2 20 2 2 2" xfId="8717" xr:uid="{00000000-0005-0000-0000-00000A220000}"/>
    <cellStyle name="Comma 2 20 2 2 3" xfId="8718" xr:uid="{00000000-0005-0000-0000-00000B220000}"/>
    <cellStyle name="Comma 2 20 2 3" xfId="8719" xr:uid="{00000000-0005-0000-0000-00000C220000}"/>
    <cellStyle name="Comma 2 20 2 4" xfId="8720" xr:uid="{00000000-0005-0000-0000-00000D220000}"/>
    <cellStyle name="Comma 2 20 2 5" xfId="8721" xr:uid="{00000000-0005-0000-0000-00000E220000}"/>
    <cellStyle name="Comma 2 20 2 6" xfId="8722" xr:uid="{00000000-0005-0000-0000-00000F220000}"/>
    <cellStyle name="Comma 2 20 3" xfId="8723" xr:uid="{00000000-0005-0000-0000-000010220000}"/>
    <cellStyle name="Comma 2 20 3 2" xfId="8724" xr:uid="{00000000-0005-0000-0000-000011220000}"/>
    <cellStyle name="Comma 2 20 3 2 2" xfId="8725" xr:uid="{00000000-0005-0000-0000-000012220000}"/>
    <cellStyle name="Comma 2 20 3 2 3" xfId="8726" xr:uid="{00000000-0005-0000-0000-000013220000}"/>
    <cellStyle name="Comma 2 20 3 3" xfId="8727" xr:uid="{00000000-0005-0000-0000-000014220000}"/>
    <cellStyle name="Comma 2 20 3 4" xfId="8728" xr:uid="{00000000-0005-0000-0000-000015220000}"/>
    <cellStyle name="Comma 2 20 3 5" xfId="8729" xr:uid="{00000000-0005-0000-0000-000016220000}"/>
    <cellStyle name="Comma 2 20 3 6" xfId="8730" xr:uid="{00000000-0005-0000-0000-000017220000}"/>
    <cellStyle name="Comma 2 20 4" xfId="8731" xr:uid="{00000000-0005-0000-0000-000018220000}"/>
    <cellStyle name="Comma 2 20 4 2" xfId="8732" xr:uid="{00000000-0005-0000-0000-000019220000}"/>
    <cellStyle name="Comma 2 20 4 2 2" xfId="8733" xr:uid="{00000000-0005-0000-0000-00001A220000}"/>
    <cellStyle name="Comma 2 20 4 3" xfId="8734" xr:uid="{00000000-0005-0000-0000-00001B220000}"/>
    <cellStyle name="Comma 2 20 4 4" xfId="8735" xr:uid="{00000000-0005-0000-0000-00001C220000}"/>
    <cellStyle name="Comma 2 20 4 5" xfId="8736" xr:uid="{00000000-0005-0000-0000-00001D220000}"/>
    <cellStyle name="Comma 2 20 4 6" xfId="8737" xr:uid="{00000000-0005-0000-0000-00001E220000}"/>
    <cellStyle name="Comma 2 20 5" xfId="8738" xr:uid="{00000000-0005-0000-0000-00001F220000}"/>
    <cellStyle name="Comma 2 20 5 2" xfId="8739" xr:uid="{00000000-0005-0000-0000-000020220000}"/>
    <cellStyle name="Comma 2 20 5 3" xfId="8740" xr:uid="{00000000-0005-0000-0000-000021220000}"/>
    <cellStyle name="Comma 2 20 5 4" xfId="8741" xr:uid="{00000000-0005-0000-0000-000022220000}"/>
    <cellStyle name="Comma 2 20 5 5" xfId="8742" xr:uid="{00000000-0005-0000-0000-000023220000}"/>
    <cellStyle name="Comma 2 20 6" xfId="8743" xr:uid="{00000000-0005-0000-0000-000024220000}"/>
    <cellStyle name="Comma 2 20 6 2" xfId="8744" xr:uid="{00000000-0005-0000-0000-000025220000}"/>
    <cellStyle name="Comma 2 20 6 3" xfId="8745" xr:uid="{00000000-0005-0000-0000-000026220000}"/>
    <cellStyle name="Comma 2 20 7" xfId="8746" xr:uid="{00000000-0005-0000-0000-000027220000}"/>
    <cellStyle name="Comma 2 20 7 2" xfId="8747" xr:uid="{00000000-0005-0000-0000-000028220000}"/>
    <cellStyle name="Comma 2 20 8" xfId="8748" xr:uid="{00000000-0005-0000-0000-000029220000}"/>
    <cellStyle name="Comma 2 20 9" xfId="8749" xr:uid="{00000000-0005-0000-0000-00002A220000}"/>
    <cellStyle name="Comma 2 21" xfId="8750" xr:uid="{00000000-0005-0000-0000-00002B220000}"/>
    <cellStyle name="Comma 2 21 10" xfId="8751" xr:uid="{00000000-0005-0000-0000-00002C220000}"/>
    <cellStyle name="Comma 2 21 2" xfId="8752" xr:uid="{00000000-0005-0000-0000-00002D220000}"/>
    <cellStyle name="Comma 2 21 2 2" xfId="8753" xr:uid="{00000000-0005-0000-0000-00002E220000}"/>
    <cellStyle name="Comma 2 21 2 2 2" xfId="8754" xr:uid="{00000000-0005-0000-0000-00002F220000}"/>
    <cellStyle name="Comma 2 21 2 2 3" xfId="8755" xr:uid="{00000000-0005-0000-0000-000030220000}"/>
    <cellStyle name="Comma 2 21 2 3" xfId="8756" xr:uid="{00000000-0005-0000-0000-000031220000}"/>
    <cellStyle name="Comma 2 21 2 4" xfId="8757" xr:uid="{00000000-0005-0000-0000-000032220000}"/>
    <cellStyle name="Comma 2 21 2 5" xfId="8758" xr:uid="{00000000-0005-0000-0000-000033220000}"/>
    <cellStyle name="Comma 2 21 2 6" xfId="8759" xr:uid="{00000000-0005-0000-0000-000034220000}"/>
    <cellStyle name="Comma 2 21 3" xfId="8760" xr:uid="{00000000-0005-0000-0000-000035220000}"/>
    <cellStyle name="Comma 2 21 3 2" xfId="8761" xr:uid="{00000000-0005-0000-0000-000036220000}"/>
    <cellStyle name="Comma 2 21 3 2 2" xfId="8762" xr:uid="{00000000-0005-0000-0000-000037220000}"/>
    <cellStyle name="Comma 2 21 3 2 3" xfId="8763" xr:uid="{00000000-0005-0000-0000-000038220000}"/>
    <cellStyle name="Comma 2 21 3 3" xfId="8764" xr:uid="{00000000-0005-0000-0000-000039220000}"/>
    <cellStyle name="Comma 2 21 3 4" xfId="8765" xr:uid="{00000000-0005-0000-0000-00003A220000}"/>
    <cellStyle name="Comma 2 21 3 5" xfId="8766" xr:uid="{00000000-0005-0000-0000-00003B220000}"/>
    <cellStyle name="Comma 2 21 3 6" xfId="8767" xr:uid="{00000000-0005-0000-0000-00003C220000}"/>
    <cellStyle name="Comma 2 21 4" xfId="8768" xr:uid="{00000000-0005-0000-0000-00003D220000}"/>
    <cellStyle name="Comma 2 21 4 2" xfId="8769" xr:uid="{00000000-0005-0000-0000-00003E220000}"/>
    <cellStyle name="Comma 2 21 4 2 2" xfId="8770" xr:uid="{00000000-0005-0000-0000-00003F220000}"/>
    <cellStyle name="Comma 2 21 4 3" xfId="8771" xr:uid="{00000000-0005-0000-0000-000040220000}"/>
    <cellStyle name="Comma 2 21 4 4" xfId="8772" xr:uid="{00000000-0005-0000-0000-000041220000}"/>
    <cellStyle name="Comma 2 21 4 5" xfId="8773" xr:uid="{00000000-0005-0000-0000-000042220000}"/>
    <cellStyle name="Comma 2 21 4 6" xfId="8774" xr:uid="{00000000-0005-0000-0000-000043220000}"/>
    <cellStyle name="Comma 2 21 5" xfId="8775" xr:uid="{00000000-0005-0000-0000-000044220000}"/>
    <cellStyle name="Comma 2 21 5 2" xfId="8776" xr:uid="{00000000-0005-0000-0000-000045220000}"/>
    <cellStyle name="Comma 2 21 5 3" xfId="8777" xr:uid="{00000000-0005-0000-0000-000046220000}"/>
    <cellStyle name="Comma 2 21 5 4" xfId="8778" xr:uid="{00000000-0005-0000-0000-000047220000}"/>
    <cellStyle name="Comma 2 21 5 5" xfId="8779" xr:uid="{00000000-0005-0000-0000-000048220000}"/>
    <cellStyle name="Comma 2 21 6" xfId="8780" xr:uid="{00000000-0005-0000-0000-000049220000}"/>
    <cellStyle name="Comma 2 21 6 2" xfId="8781" xr:uid="{00000000-0005-0000-0000-00004A220000}"/>
    <cellStyle name="Comma 2 21 6 3" xfId="8782" xr:uid="{00000000-0005-0000-0000-00004B220000}"/>
    <cellStyle name="Comma 2 21 7" xfId="8783" xr:uid="{00000000-0005-0000-0000-00004C220000}"/>
    <cellStyle name="Comma 2 21 7 2" xfId="8784" xr:uid="{00000000-0005-0000-0000-00004D220000}"/>
    <cellStyle name="Comma 2 21 8" xfId="8785" xr:uid="{00000000-0005-0000-0000-00004E220000}"/>
    <cellStyle name="Comma 2 21 9" xfId="8786" xr:uid="{00000000-0005-0000-0000-00004F220000}"/>
    <cellStyle name="Comma 2 22" xfId="8787" xr:uid="{00000000-0005-0000-0000-000050220000}"/>
    <cellStyle name="Comma 2 22 10" xfId="8788" xr:uid="{00000000-0005-0000-0000-000051220000}"/>
    <cellStyle name="Comma 2 22 2" xfId="8789" xr:uid="{00000000-0005-0000-0000-000052220000}"/>
    <cellStyle name="Comma 2 22 2 2" xfId="8790" xr:uid="{00000000-0005-0000-0000-000053220000}"/>
    <cellStyle name="Comma 2 22 2 2 2" xfId="8791" xr:uid="{00000000-0005-0000-0000-000054220000}"/>
    <cellStyle name="Comma 2 22 2 2 3" xfId="8792" xr:uid="{00000000-0005-0000-0000-000055220000}"/>
    <cellStyle name="Comma 2 22 2 3" xfId="8793" xr:uid="{00000000-0005-0000-0000-000056220000}"/>
    <cellStyle name="Comma 2 22 2 4" xfId="8794" xr:uid="{00000000-0005-0000-0000-000057220000}"/>
    <cellStyle name="Comma 2 22 2 5" xfId="8795" xr:uid="{00000000-0005-0000-0000-000058220000}"/>
    <cellStyle name="Comma 2 22 2 6" xfId="8796" xr:uid="{00000000-0005-0000-0000-000059220000}"/>
    <cellStyle name="Comma 2 22 3" xfId="8797" xr:uid="{00000000-0005-0000-0000-00005A220000}"/>
    <cellStyle name="Comma 2 22 3 2" xfId="8798" xr:uid="{00000000-0005-0000-0000-00005B220000}"/>
    <cellStyle name="Comma 2 22 3 2 2" xfId="8799" xr:uid="{00000000-0005-0000-0000-00005C220000}"/>
    <cellStyle name="Comma 2 22 3 2 3" xfId="8800" xr:uid="{00000000-0005-0000-0000-00005D220000}"/>
    <cellStyle name="Comma 2 22 3 3" xfId="8801" xr:uid="{00000000-0005-0000-0000-00005E220000}"/>
    <cellStyle name="Comma 2 22 3 4" xfId="8802" xr:uid="{00000000-0005-0000-0000-00005F220000}"/>
    <cellStyle name="Comma 2 22 3 5" xfId="8803" xr:uid="{00000000-0005-0000-0000-000060220000}"/>
    <cellStyle name="Comma 2 22 3 6" xfId="8804" xr:uid="{00000000-0005-0000-0000-000061220000}"/>
    <cellStyle name="Comma 2 22 4" xfId="8805" xr:uid="{00000000-0005-0000-0000-000062220000}"/>
    <cellStyle name="Comma 2 22 4 2" xfId="8806" xr:uid="{00000000-0005-0000-0000-000063220000}"/>
    <cellStyle name="Comma 2 22 4 2 2" xfId="8807" xr:uid="{00000000-0005-0000-0000-000064220000}"/>
    <cellStyle name="Comma 2 22 4 3" xfId="8808" xr:uid="{00000000-0005-0000-0000-000065220000}"/>
    <cellStyle name="Comma 2 22 4 4" xfId="8809" xr:uid="{00000000-0005-0000-0000-000066220000}"/>
    <cellStyle name="Comma 2 22 4 5" xfId="8810" xr:uid="{00000000-0005-0000-0000-000067220000}"/>
    <cellStyle name="Comma 2 22 4 6" xfId="8811" xr:uid="{00000000-0005-0000-0000-000068220000}"/>
    <cellStyle name="Comma 2 22 5" xfId="8812" xr:uid="{00000000-0005-0000-0000-000069220000}"/>
    <cellStyle name="Comma 2 22 5 2" xfId="8813" xr:uid="{00000000-0005-0000-0000-00006A220000}"/>
    <cellStyle name="Comma 2 22 5 3" xfId="8814" xr:uid="{00000000-0005-0000-0000-00006B220000}"/>
    <cellStyle name="Comma 2 22 5 4" xfId="8815" xr:uid="{00000000-0005-0000-0000-00006C220000}"/>
    <cellStyle name="Comma 2 22 5 5" xfId="8816" xr:uid="{00000000-0005-0000-0000-00006D220000}"/>
    <cellStyle name="Comma 2 22 6" xfId="8817" xr:uid="{00000000-0005-0000-0000-00006E220000}"/>
    <cellStyle name="Comma 2 22 6 2" xfId="8818" xr:uid="{00000000-0005-0000-0000-00006F220000}"/>
    <cellStyle name="Comma 2 22 6 3" xfId="8819" xr:uid="{00000000-0005-0000-0000-000070220000}"/>
    <cellStyle name="Comma 2 22 7" xfId="8820" xr:uid="{00000000-0005-0000-0000-000071220000}"/>
    <cellStyle name="Comma 2 22 7 2" xfId="8821" xr:uid="{00000000-0005-0000-0000-000072220000}"/>
    <cellStyle name="Comma 2 22 8" xfId="8822" xr:uid="{00000000-0005-0000-0000-000073220000}"/>
    <cellStyle name="Comma 2 22 9" xfId="8823" xr:uid="{00000000-0005-0000-0000-000074220000}"/>
    <cellStyle name="Comma 2 23" xfId="8824" xr:uid="{00000000-0005-0000-0000-000075220000}"/>
    <cellStyle name="Comma 2 23 10" xfId="8825" xr:uid="{00000000-0005-0000-0000-000076220000}"/>
    <cellStyle name="Comma 2 23 2" xfId="8826" xr:uid="{00000000-0005-0000-0000-000077220000}"/>
    <cellStyle name="Comma 2 23 2 2" xfId="8827" xr:uid="{00000000-0005-0000-0000-000078220000}"/>
    <cellStyle name="Comma 2 23 2 2 2" xfId="8828" xr:uid="{00000000-0005-0000-0000-000079220000}"/>
    <cellStyle name="Comma 2 23 2 2 3" xfId="8829" xr:uid="{00000000-0005-0000-0000-00007A220000}"/>
    <cellStyle name="Comma 2 23 2 3" xfId="8830" xr:uid="{00000000-0005-0000-0000-00007B220000}"/>
    <cellStyle name="Comma 2 23 2 4" xfId="8831" xr:uid="{00000000-0005-0000-0000-00007C220000}"/>
    <cellStyle name="Comma 2 23 2 5" xfId="8832" xr:uid="{00000000-0005-0000-0000-00007D220000}"/>
    <cellStyle name="Comma 2 23 2 6" xfId="8833" xr:uid="{00000000-0005-0000-0000-00007E220000}"/>
    <cellStyle name="Comma 2 23 3" xfId="8834" xr:uid="{00000000-0005-0000-0000-00007F220000}"/>
    <cellStyle name="Comma 2 23 3 2" xfId="8835" xr:uid="{00000000-0005-0000-0000-000080220000}"/>
    <cellStyle name="Comma 2 23 3 2 2" xfId="8836" xr:uid="{00000000-0005-0000-0000-000081220000}"/>
    <cellStyle name="Comma 2 23 3 2 3" xfId="8837" xr:uid="{00000000-0005-0000-0000-000082220000}"/>
    <cellStyle name="Comma 2 23 3 3" xfId="8838" xr:uid="{00000000-0005-0000-0000-000083220000}"/>
    <cellStyle name="Comma 2 23 3 4" xfId="8839" xr:uid="{00000000-0005-0000-0000-000084220000}"/>
    <cellStyle name="Comma 2 23 3 5" xfId="8840" xr:uid="{00000000-0005-0000-0000-000085220000}"/>
    <cellStyle name="Comma 2 23 3 6" xfId="8841" xr:uid="{00000000-0005-0000-0000-000086220000}"/>
    <cellStyle name="Comma 2 23 4" xfId="8842" xr:uid="{00000000-0005-0000-0000-000087220000}"/>
    <cellStyle name="Comma 2 23 4 2" xfId="8843" xr:uid="{00000000-0005-0000-0000-000088220000}"/>
    <cellStyle name="Comma 2 23 4 2 2" xfId="8844" xr:uid="{00000000-0005-0000-0000-000089220000}"/>
    <cellStyle name="Comma 2 23 4 3" xfId="8845" xr:uid="{00000000-0005-0000-0000-00008A220000}"/>
    <cellStyle name="Comma 2 23 4 4" xfId="8846" xr:uid="{00000000-0005-0000-0000-00008B220000}"/>
    <cellStyle name="Comma 2 23 4 5" xfId="8847" xr:uid="{00000000-0005-0000-0000-00008C220000}"/>
    <cellStyle name="Comma 2 23 4 6" xfId="8848" xr:uid="{00000000-0005-0000-0000-00008D220000}"/>
    <cellStyle name="Comma 2 23 5" xfId="8849" xr:uid="{00000000-0005-0000-0000-00008E220000}"/>
    <cellStyle name="Comma 2 23 5 2" xfId="8850" xr:uid="{00000000-0005-0000-0000-00008F220000}"/>
    <cellStyle name="Comma 2 23 5 3" xfId="8851" xr:uid="{00000000-0005-0000-0000-000090220000}"/>
    <cellStyle name="Comma 2 23 5 4" xfId="8852" xr:uid="{00000000-0005-0000-0000-000091220000}"/>
    <cellStyle name="Comma 2 23 5 5" xfId="8853" xr:uid="{00000000-0005-0000-0000-000092220000}"/>
    <cellStyle name="Comma 2 23 6" xfId="8854" xr:uid="{00000000-0005-0000-0000-000093220000}"/>
    <cellStyle name="Comma 2 23 6 2" xfId="8855" xr:uid="{00000000-0005-0000-0000-000094220000}"/>
    <cellStyle name="Comma 2 23 6 3" xfId="8856" xr:uid="{00000000-0005-0000-0000-000095220000}"/>
    <cellStyle name="Comma 2 23 7" xfId="8857" xr:uid="{00000000-0005-0000-0000-000096220000}"/>
    <cellStyle name="Comma 2 23 7 2" xfId="8858" xr:uid="{00000000-0005-0000-0000-000097220000}"/>
    <cellStyle name="Comma 2 23 8" xfId="8859" xr:uid="{00000000-0005-0000-0000-000098220000}"/>
    <cellStyle name="Comma 2 23 9" xfId="8860" xr:uid="{00000000-0005-0000-0000-000099220000}"/>
    <cellStyle name="Comma 2 24" xfId="8861" xr:uid="{00000000-0005-0000-0000-00009A220000}"/>
    <cellStyle name="Comma 2 24 10" xfId="8862" xr:uid="{00000000-0005-0000-0000-00009B220000}"/>
    <cellStyle name="Comma 2 24 2" xfId="8863" xr:uid="{00000000-0005-0000-0000-00009C220000}"/>
    <cellStyle name="Comma 2 24 2 2" xfId="8864" xr:uid="{00000000-0005-0000-0000-00009D220000}"/>
    <cellStyle name="Comma 2 24 2 2 2" xfId="8865" xr:uid="{00000000-0005-0000-0000-00009E220000}"/>
    <cellStyle name="Comma 2 24 2 2 3" xfId="8866" xr:uid="{00000000-0005-0000-0000-00009F220000}"/>
    <cellStyle name="Comma 2 24 2 3" xfId="8867" xr:uid="{00000000-0005-0000-0000-0000A0220000}"/>
    <cellStyle name="Comma 2 24 2 4" xfId="8868" xr:uid="{00000000-0005-0000-0000-0000A1220000}"/>
    <cellStyle name="Comma 2 24 2 5" xfId="8869" xr:uid="{00000000-0005-0000-0000-0000A2220000}"/>
    <cellStyle name="Comma 2 24 2 6" xfId="8870" xr:uid="{00000000-0005-0000-0000-0000A3220000}"/>
    <cellStyle name="Comma 2 24 3" xfId="8871" xr:uid="{00000000-0005-0000-0000-0000A4220000}"/>
    <cellStyle name="Comma 2 24 3 2" xfId="8872" xr:uid="{00000000-0005-0000-0000-0000A5220000}"/>
    <cellStyle name="Comma 2 24 3 2 2" xfId="8873" xr:uid="{00000000-0005-0000-0000-0000A6220000}"/>
    <cellStyle name="Comma 2 24 3 2 3" xfId="8874" xr:uid="{00000000-0005-0000-0000-0000A7220000}"/>
    <cellStyle name="Comma 2 24 3 3" xfId="8875" xr:uid="{00000000-0005-0000-0000-0000A8220000}"/>
    <cellStyle name="Comma 2 24 3 4" xfId="8876" xr:uid="{00000000-0005-0000-0000-0000A9220000}"/>
    <cellStyle name="Comma 2 24 3 5" xfId="8877" xr:uid="{00000000-0005-0000-0000-0000AA220000}"/>
    <cellStyle name="Comma 2 24 3 6" xfId="8878" xr:uid="{00000000-0005-0000-0000-0000AB220000}"/>
    <cellStyle name="Comma 2 24 4" xfId="8879" xr:uid="{00000000-0005-0000-0000-0000AC220000}"/>
    <cellStyle name="Comma 2 24 4 2" xfId="8880" xr:uid="{00000000-0005-0000-0000-0000AD220000}"/>
    <cellStyle name="Comma 2 24 4 2 2" xfId="8881" xr:uid="{00000000-0005-0000-0000-0000AE220000}"/>
    <cellStyle name="Comma 2 24 4 3" xfId="8882" xr:uid="{00000000-0005-0000-0000-0000AF220000}"/>
    <cellStyle name="Comma 2 24 4 4" xfId="8883" xr:uid="{00000000-0005-0000-0000-0000B0220000}"/>
    <cellStyle name="Comma 2 24 4 5" xfId="8884" xr:uid="{00000000-0005-0000-0000-0000B1220000}"/>
    <cellStyle name="Comma 2 24 4 6" xfId="8885" xr:uid="{00000000-0005-0000-0000-0000B2220000}"/>
    <cellStyle name="Comma 2 24 5" xfId="8886" xr:uid="{00000000-0005-0000-0000-0000B3220000}"/>
    <cellStyle name="Comma 2 24 5 2" xfId="8887" xr:uid="{00000000-0005-0000-0000-0000B4220000}"/>
    <cellStyle name="Comma 2 24 5 3" xfId="8888" xr:uid="{00000000-0005-0000-0000-0000B5220000}"/>
    <cellStyle name="Comma 2 24 5 4" xfId="8889" xr:uid="{00000000-0005-0000-0000-0000B6220000}"/>
    <cellStyle name="Comma 2 24 5 5" xfId="8890" xr:uid="{00000000-0005-0000-0000-0000B7220000}"/>
    <cellStyle name="Comma 2 24 6" xfId="8891" xr:uid="{00000000-0005-0000-0000-0000B8220000}"/>
    <cellStyle name="Comma 2 24 6 2" xfId="8892" xr:uid="{00000000-0005-0000-0000-0000B9220000}"/>
    <cellStyle name="Comma 2 24 6 3" xfId="8893" xr:uid="{00000000-0005-0000-0000-0000BA220000}"/>
    <cellStyle name="Comma 2 24 7" xfId="8894" xr:uid="{00000000-0005-0000-0000-0000BB220000}"/>
    <cellStyle name="Comma 2 24 7 2" xfId="8895" xr:uid="{00000000-0005-0000-0000-0000BC220000}"/>
    <cellStyle name="Comma 2 24 8" xfId="8896" xr:uid="{00000000-0005-0000-0000-0000BD220000}"/>
    <cellStyle name="Comma 2 24 9" xfId="8897" xr:uid="{00000000-0005-0000-0000-0000BE220000}"/>
    <cellStyle name="Comma 2 25" xfId="8898" xr:uid="{00000000-0005-0000-0000-0000BF220000}"/>
    <cellStyle name="Comma 2 25 10" xfId="8899" xr:uid="{00000000-0005-0000-0000-0000C0220000}"/>
    <cellStyle name="Comma 2 25 2" xfId="8900" xr:uid="{00000000-0005-0000-0000-0000C1220000}"/>
    <cellStyle name="Comma 2 25 2 2" xfId="8901" xr:uid="{00000000-0005-0000-0000-0000C2220000}"/>
    <cellStyle name="Comma 2 25 2 2 2" xfId="8902" xr:uid="{00000000-0005-0000-0000-0000C3220000}"/>
    <cellStyle name="Comma 2 25 2 2 3" xfId="8903" xr:uid="{00000000-0005-0000-0000-0000C4220000}"/>
    <cellStyle name="Comma 2 25 2 3" xfId="8904" xr:uid="{00000000-0005-0000-0000-0000C5220000}"/>
    <cellStyle name="Comma 2 25 2 4" xfId="8905" xr:uid="{00000000-0005-0000-0000-0000C6220000}"/>
    <cellStyle name="Comma 2 25 2 5" xfId="8906" xr:uid="{00000000-0005-0000-0000-0000C7220000}"/>
    <cellStyle name="Comma 2 25 2 6" xfId="8907" xr:uid="{00000000-0005-0000-0000-0000C8220000}"/>
    <cellStyle name="Comma 2 25 3" xfId="8908" xr:uid="{00000000-0005-0000-0000-0000C9220000}"/>
    <cellStyle name="Comma 2 25 3 2" xfId="8909" xr:uid="{00000000-0005-0000-0000-0000CA220000}"/>
    <cellStyle name="Comma 2 25 3 2 2" xfId="8910" xr:uid="{00000000-0005-0000-0000-0000CB220000}"/>
    <cellStyle name="Comma 2 25 3 2 3" xfId="8911" xr:uid="{00000000-0005-0000-0000-0000CC220000}"/>
    <cellStyle name="Comma 2 25 3 3" xfId="8912" xr:uid="{00000000-0005-0000-0000-0000CD220000}"/>
    <cellStyle name="Comma 2 25 3 4" xfId="8913" xr:uid="{00000000-0005-0000-0000-0000CE220000}"/>
    <cellStyle name="Comma 2 25 3 5" xfId="8914" xr:uid="{00000000-0005-0000-0000-0000CF220000}"/>
    <cellStyle name="Comma 2 25 3 6" xfId="8915" xr:uid="{00000000-0005-0000-0000-0000D0220000}"/>
    <cellStyle name="Comma 2 25 4" xfId="8916" xr:uid="{00000000-0005-0000-0000-0000D1220000}"/>
    <cellStyle name="Comma 2 25 4 2" xfId="8917" xr:uid="{00000000-0005-0000-0000-0000D2220000}"/>
    <cellStyle name="Comma 2 25 4 2 2" xfId="8918" xr:uid="{00000000-0005-0000-0000-0000D3220000}"/>
    <cellStyle name="Comma 2 25 4 3" xfId="8919" xr:uid="{00000000-0005-0000-0000-0000D4220000}"/>
    <cellStyle name="Comma 2 25 4 4" xfId="8920" xr:uid="{00000000-0005-0000-0000-0000D5220000}"/>
    <cellStyle name="Comma 2 25 4 5" xfId="8921" xr:uid="{00000000-0005-0000-0000-0000D6220000}"/>
    <cellStyle name="Comma 2 25 4 6" xfId="8922" xr:uid="{00000000-0005-0000-0000-0000D7220000}"/>
    <cellStyle name="Comma 2 25 5" xfId="8923" xr:uid="{00000000-0005-0000-0000-0000D8220000}"/>
    <cellStyle name="Comma 2 25 5 2" xfId="8924" xr:uid="{00000000-0005-0000-0000-0000D9220000}"/>
    <cellStyle name="Comma 2 25 5 3" xfId="8925" xr:uid="{00000000-0005-0000-0000-0000DA220000}"/>
    <cellStyle name="Comma 2 25 5 4" xfId="8926" xr:uid="{00000000-0005-0000-0000-0000DB220000}"/>
    <cellStyle name="Comma 2 25 5 5" xfId="8927" xr:uid="{00000000-0005-0000-0000-0000DC220000}"/>
    <cellStyle name="Comma 2 25 6" xfId="8928" xr:uid="{00000000-0005-0000-0000-0000DD220000}"/>
    <cellStyle name="Comma 2 25 6 2" xfId="8929" xr:uid="{00000000-0005-0000-0000-0000DE220000}"/>
    <cellStyle name="Comma 2 25 6 3" xfId="8930" xr:uid="{00000000-0005-0000-0000-0000DF220000}"/>
    <cellStyle name="Comma 2 25 7" xfId="8931" xr:uid="{00000000-0005-0000-0000-0000E0220000}"/>
    <cellStyle name="Comma 2 25 7 2" xfId="8932" xr:uid="{00000000-0005-0000-0000-0000E1220000}"/>
    <cellStyle name="Comma 2 25 8" xfId="8933" xr:uid="{00000000-0005-0000-0000-0000E2220000}"/>
    <cellStyle name="Comma 2 25 9" xfId="8934" xr:uid="{00000000-0005-0000-0000-0000E3220000}"/>
    <cellStyle name="Comma 2 26" xfId="8935" xr:uid="{00000000-0005-0000-0000-0000E4220000}"/>
    <cellStyle name="Comma 2 26 10" xfId="8936" xr:uid="{00000000-0005-0000-0000-0000E5220000}"/>
    <cellStyle name="Comma 2 26 2" xfId="8937" xr:uid="{00000000-0005-0000-0000-0000E6220000}"/>
    <cellStyle name="Comma 2 26 2 2" xfId="8938" xr:uid="{00000000-0005-0000-0000-0000E7220000}"/>
    <cellStyle name="Comma 2 26 2 2 2" xfId="8939" xr:uid="{00000000-0005-0000-0000-0000E8220000}"/>
    <cellStyle name="Comma 2 26 2 2 3" xfId="8940" xr:uid="{00000000-0005-0000-0000-0000E9220000}"/>
    <cellStyle name="Comma 2 26 2 3" xfId="8941" xr:uid="{00000000-0005-0000-0000-0000EA220000}"/>
    <cellStyle name="Comma 2 26 2 4" xfId="8942" xr:uid="{00000000-0005-0000-0000-0000EB220000}"/>
    <cellStyle name="Comma 2 26 2 5" xfId="8943" xr:uid="{00000000-0005-0000-0000-0000EC220000}"/>
    <cellStyle name="Comma 2 26 2 6" xfId="8944" xr:uid="{00000000-0005-0000-0000-0000ED220000}"/>
    <cellStyle name="Comma 2 26 3" xfId="8945" xr:uid="{00000000-0005-0000-0000-0000EE220000}"/>
    <cellStyle name="Comma 2 26 3 2" xfId="8946" xr:uid="{00000000-0005-0000-0000-0000EF220000}"/>
    <cellStyle name="Comma 2 26 3 2 2" xfId="8947" xr:uid="{00000000-0005-0000-0000-0000F0220000}"/>
    <cellStyle name="Comma 2 26 3 2 3" xfId="8948" xr:uid="{00000000-0005-0000-0000-0000F1220000}"/>
    <cellStyle name="Comma 2 26 3 3" xfId="8949" xr:uid="{00000000-0005-0000-0000-0000F2220000}"/>
    <cellStyle name="Comma 2 26 3 4" xfId="8950" xr:uid="{00000000-0005-0000-0000-0000F3220000}"/>
    <cellStyle name="Comma 2 26 3 5" xfId="8951" xr:uid="{00000000-0005-0000-0000-0000F4220000}"/>
    <cellStyle name="Comma 2 26 3 6" xfId="8952" xr:uid="{00000000-0005-0000-0000-0000F5220000}"/>
    <cellStyle name="Comma 2 26 4" xfId="8953" xr:uid="{00000000-0005-0000-0000-0000F6220000}"/>
    <cellStyle name="Comma 2 26 4 2" xfId="8954" xr:uid="{00000000-0005-0000-0000-0000F7220000}"/>
    <cellStyle name="Comma 2 26 4 2 2" xfId="8955" xr:uid="{00000000-0005-0000-0000-0000F8220000}"/>
    <cellStyle name="Comma 2 26 4 3" xfId="8956" xr:uid="{00000000-0005-0000-0000-0000F9220000}"/>
    <cellStyle name="Comma 2 26 4 4" xfId="8957" xr:uid="{00000000-0005-0000-0000-0000FA220000}"/>
    <cellStyle name="Comma 2 26 4 5" xfId="8958" xr:uid="{00000000-0005-0000-0000-0000FB220000}"/>
    <cellStyle name="Comma 2 26 4 6" xfId="8959" xr:uid="{00000000-0005-0000-0000-0000FC220000}"/>
    <cellStyle name="Comma 2 26 5" xfId="8960" xr:uid="{00000000-0005-0000-0000-0000FD220000}"/>
    <cellStyle name="Comma 2 26 5 2" xfId="8961" xr:uid="{00000000-0005-0000-0000-0000FE220000}"/>
    <cellStyle name="Comma 2 26 5 3" xfId="8962" xr:uid="{00000000-0005-0000-0000-0000FF220000}"/>
    <cellStyle name="Comma 2 26 5 4" xfId="8963" xr:uid="{00000000-0005-0000-0000-000000230000}"/>
    <cellStyle name="Comma 2 26 5 5" xfId="8964" xr:uid="{00000000-0005-0000-0000-000001230000}"/>
    <cellStyle name="Comma 2 26 6" xfId="8965" xr:uid="{00000000-0005-0000-0000-000002230000}"/>
    <cellStyle name="Comma 2 26 6 2" xfId="8966" xr:uid="{00000000-0005-0000-0000-000003230000}"/>
    <cellStyle name="Comma 2 26 6 3" xfId="8967" xr:uid="{00000000-0005-0000-0000-000004230000}"/>
    <cellStyle name="Comma 2 26 7" xfId="8968" xr:uid="{00000000-0005-0000-0000-000005230000}"/>
    <cellStyle name="Comma 2 26 7 2" xfId="8969" xr:uid="{00000000-0005-0000-0000-000006230000}"/>
    <cellStyle name="Comma 2 26 8" xfId="8970" xr:uid="{00000000-0005-0000-0000-000007230000}"/>
    <cellStyle name="Comma 2 26 9" xfId="8971" xr:uid="{00000000-0005-0000-0000-000008230000}"/>
    <cellStyle name="Comma 2 27" xfId="8972" xr:uid="{00000000-0005-0000-0000-000009230000}"/>
    <cellStyle name="Comma 2 27 10" xfId="8973" xr:uid="{00000000-0005-0000-0000-00000A230000}"/>
    <cellStyle name="Comma 2 27 2" xfId="8974" xr:uid="{00000000-0005-0000-0000-00000B230000}"/>
    <cellStyle name="Comma 2 27 2 2" xfId="8975" xr:uid="{00000000-0005-0000-0000-00000C230000}"/>
    <cellStyle name="Comma 2 27 2 2 2" xfId="8976" xr:uid="{00000000-0005-0000-0000-00000D230000}"/>
    <cellStyle name="Comma 2 27 2 2 3" xfId="8977" xr:uid="{00000000-0005-0000-0000-00000E230000}"/>
    <cellStyle name="Comma 2 27 2 3" xfId="8978" xr:uid="{00000000-0005-0000-0000-00000F230000}"/>
    <cellStyle name="Comma 2 27 2 4" xfId="8979" xr:uid="{00000000-0005-0000-0000-000010230000}"/>
    <cellStyle name="Comma 2 27 2 5" xfId="8980" xr:uid="{00000000-0005-0000-0000-000011230000}"/>
    <cellStyle name="Comma 2 27 2 6" xfId="8981" xr:uid="{00000000-0005-0000-0000-000012230000}"/>
    <cellStyle name="Comma 2 27 3" xfId="8982" xr:uid="{00000000-0005-0000-0000-000013230000}"/>
    <cellStyle name="Comma 2 27 3 2" xfId="8983" xr:uid="{00000000-0005-0000-0000-000014230000}"/>
    <cellStyle name="Comma 2 27 3 2 2" xfId="8984" xr:uid="{00000000-0005-0000-0000-000015230000}"/>
    <cellStyle name="Comma 2 27 3 2 3" xfId="8985" xr:uid="{00000000-0005-0000-0000-000016230000}"/>
    <cellStyle name="Comma 2 27 3 3" xfId="8986" xr:uid="{00000000-0005-0000-0000-000017230000}"/>
    <cellStyle name="Comma 2 27 3 4" xfId="8987" xr:uid="{00000000-0005-0000-0000-000018230000}"/>
    <cellStyle name="Comma 2 27 3 5" xfId="8988" xr:uid="{00000000-0005-0000-0000-000019230000}"/>
    <cellStyle name="Comma 2 27 3 6" xfId="8989" xr:uid="{00000000-0005-0000-0000-00001A230000}"/>
    <cellStyle name="Comma 2 27 4" xfId="8990" xr:uid="{00000000-0005-0000-0000-00001B230000}"/>
    <cellStyle name="Comma 2 27 4 2" xfId="8991" xr:uid="{00000000-0005-0000-0000-00001C230000}"/>
    <cellStyle name="Comma 2 27 4 2 2" xfId="8992" xr:uid="{00000000-0005-0000-0000-00001D230000}"/>
    <cellStyle name="Comma 2 27 4 3" xfId="8993" xr:uid="{00000000-0005-0000-0000-00001E230000}"/>
    <cellStyle name="Comma 2 27 4 4" xfId="8994" xr:uid="{00000000-0005-0000-0000-00001F230000}"/>
    <cellStyle name="Comma 2 27 4 5" xfId="8995" xr:uid="{00000000-0005-0000-0000-000020230000}"/>
    <cellStyle name="Comma 2 27 4 6" xfId="8996" xr:uid="{00000000-0005-0000-0000-000021230000}"/>
    <cellStyle name="Comma 2 27 5" xfId="8997" xr:uid="{00000000-0005-0000-0000-000022230000}"/>
    <cellStyle name="Comma 2 27 5 2" xfId="8998" xr:uid="{00000000-0005-0000-0000-000023230000}"/>
    <cellStyle name="Comma 2 27 5 3" xfId="8999" xr:uid="{00000000-0005-0000-0000-000024230000}"/>
    <cellStyle name="Comma 2 27 5 4" xfId="9000" xr:uid="{00000000-0005-0000-0000-000025230000}"/>
    <cellStyle name="Comma 2 27 5 5" xfId="9001" xr:uid="{00000000-0005-0000-0000-000026230000}"/>
    <cellStyle name="Comma 2 27 6" xfId="9002" xr:uid="{00000000-0005-0000-0000-000027230000}"/>
    <cellStyle name="Comma 2 27 6 2" xfId="9003" xr:uid="{00000000-0005-0000-0000-000028230000}"/>
    <cellStyle name="Comma 2 27 6 3" xfId="9004" xr:uid="{00000000-0005-0000-0000-000029230000}"/>
    <cellStyle name="Comma 2 27 7" xfId="9005" xr:uid="{00000000-0005-0000-0000-00002A230000}"/>
    <cellStyle name="Comma 2 27 7 2" xfId="9006" xr:uid="{00000000-0005-0000-0000-00002B230000}"/>
    <cellStyle name="Comma 2 27 8" xfId="9007" xr:uid="{00000000-0005-0000-0000-00002C230000}"/>
    <cellStyle name="Comma 2 27 9" xfId="9008" xr:uid="{00000000-0005-0000-0000-00002D230000}"/>
    <cellStyle name="Comma 2 28" xfId="9009" xr:uid="{00000000-0005-0000-0000-00002E230000}"/>
    <cellStyle name="Comma 2 28 10" xfId="9010" xr:uid="{00000000-0005-0000-0000-00002F230000}"/>
    <cellStyle name="Comma 2 28 2" xfId="9011" xr:uid="{00000000-0005-0000-0000-000030230000}"/>
    <cellStyle name="Comma 2 28 2 2" xfId="9012" xr:uid="{00000000-0005-0000-0000-000031230000}"/>
    <cellStyle name="Comma 2 28 2 2 2" xfId="9013" xr:uid="{00000000-0005-0000-0000-000032230000}"/>
    <cellStyle name="Comma 2 28 2 2 3" xfId="9014" xr:uid="{00000000-0005-0000-0000-000033230000}"/>
    <cellStyle name="Comma 2 28 2 3" xfId="9015" xr:uid="{00000000-0005-0000-0000-000034230000}"/>
    <cellStyle name="Comma 2 28 2 4" xfId="9016" xr:uid="{00000000-0005-0000-0000-000035230000}"/>
    <cellStyle name="Comma 2 28 2 5" xfId="9017" xr:uid="{00000000-0005-0000-0000-000036230000}"/>
    <cellStyle name="Comma 2 28 2 6" xfId="9018" xr:uid="{00000000-0005-0000-0000-000037230000}"/>
    <cellStyle name="Comma 2 28 3" xfId="9019" xr:uid="{00000000-0005-0000-0000-000038230000}"/>
    <cellStyle name="Comma 2 28 3 2" xfId="9020" xr:uid="{00000000-0005-0000-0000-000039230000}"/>
    <cellStyle name="Comma 2 28 3 2 2" xfId="9021" xr:uid="{00000000-0005-0000-0000-00003A230000}"/>
    <cellStyle name="Comma 2 28 3 2 3" xfId="9022" xr:uid="{00000000-0005-0000-0000-00003B230000}"/>
    <cellStyle name="Comma 2 28 3 3" xfId="9023" xr:uid="{00000000-0005-0000-0000-00003C230000}"/>
    <cellStyle name="Comma 2 28 3 4" xfId="9024" xr:uid="{00000000-0005-0000-0000-00003D230000}"/>
    <cellStyle name="Comma 2 28 3 5" xfId="9025" xr:uid="{00000000-0005-0000-0000-00003E230000}"/>
    <cellStyle name="Comma 2 28 3 6" xfId="9026" xr:uid="{00000000-0005-0000-0000-00003F230000}"/>
    <cellStyle name="Comma 2 28 4" xfId="9027" xr:uid="{00000000-0005-0000-0000-000040230000}"/>
    <cellStyle name="Comma 2 28 4 2" xfId="9028" xr:uid="{00000000-0005-0000-0000-000041230000}"/>
    <cellStyle name="Comma 2 28 4 2 2" xfId="9029" xr:uid="{00000000-0005-0000-0000-000042230000}"/>
    <cellStyle name="Comma 2 28 4 3" xfId="9030" xr:uid="{00000000-0005-0000-0000-000043230000}"/>
    <cellStyle name="Comma 2 28 4 4" xfId="9031" xr:uid="{00000000-0005-0000-0000-000044230000}"/>
    <cellStyle name="Comma 2 28 4 5" xfId="9032" xr:uid="{00000000-0005-0000-0000-000045230000}"/>
    <cellStyle name="Comma 2 28 4 6" xfId="9033" xr:uid="{00000000-0005-0000-0000-000046230000}"/>
    <cellStyle name="Comma 2 28 5" xfId="9034" xr:uid="{00000000-0005-0000-0000-000047230000}"/>
    <cellStyle name="Comma 2 28 5 2" xfId="9035" xr:uid="{00000000-0005-0000-0000-000048230000}"/>
    <cellStyle name="Comma 2 28 5 3" xfId="9036" xr:uid="{00000000-0005-0000-0000-000049230000}"/>
    <cellStyle name="Comma 2 28 5 4" xfId="9037" xr:uid="{00000000-0005-0000-0000-00004A230000}"/>
    <cellStyle name="Comma 2 28 5 5" xfId="9038" xr:uid="{00000000-0005-0000-0000-00004B230000}"/>
    <cellStyle name="Comma 2 28 6" xfId="9039" xr:uid="{00000000-0005-0000-0000-00004C230000}"/>
    <cellStyle name="Comma 2 28 6 2" xfId="9040" xr:uid="{00000000-0005-0000-0000-00004D230000}"/>
    <cellStyle name="Comma 2 28 6 3" xfId="9041" xr:uid="{00000000-0005-0000-0000-00004E230000}"/>
    <cellStyle name="Comma 2 28 7" xfId="9042" xr:uid="{00000000-0005-0000-0000-00004F230000}"/>
    <cellStyle name="Comma 2 28 7 2" xfId="9043" xr:uid="{00000000-0005-0000-0000-000050230000}"/>
    <cellStyle name="Comma 2 28 8" xfId="9044" xr:uid="{00000000-0005-0000-0000-000051230000}"/>
    <cellStyle name="Comma 2 28 9" xfId="9045" xr:uid="{00000000-0005-0000-0000-000052230000}"/>
    <cellStyle name="Comma 2 29" xfId="9046" xr:uid="{00000000-0005-0000-0000-000053230000}"/>
    <cellStyle name="Comma 2 29 10" xfId="9047" xr:uid="{00000000-0005-0000-0000-000054230000}"/>
    <cellStyle name="Comma 2 29 2" xfId="9048" xr:uid="{00000000-0005-0000-0000-000055230000}"/>
    <cellStyle name="Comma 2 29 2 2" xfId="9049" xr:uid="{00000000-0005-0000-0000-000056230000}"/>
    <cellStyle name="Comma 2 29 2 2 2" xfId="9050" xr:uid="{00000000-0005-0000-0000-000057230000}"/>
    <cellStyle name="Comma 2 29 2 2 3" xfId="9051" xr:uid="{00000000-0005-0000-0000-000058230000}"/>
    <cellStyle name="Comma 2 29 2 3" xfId="9052" xr:uid="{00000000-0005-0000-0000-000059230000}"/>
    <cellStyle name="Comma 2 29 2 4" xfId="9053" xr:uid="{00000000-0005-0000-0000-00005A230000}"/>
    <cellStyle name="Comma 2 29 2 5" xfId="9054" xr:uid="{00000000-0005-0000-0000-00005B230000}"/>
    <cellStyle name="Comma 2 29 2 6" xfId="9055" xr:uid="{00000000-0005-0000-0000-00005C230000}"/>
    <cellStyle name="Comma 2 29 3" xfId="9056" xr:uid="{00000000-0005-0000-0000-00005D230000}"/>
    <cellStyle name="Comma 2 29 3 2" xfId="9057" xr:uid="{00000000-0005-0000-0000-00005E230000}"/>
    <cellStyle name="Comma 2 29 3 2 2" xfId="9058" xr:uid="{00000000-0005-0000-0000-00005F230000}"/>
    <cellStyle name="Comma 2 29 3 2 3" xfId="9059" xr:uid="{00000000-0005-0000-0000-000060230000}"/>
    <cellStyle name="Comma 2 29 3 3" xfId="9060" xr:uid="{00000000-0005-0000-0000-000061230000}"/>
    <cellStyle name="Comma 2 29 3 4" xfId="9061" xr:uid="{00000000-0005-0000-0000-000062230000}"/>
    <cellStyle name="Comma 2 29 3 5" xfId="9062" xr:uid="{00000000-0005-0000-0000-000063230000}"/>
    <cellStyle name="Comma 2 29 3 6" xfId="9063" xr:uid="{00000000-0005-0000-0000-000064230000}"/>
    <cellStyle name="Comma 2 29 4" xfId="9064" xr:uid="{00000000-0005-0000-0000-000065230000}"/>
    <cellStyle name="Comma 2 29 4 2" xfId="9065" xr:uid="{00000000-0005-0000-0000-000066230000}"/>
    <cellStyle name="Comma 2 29 4 2 2" xfId="9066" xr:uid="{00000000-0005-0000-0000-000067230000}"/>
    <cellStyle name="Comma 2 29 4 3" xfId="9067" xr:uid="{00000000-0005-0000-0000-000068230000}"/>
    <cellStyle name="Comma 2 29 4 4" xfId="9068" xr:uid="{00000000-0005-0000-0000-000069230000}"/>
    <cellStyle name="Comma 2 29 4 5" xfId="9069" xr:uid="{00000000-0005-0000-0000-00006A230000}"/>
    <cellStyle name="Comma 2 29 4 6" xfId="9070" xr:uid="{00000000-0005-0000-0000-00006B230000}"/>
    <cellStyle name="Comma 2 29 5" xfId="9071" xr:uid="{00000000-0005-0000-0000-00006C230000}"/>
    <cellStyle name="Comma 2 29 5 2" xfId="9072" xr:uid="{00000000-0005-0000-0000-00006D230000}"/>
    <cellStyle name="Comma 2 29 5 3" xfId="9073" xr:uid="{00000000-0005-0000-0000-00006E230000}"/>
    <cellStyle name="Comma 2 29 5 4" xfId="9074" xr:uid="{00000000-0005-0000-0000-00006F230000}"/>
    <cellStyle name="Comma 2 29 5 5" xfId="9075" xr:uid="{00000000-0005-0000-0000-000070230000}"/>
    <cellStyle name="Comma 2 29 6" xfId="9076" xr:uid="{00000000-0005-0000-0000-000071230000}"/>
    <cellStyle name="Comma 2 29 6 2" xfId="9077" xr:uid="{00000000-0005-0000-0000-000072230000}"/>
    <cellStyle name="Comma 2 29 6 3" xfId="9078" xr:uid="{00000000-0005-0000-0000-000073230000}"/>
    <cellStyle name="Comma 2 29 7" xfId="9079" xr:uid="{00000000-0005-0000-0000-000074230000}"/>
    <cellStyle name="Comma 2 29 7 2" xfId="9080" xr:uid="{00000000-0005-0000-0000-000075230000}"/>
    <cellStyle name="Comma 2 29 8" xfId="9081" xr:uid="{00000000-0005-0000-0000-000076230000}"/>
    <cellStyle name="Comma 2 29 9" xfId="9082" xr:uid="{00000000-0005-0000-0000-000077230000}"/>
    <cellStyle name="Comma 2 3" xfId="9083" xr:uid="{00000000-0005-0000-0000-000078230000}"/>
    <cellStyle name="Comma 2 3 10" xfId="9084" xr:uid="{00000000-0005-0000-0000-000079230000}"/>
    <cellStyle name="Comma 2 3 10 10" xfId="9085" xr:uid="{00000000-0005-0000-0000-00007A230000}"/>
    <cellStyle name="Comma 2 3 10 2" xfId="9086" xr:uid="{00000000-0005-0000-0000-00007B230000}"/>
    <cellStyle name="Comma 2 3 10 2 2" xfId="9087" xr:uid="{00000000-0005-0000-0000-00007C230000}"/>
    <cellStyle name="Comma 2 3 10 2 2 2" xfId="9088" xr:uid="{00000000-0005-0000-0000-00007D230000}"/>
    <cellStyle name="Comma 2 3 10 2 2 3" xfId="9089" xr:uid="{00000000-0005-0000-0000-00007E230000}"/>
    <cellStyle name="Comma 2 3 10 2 3" xfId="9090" xr:uid="{00000000-0005-0000-0000-00007F230000}"/>
    <cellStyle name="Comma 2 3 10 2 4" xfId="9091" xr:uid="{00000000-0005-0000-0000-000080230000}"/>
    <cellStyle name="Comma 2 3 10 2 5" xfId="9092" xr:uid="{00000000-0005-0000-0000-000081230000}"/>
    <cellStyle name="Comma 2 3 10 2 6" xfId="9093" xr:uid="{00000000-0005-0000-0000-000082230000}"/>
    <cellStyle name="Comma 2 3 10 3" xfId="9094" xr:uid="{00000000-0005-0000-0000-000083230000}"/>
    <cellStyle name="Comma 2 3 10 3 2" xfId="9095" xr:uid="{00000000-0005-0000-0000-000084230000}"/>
    <cellStyle name="Comma 2 3 10 3 2 2" xfId="9096" xr:uid="{00000000-0005-0000-0000-000085230000}"/>
    <cellStyle name="Comma 2 3 10 3 2 3" xfId="9097" xr:uid="{00000000-0005-0000-0000-000086230000}"/>
    <cellStyle name="Comma 2 3 10 3 3" xfId="9098" xr:uid="{00000000-0005-0000-0000-000087230000}"/>
    <cellStyle name="Comma 2 3 10 3 4" xfId="9099" xr:uid="{00000000-0005-0000-0000-000088230000}"/>
    <cellStyle name="Comma 2 3 10 3 5" xfId="9100" xr:uid="{00000000-0005-0000-0000-000089230000}"/>
    <cellStyle name="Comma 2 3 10 3 6" xfId="9101" xr:uid="{00000000-0005-0000-0000-00008A230000}"/>
    <cellStyle name="Comma 2 3 10 4" xfId="9102" xr:uid="{00000000-0005-0000-0000-00008B230000}"/>
    <cellStyle name="Comma 2 3 10 4 2" xfId="9103" xr:uid="{00000000-0005-0000-0000-00008C230000}"/>
    <cellStyle name="Comma 2 3 10 4 2 2" xfId="9104" xr:uid="{00000000-0005-0000-0000-00008D230000}"/>
    <cellStyle name="Comma 2 3 10 4 3" xfId="9105" xr:uid="{00000000-0005-0000-0000-00008E230000}"/>
    <cellStyle name="Comma 2 3 10 4 4" xfId="9106" xr:uid="{00000000-0005-0000-0000-00008F230000}"/>
    <cellStyle name="Comma 2 3 10 4 5" xfId="9107" xr:uid="{00000000-0005-0000-0000-000090230000}"/>
    <cellStyle name="Comma 2 3 10 5" xfId="9108" xr:uid="{00000000-0005-0000-0000-000091230000}"/>
    <cellStyle name="Comma 2 3 10 5 2" xfId="9109" xr:uid="{00000000-0005-0000-0000-000092230000}"/>
    <cellStyle name="Comma 2 3 10 5 3" xfId="9110" xr:uid="{00000000-0005-0000-0000-000093230000}"/>
    <cellStyle name="Comma 2 3 10 5 4" xfId="9111" xr:uid="{00000000-0005-0000-0000-000094230000}"/>
    <cellStyle name="Comma 2 3 10 6" xfId="9112" xr:uid="{00000000-0005-0000-0000-000095230000}"/>
    <cellStyle name="Comma 2 3 10 6 2" xfId="9113" xr:uid="{00000000-0005-0000-0000-000096230000}"/>
    <cellStyle name="Comma 2 3 10 7" xfId="9114" xr:uid="{00000000-0005-0000-0000-000097230000}"/>
    <cellStyle name="Comma 2 3 10 8" xfId="9115" xr:uid="{00000000-0005-0000-0000-000098230000}"/>
    <cellStyle name="Comma 2 3 10 9" xfId="9116" xr:uid="{00000000-0005-0000-0000-000099230000}"/>
    <cellStyle name="Comma 2 3 11" xfId="9117" xr:uid="{00000000-0005-0000-0000-00009A230000}"/>
    <cellStyle name="Comma 2 3 11 10" xfId="9118" xr:uid="{00000000-0005-0000-0000-00009B230000}"/>
    <cellStyle name="Comma 2 3 11 2" xfId="9119" xr:uid="{00000000-0005-0000-0000-00009C230000}"/>
    <cellStyle name="Comma 2 3 11 2 2" xfId="9120" xr:uid="{00000000-0005-0000-0000-00009D230000}"/>
    <cellStyle name="Comma 2 3 11 2 2 2" xfId="9121" xr:uid="{00000000-0005-0000-0000-00009E230000}"/>
    <cellStyle name="Comma 2 3 11 2 2 3" xfId="9122" xr:uid="{00000000-0005-0000-0000-00009F230000}"/>
    <cellStyle name="Comma 2 3 11 2 3" xfId="9123" xr:uid="{00000000-0005-0000-0000-0000A0230000}"/>
    <cellStyle name="Comma 2 3 11 2 4" xfId="9124" xr:uid="{00000000-0005-0000-0000-0000A1230000}"/>
    <cellStyle name="Comma 2 3 11 2 5" xfId="9125" xr:uid="{00000000-0005-0000-0000-0000A2230000}"/>
    <cellStyle name="Comma 2 3 11 2 6" xfId="9126" xr:uid="{00000000-0005-0000-0000-0000A3230000}"/>
    <cellStyle name="Comma 2 3 11 3" xfId="9127" xr:uid="{00000000-0005-0000-0000-0000A4230000}"/>
    <cellStyle name="Comma 2 3 11 3 2" xfId="9128" xr:uid="{00000000-0005-0000-0000-0000A5230000}"/>
    <cellStyle name="Comma 2 3 11 3 2 2" xfId="9129" xr:uid="{00000000-0005-0000-0000-0000A6230000}"/>
    <cellStyle name="Comma 2 3 11 3 2 3" xfId="9130" xr:uid="{00000000-0005-0000-0000-0000A7230000}"/>
    <cellStyle name="Comma 2 3 11 3 3" xfId="9131" xr:uid="{00000000-0005-0000-0000-0000A8230000}"/>
    <cellStyle name="Comma 2 3 11 3 4" xfId="9132" xr:uid="{00000000-0005-0000-0000-0000A9230000}"/>
    <cellStyle name="Comma 2 3 11 3 5" xfId="9133" xr:uid="{00000000-0005-0000-0000-0000AA230000}"/>
    <cellStyle name="Comma 2 3 11 3 6" xfId="9134" xr:uid="{00000000-0005-0000-0000-0000AB230000}"/>
    <cellStyle name="Comma 2 3 11 4" xfId="9135" xr:uid="{00000000-0005-0000-0000-0000AC230000}"/>
    <cellStyle name="Comma 2 3 11 4 2" xfId="9136" xr:uid="{00000000-0005-0000-0000-0000AD230000}"/>
    <cellStyle name="Comma 2 3 11 4 2 2" xfId="9137" xr:uid="{00000000-0005-0000-0000-0000AE230000}"/>
    <cellStyle name="Comma 2 3 11 4 3" xfId="9138" xr:uid="{00000000-0005-0000-0000-0000AF230000}"/>
    <cellStyle name="Comma 2 3 11 4 4" xfId="9139" xr:uid="{00000000-0005-0000-0000-0000B0230000}"/>
    <cellStyle name="Comma 2 3 11 4 5" xfId="9140" xr:uid="{00000000-0005-0000-0000-0000B1230000}"/>
    <cellStyle name="Comma 2 3 11 5" xfId="9141" xr:uid="{00000000-0005-0000-0000-0000B2230000}"/>
    <cellStyle name="Comma 2 3 11 5 2" xfId="9142" xr:uid="{00000000-0005-0000-0000-0000B3230000}"/>
    <cellStyle name="Comma 2 3 11 5 3" xfId="9143" xr:uid="{00000000-0005-0000-0000-0000B4230000}"/>
    <cellStyle name="Comma 2 3 11 5 4" xfId="9144" xr:uid="{00000000-0005-0000-0000-0000B5230000}"/>
    <cellStyle name="Comma 2 3 11 6" xfId="9145" xr:uid="{00000000-0005-0000-0000-0000B6230000}"/>
    <cellStyle name="Comma 2 3 11 6 2" xfId="9146" xr:uid="{00000000-0005-0000-0000-0000B7230000}"/>
    <cellStyle name="Comma 2 3 11 7" xfId="9147" xr:uid="{00000000-0005-0000-0000-0000B8230000}"/>
    <cellStyle name="Comma 2 3 11 8" xfId="9148" xr:uid="{00000000-0005-0000-0000-0000B9230000}"/>
    <cellStyle name="Comma 2 3 11 9" xfId="9149" xr:uid="{00000000-0005-0000-0000-0000BA230000}"/>
    <cellStyle name="Comma 2 3 12" xfId="9150" xr:uid="{00000000-0005-0000-0000-0000BB230000}"/>
    <cellStyle name="Comma 2 3 12 10" xfId="9151" xr:uid="{00000000-0005-0000-0000-0000BC230000}"/>
    <cellStyle name="Comma 2 3 12 2" xfId="9152" xr:uid="{00000000-0005-0000-0000-0000BD230000}"/>
    <cellStyle name="Comma 2 3 12 2 2" xfId="9153" xr:uid="{00000000-0005-0000-0000-0000BE230000}"/>
    <cellStyle name="Comma 2 3 12 2 2 2" xfId="9154" xr:uid="{00000000-0005-0000-0000-0000BF230000}"/>
    <cellStyle name="Comma 2 3 12 2 2 3" xfId="9155" xr:uid="{00000000-0005-0000-0000-0000C0230000}"/>
    <cellStyle name="Comma 2 3 12 2 3" xfId="9156" xr:uid="{00000000-0005-0000-0000-0000C1230000}"/>
    <cellStyle name="Comma 2 3 12 2 4" xfId="9157" xr:uid="{00000000-0005-0000-0000-0000C2230000}"/>
    <cellStyle name="Comma 2 3 12 2 5" xfId="9158" xr:uid="{00000000-0005-0000-0000-0000C3230000}"/>
    <cellStyle name="Comma 2 3 12 2 6" xfId="9159" xr:uid="{00000000-0005-0000-0000-0000C4230000}"/>
    <cellStyle name="Comma 2 3 12 3" xfId="9160" xr:uid="{00000000-0005-0000-0000-0000C5230000}"/>
    <cellStyle name="Comma 2 3 12 3 2" xfId="9161" xr:uid="{00000000-0005-0000-0000-0000C6230000}"/>
    <cellStyle name="Comma 2 3 12 3 2 2" xfId="9162" xr:uid="{00000000-0005-0000-0000-0000C7230000}"/>
    <cellStyle name="Comma 2 3 12 3 2 3" xfId="9163" xr:uid="{00000000-0005-0000-0000-0000C8230000}"/>
    <cellStyle name="Comma 2 3 12 3 3" xfId="9164" xr:uid="{00000000-0005-0000-0000-0000C9230000}"/>
    <cellStyle name="Comma 2 3 12 3 4" xfId="9165" xr:uid="{00000000-0005-0000-0000-0000CA230000}"/>
    <cellStyle name="Comma 2 3 12 3 5" xfId="9166" xr:uid="{00000000-0005-0000-0000-0000CB230000}"/>
    <cellStyle name="Comma 2 3 12 3 6" xfId="9167" xr:uid="{00000000-0005-0000-0000-0000CC230000}"/>
    <cellStyle name="Comma 2 3 12 4" xfId="9168" xr:uid="{00000000-0005-0000-0000-0000CD230000}"/>
    <cellStyle name="Comma 2 3 12 4 2" xfId="9169" xr:uid="{00000000-0005-0000-0000-0000CE230000}"/>
    <cellStyle name="Comma 2 3 12 4 2 2" xfId="9170" xr:uid="{00000000-0005-0000-0000-0000CF230000}"/>
    <cellStyle name="Comma 2 3 12 4 3" xfId="9171" xr:uid="{00000000-0005-0000-0000-0000D0230000}"/>
    <cellStyle name="Comma 2 3 12 4 4" xfId="9172" xr:uid="{00000000-0005-0000-0000-0000D1230000}"/>
    <cellStyle name="Comma 2 3 12 4 5" xfId="9173" xr:uid="{00000000-0005-0000-0000-0000D2230000}"/>
    <cellStyle name="Comma 2 3 12 5" xfId="9174" xr:uid="{00000000-0005-0000-0000-0000D3230000}"/>
    <cellStyle name="Comma 2 3 12 5 2" xfId="9175" xr:uid="{00000000-0005-0000-0000-0000D4230000}"/>
    <cellStyle name="Comma 2 3 12 5 3" xfId="9176" xr:uid="{00000000-0005-0000-0000-0000D5230000}"/>
    <cellStyle name="Comma 2 3 12 5 4" xfId="9177" xr:uid="{00000000-0005-0000-0000-0000D6230000}"/>
    <cellStyle name="Comma 2 3 12 6" xfId="9178" xr:uid="{00000000-0005-0000-0000-0000D7230000}"/>
    <cellStyle name="Comma 2 3 12 6 2" xfId="9179" xr:uid="{00000000-0005-0000-0000-0000D8230000}"/>
    <cellStyle name="Comma 2 3 12 7" xfId="9180" xr:uid="{00000000-0005-0000-0000-0000D9230000}"/>
    <cellStyle name="Comma 2 3 12 8" xfId="9181" xr:uid="{00000000-0005-0000-0000-0000DA230000}"/>
    <cellStyle name="Comma 2 3 12 9" xfId="9182" xr:uid="{00000000-0005-0000-0000-0000DB230000}"/>
    <cellStyle name="Comma 2 3 13" xfId="9183" xr:uid="{00000000-0005-0000-0000-0000DC230000}"/>
    <cellStyle name="Comma 2 3 13 10" xfId="9184" xr:uid="{00000000-0005-0000-0000-0000DD230000}"/>
    <cellStyle name="Comma 2 3 13 2" xfId="9185" xr:uid="{00000000-0005-0000-0000-0000DE230000}"/>
    <cellStyle name="Comma 2 3 13 2 2" xfId="9186" xr:uid="{00000000-0005-0000-0000-0000DF230000}"/>
    <cellStyle name="Comma 2 3 13 2 2 2" xfId="9187" xr:uid="{00000000-0005-0000-0000-0000E0230000}"/>
    <cellStyle name="Comma 2 3 13 2 2 3" xfId="9188" xr:uid="{00000000-0005-0000-0000-0000E1230000}"/>
    <cellStyle name="Comma 2 3 13 2 3" xfId="9189" xr:uid="{00000000-0005-0000-0000-0000E2230000}"/>
    <cellStyle name="Comma 2 3 13 2 4" xfId="9190" xr:uid="{00000000-0005-0000-0000-0000E3230000}"/>
    <cellStyle name="Comma 2 3 13 2 5" xfId="9191" xr:uid="{00000000-0005-0000-0000-0000E4230000}"/>
    <cellStyle name="Comma 2 3 13 2 6" xfId="9192" xr:uid="{00000000-0005-0000-0000-0000E5230000}"/>
    <cellStyle name="Comma 2 3 13 3" xfId="9193" xr:uid="{00000000-0005-0000-0000-0000E6230000}"/>
    <cellStyle name="Comma 2 3 13 3 2" xfId="9194" xr:uid="{00000000-0005-0000-0000-0000E7230000}"/>
    <cellStyle name="Comma 2 3 13 3 2 2" xfId="9195" xr:uid="{00000000-0005-0000-0000-0000E8230000}"/>
    <cellStyle name="Comma 2 3 13 3 2 3" xfId="9196" xr:uid="{00000000-0005-0000-0000-0000E9230000}"/>
    <cellStyle name="Comma 2 3 13 3 3" xfId="9197" xr:uid="{00000000-0005-0000-0000-0000EA230000}"/>
    <cellStyle name="Comma 2 3 13 3 4" xfId="9198" xr:uid="{00000000-0005-0000-0000-0000EB230000}"/>
    <cellStyle name="Comma 2 3 13 3 5" xfId="9199" xr:uid="{00000000-0005-0000-0000-0000EC230000}"/>
    <cellStyle name="Comma 2 3 13 3 6" xfId="9200" xr:uid="{00000000-0005-0000-0000-0000ED230000}"/>
    <cellStyle name="Comma 2 3 13 4" xfId="9201" xr:uid="{00000000-0005-0000-0000-0000EE230000}"/>
    <cellStyle name="Comma 2 3 13 4 2" xfId="9202" xr:uid="{00000000-0005-0000-0000-0000EF230000}"/>
    <cellStyle name="Comma 2 3 13 4 2 2" xfId="9203" xr:uid="{00000000-0005-0000-0000-0000F0230000}"/>
    <cellStyle name="Comma 2 3 13 4 3" xfId="9204" xr:uid="{00000000-0005-0000-0000-0000F1230000}"/>
    <cellStyle name="Comma 2 3 13 4 4" xfId="9205" xr:uid="{00000000-0005-0000-0000-0000F2230000}"/>
    <cellStyle name="Comma 2 3 13 4 5" xfId="9206" xr:uid="{00000000-0005-0000-0000-0000F3230000}"/>
    <cellStyle name="Comma 2 3 13 5" xfId="9207" xr:uid="{00000000-0005-0000-0000-0000F4230000}"/>
    <cellStyle name="Comma 2 3 13 5 2" xfId="9208" xr:uid="{00000000-0005-0000-0000-0000F5230000}"/>
    <cellStyle name="Comma 2 3 13 5 3" xfId="9209" xr:uid="{00000000-0005-0000-0000-0000F6230000}"/>
    <cellStyle name="Comma 2 3 13 5 4" xfId="9210" xr:uid="{00000000-0005-0000-0000-0000F7230000}"/>
    <cellStyle name="Comma 2 3 13 6" xfId="9211" xr:uid="{00000000-0005-0000-0000-0000F8230000}"/>
    <cellStyle name="Comma 2 3 13 6 2" xfId="9212" xr:uid="{00000000-0005-0000-0000-0000F9230000}"/>
    <cellStyle name="Comma 2 3 13 7" xfId="9213" xr:uid="{00000000-0005-0000-0000-0000FA230000}"/>
    <cellStyle name="Comma 2 3 13 8" xfId="9214" xr:uid="{00000000-0005-0000-0000-0000FB230000}"/>
    <cellStyle name="Comma 2 3 13 9" xfId="9215" xr:uid="{00000000-0005-0000-0000-0000FC230000}"/>
    <cellStyle name="Comma 2 3 14" xfId="9216" xr:uid="{00000000-0005-0000-0000-0000FD230000}"/>
    <cellStyle name="Comma 2 3 14 10" xfId="9217" xr:uid="{00000000-0005-0000-0000-0000FE230000}"/>
    <cellStyle name="Comma 2 3 14 2" xfId="9218" xr:uid="{00000000-0005-0000-0000-0000FF230000}"/>
    <cellStyle name="Comma 2 3 14 2 2" xfId="9219" xr:uid="{00000000-0005-0000-0000-000000240000}"/>
    <cellStyle name="Comma 2 3 14 2 2 2" xfId="9220" xr:uid="{00000000-0005-0000-0000-000001240000}"/>
    <cellStyle name="Comma 2 3 14 2 2 3" xfId="9221" xr:uid="{00000000-0005-0000-0000-000002240000}"/>
    <cellStyle name="Comma 2 3 14 2 3" xfId="9222" xr:uid="{00000000-0005-0000-0000-000003240000}"/>
    <cellStyle name="Comma 2 3 14 2 4" xfId="9223" xr:uid="{00000000-0005-0000-0000-000004240000}"/>
    <cellStyle name="Comma 2 3 14 2 5" xfId="9224" xr:uid="{00000000-0005-0000-0000-000005240000}"/>
    <cellStyle name="Comma 2 3 14 2 6" xfId="9225" xr:uid="{00000000-0005-0000-0000-000006240000}"/>
    <cellStyle name="Comma 2 3 14 3" xfId="9226" xr:uid="{00000000-0005-0000-0000-000007240000}"/>
    <cellStyle name="Comma 2 3 14 3 2" xfId="9227" xr:uid="{00000000-0005-0000-0000-000008240000}"/>
    <cellStyle name="Comma 2 3 14 3 2 2" xfId="9228" xr:uid="{00000000-0005-0000-0000-000009240000}"/>
    <cellStyle name="Comma 2 3 14 3 2 3" xfId="9229" xr:uid="{00000000-0005-0000-0000-00000A240000}"/>
    <cellStyle name="Comma 2 3 14 3 3" xfId="9230" xr:uid="{00000000-0005-0000-0000-00000B240000}"/>
    <cellStyle name="Comma 2 3 14 3 4" xfId="9231" xr:uid="{00000000-0005-0000-0000-00000C240000}"/>
    <cellStyle name="Comma 2 3 14 3 5" xfId="9232" xr:uid="{00000000-0005-0000-0000-00000D240000}"/>
    <cellStyle name="Comma 2 3 14 3 6" xfId="9233" xr:uid="{00000000-0005-0000-0000-00000E240000}"/>
    <cellStyle name="Comma 2 3 14 4" xfId="9234" xr:uid="{00000000-0005-0000-0000-00000F240000}"/>
    <cellStyle name="Comma 2 3 14 4 2" xfId="9235" xr:uid="{00000000-0005-0000-0000-000010240000}"/>
    <cellStyle name="Comma 2 3 14 4 2 2" xfId="9236" xr:uid="{00000000-0005-0000-0000-000011240000}"/>
    <cellStyle name="Comma 2 3 14 4 3" xfId="9237" xr:uid="{00000000-0005-0000-0000-000012240000}"/>
    <cellStyle name="Comma 2 3 14 4 4" xfId="9238" xr:uid="{00000000-0005-0000-0000-000013240000}"/>
    <cellStyle name="Comma 2 3 14 4 5" xfId="9239" xr:uid="{00000000-0005-0000-0000-000014240000}"/>
    <cellStyle name="Comma 2 3 14 5" xfId="9240" xr:uid="{00000000-0005-0000-0000-000015240000}"/>
    <cellStyle name="Comma 2 3 14 5 2" xfId="9241" xr:uid="{00000000-0005-0000-0000-000016240000}"/>
    <cellStyle name="Comma 2 3 14 5 3" xfId="9242" xr:uid="{00000000-0005-0000-0000-000017240000}"/>
    <cellStyle name="Comma 2 3 14 5 4" xfId="9243" xr:uid="{00000000-0005-0000-0000-000018240000}"/>
    <cellStyle name="Comma 2 3 14 6" xfId="9244" xr:uid="{00000000-0005-0000-0000-000019240000}"/>
    <cellStyle name="Comma 2 3 14 6 2" xfId="9245" xr:uid="{00000000-0005-0000-0000-00001A240000}"/>
    <cellStyle name="Comma 2 3 14 7" xfId="9246" xr:uid="{00000000-0005-0000-0000-00001B240000}"/>
    <cellStyle name="Comma 2 3 14 8" xfId="9247" xr:uid="{00000000-0005-0000-0000-00001C240000}"/>
    <cellStyle name="Comma 2 3 14 9" xfId="9248" xr:uid="{00000000-0005-0000-0000-00001D240000}"/>
    <cellStyle name="Comma 2 3 15" xfId="9249" xr:uid="{00000000-0005-0000-0000-00001E240000}"/>
    <cellStyle name="Comma 2 3 15 10" xfId="9250" xr:uid="{00000000-0005-0000-0000-00001F240000}"/>
    <cellStyle name="Comma 2 3 15 2" xfId="9251" xr:uid="{00000000-0005-0000-0000-000020240000}"/>
    <cellStyle name="Comma 2 3 15 2 2" xfId="9252" xr:uid="{00000000-0005-0000-0000-000021240000}"/>
    <cellStyle name="Comma 2 3 15 2 2 2" xfId="9253" xr:uid="{00000000-0005-0000-0000-000022240000}"/>
    <cellStyle name="Comma 2 3 15 2 2 3" xfId="9254" xr:uid="{00000000-0005-0000-0000-000023240000}"/>
    <cellStyle name="Comma 2 3 15 2 3" xfId="9255" xr:uid="{00000000-0005-0000-0000-000024240000}"/>
    <cellStyle name="Comma 2 3 15 2 4" xfId="9256" xr:uid="{00000000-0005-0000-0000-000025240000}"/>
    <cellStyle name="Comma 2 3 15 2 5" xfId="9257" xr:uid="{00000000-0005-0000-0000-000026240000}"/>
    <cellStyle name="Comma 2 3 15 2 6" xfId="9258" xr:uid="{00000000-0005-0000-0000-000027240000}"/>
    <cellStyle name="Comma 2 3 15 3" xfId="9259" xr:uid="{00000000-0005-0000-0000-000028240000}"/>
    <cellStyle name="Comma 2 3 15 3 2" xfId="9260" xr:uid="{00000000-0005-0000-0000-000029240000}"/>
    <cellStyle name="Comma 2 3 15 3 2 2" xfId="9261" xr:uid="{00000000-0005-0000-0000-00002A240000}"/>
    <cellStyle name="Comma 2 3 15 3 2 3" xfId="9262" xr:uid="{00000000-0005-0000-0000-00002B240000}"/>
    <cellStyle name="Comma 2 3 15 3 3" xfId="9263" xr:uid="{00000000-0005-0000-0000-00002C240000}"/>
    <cellStyle name="Comma 2 3 15 3 4" xfId="9264" xr:uid="{00000000-0005-0000-0000-00002D240000}"/>
    <cellStyle name="Comma 2 3 15 3 5" xfId="9265" xr:uid="{00000000-0005-0000-0000-00002E240000}"/>
    <cellStyle name="Comma 2 3 15 3 6" xfId="9266" xr:uid="{00000000-0005-0000-0000-00002F240000}"/>
    <cellStyle name="Comma 2 3 15 4" xfId="9267" xr:uid="{00000000-0005-0000-0000-000030240000}"/>
    <cellStyle name="Comma 2 3 15 4 2" xfId="9268" xr:uid="{00000000-0005-0000-0000-000031240000}"/>
    <cellStyle name="Comma 2 3 15 4 2 2" xfId="9269" xr:uid="{00000000-0005-0000-0000-000032240000}"/>
    <cellStyle name="Comma 2 3 15 4 3" xfId="9270" xr:uid="{00000000-0005-0000-0000-000033240000}"/>
    <cellStyle name="Comma 2 3 15 4 4" xfId="9271" xr:uid="{00000000-0005-0000-0000-000034240000}"/>
    <cellStyle name="Comma 2 3 15 4 5" xfId="9272" xr:uid="{00000000-0005-0000-0000-000035240000}"/>
    <cellStyle name="Comma 2 3 15 5" xfId="9273" xr:uid="{00000000-0005-0000-0000-000036240000}"/>
    <cellStyle name="Comma 2 3 15 5 2" xfId="9274" xr:uid="{00000000-0005-0000-0000-000037240000}"/>
    <cellStyle name="Comma 2 3 15 5 3" xfId="9275" xr:uid="{00000000-0005-0000-0000-000038240000}"/>
    <cellStyle name="Comma 2 3 15 5 4" xfId="9276" xr:uid="{00000000-0005-0000-0000-000039240000}"/>
    <cellStyle name="Comma 2 3 15 6" xfId="9277" xr:uid="{00000000-0005-0000-0000-00003A240000}"/>
    <cellStyle name="Comma 2 3 15 6 2" xfId="9278" xr:uid="{00000000-0005-0000-0000-00003B240000}"/>
    <cellStyle name="Comma 2 3 15 7" xfId="9279" xr:uid="{00000000-0005-0000-0000-00003C240000}"/>
    <cellStyle name="Comma 2 3 15 8" xfId="9280" xr:uid="{00000000-0005-0000-0000-00003D240000}"/>
    <cellStyle name="Comma 2 3 15 9" xfId="9281" xr:uid="{00000000-0005-0000-0000-00003E240000}"/>
    <cellStyle name="Comma 2 3 16" xfId="9282" xr:uid="{00000000-0005-0000-0000-00003F240000}"/>
    <cellStyle name="Comma 2 3 16 10" xfId="9283" xr:uid="{00000000-0005-0000-0000-000040240000}"/>
    <cellStyle name="Comma 2 3 16 2" xfId="9284" xr:uid="{00000000-0005-0000-0000-000041240000}"/>
    <cellStyle name="Comma 2 3 16 2 2" xfId="9285" xr:uid="{00000000-0005-0000-0000-000042240000}"/>
    <cellStyle name="Comma 2 3 16 2 2 2" xfId="9286" xr:uid="{00000000-0005-0000-0000-000043240000}"/>
    <cellStyle name="Comma 2 3 16 2 2 3" xfId="9287" xr:uid="{00000000-0005-0000-0000-000044240000}"/>
    <cellStyle name="Comma 2 3 16 2 3" xfId="9288" xr:uid="{00000000-0005-0000-0000-000045240000}"/>
    <cellStyle name="Comma 2 3 16 2 4" xfId="9289" xr:uid="{00000000-0005-0000-0000-000046240000}"/>
    <cellStyle name="Comma 2 3 16 2 5" xfId="9290" xr:uid="{00000000-0005-0000-0000-000047240000}"/>
    <cellStyle name="Comma 2 3 16 2 6" xfId="9291" xr:uid="{00000000-0005-0000-0000-000048240000}"/>
    <cellStyle name="Comma 2 3 16 3" xfId="9292" xr:uid="{00000000-0005-0000-0000-000049240000}"/>
    <cellStyle name="Comma 2 3 16 3 2" xfId="9293" xr:uid="{00000000-0005-0000-0000-00004A240000}"/>
    <cellStyle name="Comma 2 3 16 3 2 2" xfId="9294" xr:uid="{00000000-0005-0000-0000-00004B240000}"/>
    <cellStyle name="Comma 2 3 16 3 2 3" xfId="9295" xr:uid="{00000000-0005-0000-0000-00004C240000}"/>
    <cellStyle name="Comma 2 3 16 3 3" xfId="9296" xr:uid="{00000000-0005-0000-0000-00004D240000}"/>
    <cellStyle name="Comma 2 3 16 3 4" xfId="9297" xr:uid="{00000000-0005-0000-0000-00004E240000}"/>
    <cellStyle name="Comma 2 3 16 3 5" xfId="9298" xr:uid="{00000000-0005-0000-0000-00004F240000}"/>
    <cellStyle name="Comma 2 3 16 3 6" xfId="9299" xr:uid="{00000000-0005-0000-0000-000050240000}"/>
    <cellStyle name="Comma 2 3 16 4" xfId="9300" xr:uid="{00000000-0005-0000-0000-000051240000}"/>
    <cellStyle name="Comma 2 3 16 4 2" xfId="9301" xr:uid="{00000000-0005-0000-0000-000052240000}"/>
    <cellStyle name="Comma 2 3 16 4 2 2" xfId="9302" xr:uid="{00000000-0005-0000-0000-000053240000}"/>
    <cellStyle name="Comma 2 3 16 4 3" xfId="9303" xr:uid="{00000000-0005-0000-0000-000054240000}"/>
    <cellStyle name="Comma 2 3 16 4 4" xfId="9304" xr:uid="{00000000-0005-0000-0000-000055240000}"/>
    <cellStyle name="Comma 2 3 16 4 5" xfId="9305" xr:uid="{00000000-0005-0000-0000-000056240000}"/>
    <cellStyle name="Comma 2 3 16 5" xfId="9306" xr:uid="{00000000-0005-0000-0000-000057240000}"/>
    <cellStyle name="Comma 2 3 16 5 2" xfId="9307" xr:uid="{00000000-0005-0000-0000-000058240000}"/>
    <cellStyle name="Comma 2 3 16 5 3" xfId="9308" xr:uid="{00000000-0005-0000-0000-000059240000}"/>
    <cellStyle name="Comma 2 3 16 5 4" xfId="9309" xr:uid="{00000000-0005-0000-0000-00005A240000}"/>
    <cellStyle name="Comma 2 3 16 6" xfId="9310" xr:uid="{00000000-0005-0000-0000-00005B240000}"/>
    <cellStyle name="Comma 2 3 16 6 2" xfId="9311" xr:uid="{00000000-0005-0000-0000-00005C240000}"/>
    <cellStyle name="Comma 2 3 16 7" xfId="9312" xr:uid="{00000000-0005-0000-0000-00005D240000}"/>
    <cellStyle name="Comma 2 3 16 8" xfId="9313" xr:uid="{00000000-0005-0000-0000-00005E240000}"/>
    <cellStyle name="Comma 2 3 16 9" xfId="9314" xr:uid="{00000000-0005-0000-0000-00005F240000}"/>
    <cellStyle name="Comma 2 3 17" xfId="9315" xr:uid="{00000000-0005-0000-0000-000060240000}"/>
    <cellStyle name="Comma 2 3 17 10" xfId="9316" xr:uid="{00000000-0005-0000-0000-000061240000}"/>
    <cellStyle name="Comma 2 3 17 2" xfId="9317" xr:uid="{00000000-0005-0000-0000-000062240000}"/>
    <cellStyle name="Comma 2 3 17 2 2" xfId="9318" xr:uid="{00000000-0005-0000-0000-000063240000}"/>
    <cellStyle name="Comma 2 3 17 2 2 2" xfId="9319" xr:uid="{00000000-0005-0000-0000-000064240000}"/>
    <cellStyle name="Comma 2 3 17 2 2 3" xfId="9320" xr:uid="{00000000-0005-0000-0000-000065240000}"/>
    <cellStyle name="Comma 2 3 17 2 3" xfId="9321" xr:uid="{00000000-0005-0000-0000-000066240000}"/>
    <cellStyle name="Comma 2 3 17 2 4" xfId="9322" xr:uid="{00000000-0005-0000-0000-000067240000}"/>
    <cellStyle name="Comma 2 3 17 2 5" xfId="9323" xr:uid="{00000000-0005-0000-0000-000068240000}"/>
    <cellStyle name="Comma 2 3 17 2 6" xfId="9324" xr:uid="{00000000-0005-0000-0000-000069240000}"/>
    <cellStyle name="Comma 2 3 17 3" xfId="9325" xr:uid="{00000000-0005-0000-0000-00006A240000}"/>
    <cellStyle name="Comma 2 3 17 3 2" xfId="9326" xr:uid="{00000000-0005-0000-0000-00006B240000}"/>
    <cellStyle name="Comma 2 3 17 3 2 2" xfId="9327" xr:uid="{00000000-0005-0000-0000-00006C240000}"/>
    <cellStyle name="Comma 2 3 17 3 2 3" xfId="9328" xr:uid="{00000000-0005-0000-0000-00006D240000}"/>
    <cellStyle name="Comma 2 3 17 3 3" xfId="9329" xr:uid="{00000000-0005-0000-0000-00006E240000}"/>
    <cellStyle name="Comma 2 3 17 3 4" xfId="9330" xr:uid="{00000000-0005-0000-0000-00006F240000}"/>
    <cellStyle name="Comma 2 3 17 3 5" xfId="9331" xr:uid="{00000000-0005-0000-0000-000070240000}"/>
    <cellStyle name="Comma 2 3 17 3 6" xfId="9332" xr:uid="{00000000-0005-0000-0000-000071240000}"/>
    <cellStyle name="Comma 2 3 17 4" xfId="9333" xr:uid="{00000000-0005-0000-0000-000072240000}"/>
    <cellStyle name="Comma 2 3 17 4 2" xfId="9334" xr:uid="{00000000-0005-0000-0000-000073240000}"/>
    <cellStyle name="Comma 2 3 17 4 2 2" xfId="9335" xr:uid="{00000000-0005-0000-0000-000074240000}"/>
    <cellStyle name="Comma 2 3 17 4 3" xfId="9336" xr:uid="{00000000-0005-0000-0000-000075240000}"/>
    <cellStyle name="Comma 2 3 17 4 4" xfId="9337" xr:uid="{00000000-0005-0000-0000-000076240000}"/>
    <cellStyle name="Comma 2 3 17 4 5" xfId="9338" xr:uid="{00000000-0005-0000-0000-000077240000}"/>
    <cellStyle name="Comma 2 3 17 5" xfId="9339" xr:uid="{00000000-0005-0000-0000-000078240000}"/>
    <cellStyle name="Comma 2 3 17 5 2" xfId="9340" xr:uid="{00000000-0005-0000-0000-000079240000}"/>
    <cellStyle name="Comma 2 3 17 5 3" xfId="9341" xr:uid="{00000000-0005-0000-0000-00007A240000}"/>
    <cellStyle name="Comma 2 3 17 5 4" xfId="9342" xr:uid="{00000000-0005-0000-0000-00007B240000}"/>
    <cellStyle name="Comma 2 3 17 6" xfId="9343" xr:uid="{00000000-0005-0000-0000-00007C240000}"/>
    <cellStyle name="Comma 2 3 17 6 2" xfId="9344" xr:uid="{00000000-0005-0000-0000-00007D240000}"/>
    <cellStyle name="Comma 2 3 17 7" xfId="9345" xr:uid="{00000000-0005-0000-0000-00007E240000}"/>
    <cellStyle name="Comma 2 3 17 8" xfId="9346" xr:uid="{00000000-0005-0000-0000-00007F240000}"/>
    <cellStyle name="Comma 2 3 17 9" xfId="9347" xr:uid="{00000000-0005-0000-0000-000080240000}"/>
    <cellStyle name="Comma 2 3 18" xfId="9348" xr:uid="{00000000-0005-0000-0000-000081240000}"/>
    <cellStyle name="Comma 2 3 18 10" xfId="9349" xr:uid="{00000000-0005-0000-0000-000082240000}"/>
    <cellStyle name="Comma 2 3 18 2" xfId="9350" xr:uid="{00000000-0005-0000-0000-000083240000}"/>
    <cellStyle name="Comma 2 3 18 2 2" xfId="9351" xr:uid="{00000000-0005-0000-0000-000084240000}"/>
    <cellStyle name="Comma 2 3 18 2 2 2" xfId="9352" xr:uid="{00000000-0005-0000-0000-000085240000}"/>
    <cellStyle name="Comma 2 3 18 2 2 3" xfId="9353" xr:uid="{00000000-0005-0000-0000-000086240000}"/>
    <cellStyle name="Comma 2 3 18 2 3" xfId="9354" xr:uid="{00000000-0005-0000-0000-000087240000}"/>
    <cellStyle name="Comma 2 3 18 2 4" xfId="9355" xr:uid="{00000000-0005-0000-0000-000088240000}"/>
    <cellStyle name="Comma 2 3 18 2 5" xfId="9356" xr:uid="{00000000-0005-0000-0000-000089240000}"/>
    <cellStyle name="Comma 2 3 18 2 6" xfId="9357" xr:uid="{00000000-0005-0000-0000-00008A240000}"/>
    <cellStyle name="Comma 2 3 18 3" xfId="9358" xr:uid="{00000000-0005-0000-0000-00008B240000}"/>
    <cellStyle name="Comma 2 3 18 3 2" xfId="9359" xr:uid="{00000000-0005-0000-0000-00008C240000}"/>
    <cellStyle name="Comma 2 3 18 3 2 2" xfId="9360" xr:uid="{00000000-0005-0000-0000-00008D240000}"/>
    <cellStyle name="Comma 2 3 18 3 2 3" xfId="9361" xr:uid="{00000000-0005-0000-0000-00008E240000}"/>
    <cellStyle name="Comma 2 3 18 3 3" xfId="9362" xr:uid="{00000000-0005-0000-0000-00008F240000}"/>
    <cellStyle name="Comma 2 3 18 3 4" xfId="9363" xr:uid="{00000000-0005-0000-0000-000090240000}"/>
    <cellStyle name="Comma 2 3 18 3 5" xfId="9364" xr:uid="{00000000-0005-0000-0000-000091240000}"/>
    <cellStyle name="Comma 2 3 18 3 6" xfId="9365" xr:uid="{00000000-0005-0000-0000-000092240000}"/>
    <cellStyle name="Comma 2 3 18 4" xfId="9366" xr:uid="{00000000-0005-0000-0000-000093240000}"/>
    <cellStyle name="Comma 2 3 18 4 2" xfId="9367" xr:uid="{00000000-0005-0000-0000-000094240000}"/>
    <cellStyle name="Comma 2 3 18 4 2 2" xfId="9368" xr:uid="{00000000-0005-0000-0000-000095240000}"/>
    <cellStyle name="Comma 2 3 18 4 3" xfId="9369" xr:uid="{00000000-0005-0000-0000-000096240000}"/>
    <cellStyle name="Comma 2 3 18 4 4" xfId="9370" xr:uid="{00000000-0005-0000-0000-000097240000}"/>
    <cellStyle name="Comma 2 3 18 4 5" xfId="9371" xr:uid="{00000000-0005-0000-0000-000098240000}"/>
    <cellStyle name="Comma 2 3 18 5" xfId="9372" xr:uid="{00000000-0005-0000-0000-000099240000}"/>
    <cellStyle name="Comma 2 3 18 5 2" xfId="9373" xr:uid="{00000000-0005-0000-0000-00009A240000}"/>
    <cellStyle name="Comma 2 3 18 5 3" xfId="9374" xr:uid="{00000000-0005-0000-0000-00009B240000}"/>
    <cellStyle name="Comma 2 3 18 5 4" xfId="9375" xr:uid="{00000000-0005-0000-0000-00009C240000}"/>
    <cellStyle name="Comma 2 3 18 6" xfId="9376" xr:uid="{00000000-0005-0000-0000-00009D240000}"/>
    <cellStyle name="Comma 2 3 18 6 2" xfId="9377" xr:uid="{00000000-0005-0000-0000-00009E240000}"/>
    <cellStyle name="Comma 2 3 18 7" xfId="9378" xr:uid="{00000000-0005-0000-0000-00009F240000}"/>
    <cellStyle name="Comma 2 3 18 8" xfId="9379" xr:uid="{00000000-0005-0000-0000-0000A0240000}"/>
    <cellStyle name="Comma 2 3 18 9" xfId="9380" xr:uid="{00000000-0005-0000-0000-0000A1240000}"/>
    <cellStyle name="Comma 2 3 19" xfId="9381" xr:uid="{00000000-0005-0000-0000-0000A2240000}"/>
    <cellStyle name="Comma 2 3 19 10" xfId="9382" xr:uid="{00000000-0005-0000-0000-0000A3240000}"/>
    <cellStyle name="Comma 2 3 19 2" xfId="9383" xr:uid="{00000000-0005-0000-0000-0000A4240000}"/>
    <cellStyle name="Comma 2 3 19 2 2" xfId="9384" xr:uid="{00000000-0005-0000-0000-0000A5240000}"/>
    <cellStyle name="Comma 2 3 19 2 2 2" xfId="9385" xr:uid="{00000000-0005-0000-0000-0000A6240000}"/>
    <cellStyle name="Comma 2 3 19 2 2 3" xfId="9386" xr:uid="{00000000-0005-0000-0000-0000A7240000}"/>
    <cellStyle name="Comma 2 3 19 2 3" xfId="9387" xr:uid="{00000000-0005-0000-0000-0000A8240000}"/>
    <cellStyle name="Comma 2 3 19 2 4" xfId="9388" xr:uid="{00000000-0005-0000-0000-0000A9240000}"/>
    <cellStyle name="Comma 2 3 19 2 5" xfId="9389" xr:uid="{00000000-0005-0000-0000-0000AA240000}"/>
    <cellStyle name="Comma 2 3 19 2 6" xfId="9390" xr:uid="{00000000-0005-0000-0000-0000AB240000}"/>
    <cellStyle name="Comma 2 3 19 3" xfId="9391" xr:uid="{00000000-0005-0000-0000-0000AC240000}"/>
    <cellStyle name="Comma 2 3 19 3 2" xfId="9392" xr:uid="{00000000-0005-0000-0000-0000AD240000}"/>
    <cellStyle name="Comma 2 3 19 3 2 2" xfId="9393" xr:uid="{00000000-0005-0000-0000-0000AE240000}"/>
    <cellStyle name="Comma 2 3 19 3 2 3" xfId="9394" xr:uid="{00000000-0005-0000-0000-0000AF240000}"/>
    <cellStyle name="Comma 2 3 19 3 3" xfId="9395" xr:uid="{00000000-0005-0000-0000-0000B0240000}"/>
    <cellStyle name="Comma 2 3 19 3 4" xfId="9396" xr:uid="{00000000-0005-0000-0000-0000B1240000}"/>
    <cellStyle name="Comma 2 3 19 3 5" xfId="9397" xr:uid="{00000000-0005-0000-0000-0000B2240000}"/>
    <cellStyle name="Comma 2 3 19 3 6" xfId="9398" xr:uid="{00000000-0005-0000-0000-0000B3240000}"/>
    <cellStyle name="Comma 2 3 19 4" xfId="9399" xr:uid="{00000000-0005-0000-0000-0000B4240000}"/>
    <cellStyle name="Comma 2 3 19 4 2" xfId="9400" xr:uid="{00000000-0005-0000-0000-0000B5240000}"/>
    <cellStyle name="Comma 2 3 19 4 2 2" xfId="9401" xr:uid="{00000000-0005-0000-0000-0000B6240000}"/>
    <cellStyle name="Comma 2 3 19 4 3" xfId="9402" xr:uid="{00000000-0005-0000-0000-0000B7240000}"/>
    <cellStyle name="Comma 2 3 19 4 4" xfId="9403" xr:uid="{00000000-0005-0000-0000-0000B8240000}"/>
    <cellStyle name="Comma 2 3 19 4 5" xfId="9404" xr:uid="{00000000-0005-0000-0000-0000B9240000}"/>
    <cellStyle name="Comma 2 3 19 5" xfId="9405" xr:uid="{00000000-0005-0000-0000-0000BA240000}"/>
    <cellStyle name="Comma 2 3 19 5 2" xfId="9406" xr:uid="{00000000-0005-0000-0000-0000BB240000}"/>
    <cellStyle name="Comma 2 3 19 5 3" xfId="9407" xr:uid="{00000000-0005-0000-0000-0000BC240000}"/>
    <cellStyle name="Comma 2 3 19 5 4" xfId="9408" xr:uid="{00000000-0005-0000-0000-0000BD240000}"/>
    <cellStyle name="Comma 2 3 19 6" xfId="9409" xr:uid="{00000000-0005-0000-0000-0000BE240000}"/>
    <cellStyle name="Comma 2 3 19 6 2" xfId="9410" xr:uid="{00000000-0005-0000-0000-0000BF240000}"/>
    <cellStyle name="Comma 2 3 19 7" xfId="9411" xr:uid="{00000000-0005-0000-0000-0000C0240000}"/>
    <cellStyle name="Comma 2 3 19 8" xfId="9412" xr:uid="{00000000-0005-0000-0000-0000C1240000}"/>
    <cellStyle name="Comma 2 3 19 9" xfId="9413" xr:uid="{00000000-0005-0000-0000-0000C2240000}"/>
    <cellStyle name="Comma 2 3 2" xfId="9414" xr:uid="{00000000-0005-0000-0000-0000C3240000}"/>
    <cellStyle name="Comma 2 3 2 10" xfId="9415" xr:uid="{00000000-0005-0000-0000-0000C4240000}"/>
    <cellStyle name="Comma 2 3 2 10 10" xfId="9416" xr:uid="{00000000-0005-0000-0000-0000C5240000}"/>
    <cellStyle name="Comma 2 3 2 10 2" xfId="9417" xr:uid="{00000000-0005-0000-0000-0000C6240000}"/>
    <cellStyle name="Comma 2 3 2 10 2 2" xfId="9418" xr:uid="{00000000-0005-0000-0000-0000C7240000}"/>
    <cellStyle name="Comma 2 3 2 10 2 2 2" xfId="9419" xr:uid="{00000000-0005-0000-0000-0000C8240000}"/>
    <cellStyle name="Comma 2 3 2 10 2 2 3" xfId="9420" xr:uid="{00000000-0005-0000-0000-0000C9240000}"/>
    <cellStyle name="Comma 2 3 2 10 2 3" xfId="9421" xr:uid="{00000000-0005-0000-0000-0000CA240000}"/>
    <cellStyle name="Comma 2 3 2 10 2 4" xfId="9422" xr:uid="{00000000-0005-0000-0000-0000CB240000}"/>
    <cellStyle name="Comma 2 3 2 10 2 5" xfId="9423" xr:uid="{00000000-0005-0000-0000-0000CC240000}"/>
    <cellStyle name="Comma 2 3 2 10 2 6" xfId="9424" xr:uid="{00000000-0005-0000-0000-0000CD240000}"/>
    <cellStyle name="Comma 2 3 2 10 3" xfId="9425" xr:uid="{00000000-0005-0000-0000-0000CE240000}"/>
    <cellStyle name="Comma 2 3 2 10 3 2" xfId="9426" xr:uid="{00000000-0005-0000-0000-0000CF240000}"/>
    <cellStyle name="Comma 2 3 2 10 3 2 2" xfId="9427" xr:uid="{00000000-0005-0000-0000-0000D0240000}"/>
    <cellStyle name="Comma 2 3 2 10 3 2 3" xfId="9428" xr:uid="{00000000-0005-0000-0000-0000D1240000}"/>
    <cellStyle name="Comma 2 3 2 10 3 3" xfId="9429" xr:uid="{00000000-0005-0000-0000-0000D2240000}"/>
    <cellStyle name="Comma 2 3 2 10 3 4" xfId="9430" xr:uid="{00000000-0005-0000-0000-0000D3240000}"/>
    <cellStyle name="Comma 2 3 2 10 3 5" xfId="9431" xr:uid="{00000000-0005-0000-0000-0000D4240000}"/>
    <cellStyle name="Comma 2 3 2 10 3 6" xfId="9432" xr:uid="{00000000-0005-0000-0000-0000D5240000}"/>
    <cellStyle name="Comma 2 3 2 10 4" xfId="9433" xr:uid="{00000000-0005-0000-0000-0000D6240000}"/>
    <cellStyle name="Comma 2 3 2 10 4 2" xfId="9434" xr:uid="{00000000-0005-0000-0000-0000D7240000}"/>
    <cellStyle name="Comma 2 3 2 10 4 2 2" xfId="9435" xr:uid="{00000000-0005-0000-0000-0000D8240000}"/>
    <cellStyle name="Comma 2 3 2 10 4 3" xfId="9436" xr:uid="{00000000-0005-0000-0000-0000D9240000}"/>
    <cellStyle name="Comma 2 3 2 10 4 4" xfId="9437" xr:uid="{00000000-0005-0000-0000-0000DA240000}"/>
    <cellStyle name="Comma 2 3 2 10 4 5" xfId="9438" xr:uid="{00000000-0005-0000-0000-0000DB240000}"/>
    <cellStyle name="Comma 2 3 2 10 5" xfId="9439" xr:uid="{00000000-0005-0000-0000-0000DC240000}"/>
    <cellStyle name="Comma 2 3 2 10 5 2" xfId="9440" xr:uid="{00000000-0005-0000-0000-0000DD240000}"/>
    <cellStyle name="Comma 2 3 2 10 5 3" xfId="9441" xr:uid="{00000000-0005-0000-0000-0000DE240000}"/>
    <cellStyle name="Comma 2 3 2 10 5 4" xfId="9442" xr:uid="{00000000-0005-0000-0000-0000DF240000}"/>
    <cellStyle name="Comma 2 3 2 10 6" xfId="9443" xr:uid="{00000000-0005-0000-0000-0000E0240000}"/>
    <cellStyle name="Comma 2 3 2 10 6 2" xfId="9444" xr:uid="{00000000-0005-0000-0000-0000E1240000}"/>
    <cellStyle name="Comma 2 3 2 10 7" xfId="9445" xr:uid="{00000000-0005-0000-0000-0000E2240000}"/>
    <cellStyle name="Comma 2 3 2 10 8" xfId="9446" xr:uid="{00000000-0005-0000-0000-0000E3240000}"/>
    <cellStyle name="Comma 2 3 2 10 9" xfId="9447" xr:uid="{00000000-0005-0000-0000-0000E4240000}"/>
    <cellStyle name="Comma 2 3 2 11" xfId="9448" xr:uid="{00000000-0005-0000-0000-0000E5240000}"/>
    <cellStyle name="Comma 2 3 2 11 10" xfId="9449" xr:uid="{00000000-0005-0000-0000-0000E6240000}"/>
    <cellStyle name="Comma 2 3 2 11 2" xfId="9450" xr:uid="{00000000-0005-0000-0000-0000E7240000}"/>
    <cellStyle name="Comma 2 3 2 11 2 2" xfId="9451" xr:uid="{00000000-0005-0000-0000-0000E8240000}"/>
    <cellStyle name="Comma 2 3 2 11 2 2 2" xfId="9452" xr:uid="{00000000-0005-0000-0000-0000E9240000}"/>
    <cellStyle name="Comma 2 3 2 11 2 2 3" xfId="9453" xr:uid="{00000000-0005-0000-0000-0000EA240000}"/>
    <cellStyle name="Comma 2 3 2 11 2 3" xfId="9454" xr:uid="{00000000-0005-0000-0000-0000EB240000}"/>
    <cellStyle name="Comma 2 3 2 11 2 4" xfId="9455" xr:uid="{00000000-0005-0000-0000-0000EC240000}"/>
    <cellStyle name="Comma 2 3 2 11 2 5" xfId="9456" xr:uid="{00000000-0005-0000-0000-0000ED240000}"/>
    <cellStyle name="Comma 2 3 2 11 2 6" xfId="9457" xr:uid="{00000000-0005-0000-0000-0000EE240000}"/>
    <cellStyle name="Comma 2 3 2 11 3" xfId="9458" xr:uid="{00000000-0005-0000-0000-0000EF240000}"/>
    <cellStyle name="Comma 2 3 2 11 3 2" xfId="9459" xr:uid="{00000000-0005-0000-0000-0000F0240000}"/>
    <cellStyle name="Comma 2 3 2 11 3 2 2" xfId="9460" xr:uid="{00000000-0005-0000-0000-0000F1240000}"/>
    <cellStyle name="Comma 2 3 2 11 3 2 3" xfId="9461" xr:uid="{00000000-0005-0000-0000-0000F2240000}"/>
    <cellStyle name="Comma 2 3 2 11 3 3" xfId="9462" xr:uid="{00000000-0005-0000-0000-0000F3240000}"/>
    <cellStyle name="Comma 2 3 2 11 3 4" xfId="9463" xr:uid="{00000000-0005-0000-0000-0000F4240000}"/>
    <cellStyle name="Comma 2 3 2 11 3 5" xfId="9464" xr:uid="{00000000-0005-0000-0000-0000F5240000}"/>
    <cellStyle name="Comma 2 3 2 11 3 6" xfId="9465" xr:uid="{00000000-0005-0000-0000-0000F6240000}"/>
    <cellStyle name="Comma 2 3 2 11 4" xfId="9466" xr:uid="{00000000-0005-0000-0000-0000F7240000}"/>
    <cellStyle name="Comma 2 3 2 11 4 2" xfId="9467" xr:uid="{00000000-0005-0000-0000-0000F8240000}"/>
    <cellStyle name="Comma 2 3 2 11 4 2 2" xfId="9468" xr:uid="{00000000-0005-0000-0000-0000F9240000}"/>
    <cellStyle name="Comma 2 3 2 11 4 3" xfId="9469" xr:uid="{00000000-0005-0000-0000-0000FA240000}"/>
    <cellStyle name="Comma 2 3 2 11 4 4" xfId="9470" xr:uid="{00000000-0005-0000-0000-0000FB240000}"/>
    <cellStyle name="Comma 2 3 2 11 4 5" xfId="9471" xr:uid="{00000000-0005-0000-0000-0000FC240000}"/>
    <cellStyle name="Comma 2 3 2 11 5" xfId="9472" xr:uid="{00000000-0005-0000-0000-0000FD240000}"/>
    <cellStyle name="Comma 2 3 2 11 5 2" xfId="9473" xr:uid="{00000000-0005-0000-0000-0000FE240000}"/>
    <cellStyle name="Comma 2 3 2 11 5 3" xfId="9474" xr:uid="{00000000-0005-0000-0000-0000FF240000}"/>
    <cellStyle name="Comma 2 3 2 11 5 4" xfId="9475" xr:uid="{00000000-0005-0000-0000-000000250000}"/>
    <cellStyle name="Comma 2 3 2 11 6" xfId="9476" xr:uid="{00000000-0005-0000-0000-000001250000}"/>
    <cellStyle name="Comma 2 3 2 11 6 2" xfId="9477" xr:uid="{00000000-0005-0000-0000-000002250000}"/>
    <cellStyle name="Comma 2 3 2 11 7" xfId="9478" xr:uid="{00000000-0005-0000-0000-000003250000}"/>
    <cellStyle name="Comma 2 3 2 11 8" xfId="9479" xr:uid="{00000000-0005-0000-0000-000004250000}"/>
    <cellStyle name="Comma 2 3 2 11 9" xfId="9480" xr:uid="{00000000-0005-0000-0000-000005250000}"/>
    <cellStyle name="Comma 2 3 2 12" xfId="9481" xr:uid="{00000000-0005-0000-0000-000006250000}"/>
    <cellStyle name="Comma 2 3 2 12 10" xfId="9482" xr:uid="{00000000-0005-0000-0000-000007250000}"/>
    <cellStyle name="Comma 2 3 2 12 2" xfId="9483" xr:uid="{00000000-0005-0000-0000-000008250000}"/>
    <cellStyle name="Comma 2 3 2 12 2 2" xfId="9484" xr:uid="{00000000-0005-0000-0000-000009250000}"/>
    <cellStyle name="Comma 2 3 2 12 2 2 2" xfId="9485" xr:uid="{00000000-0005-0000-0000-00000A250000}"/>
    <cellStyle name="Comma 2 3 2 12 2 2 3" xfId="9486" xr:uid="{00000000-0005-0000-0000-00000B250000}"/>
    <cellStyle name="Comma 2 3 2 12 2 3" xfId="9487" xr:uid="{00000000-0005-0000-0000-00000C250000}"/>
    <cellStyle name="Comma 2 3 2 12 2 4" xfId="9488" xr:uid="{00000000-0005-0000-0000-00000D250000}"/>
    <cellStyle name="Comma 2 3 2 12 2 5" xfId="9489" xr:uid="{00000000-0005-0000-0000-00000E250000}"/>
    <cellStyle name="Comma 2 3 2 12 2 6" xfId="9490" xr:uid="{00000000-0005-0000-0000-00000F250000}"/>
    <cellStyle name="Comma 2 3 2 12 3" xfId="9491" xr:uid="{00000000-0005-0000-0000-000010250000}"/>
    <cellStyle name="Comma 2 3 2 12 3 2" xfId="9492" xr:uid="{00000000-0005-0000-0000-000011250000}"/>
    <cellStyle name="Comma 2 3 2 12 3 2 2" xfId="9493" xr:uid="{00000000-0005-0000-0000-000012250000}"/>
    <cellStyle name="Comma 2 3 2 12 3 2 3" xfId="9494" xr:uid="{00000000-0005-0000-0000-000013250000}"/>
    <cellStyle name="Comma 2 3 2 12 3 3" xfId="9495" xr:uid="{00000000-0005-0000-0000-000014250000}"/>
    <cellStyle name="Comma 2 3 2 12 3 4" xfId="9496" xr:uid="{00000000-0005-0000-0000-000015250000}"/>
    <cellStyle name="Comma 2 3 2 12 3 5" xfId="9497" xr:uid="{00000000-0005-0000-0000-000016250000}"/>
    <cellStyle name="Comma 2 3 2 12 3 6" xfId="9498" xr:uid="{00000000-0005-0000-0000-000017250000}"/>
    <cellStyle name="Comma 2 3 2 12 4" xfId="9499" xr:uid="{00000000-0005-0000-0000-000018250000}"/>
    <cellStyle name="Comma 2 3 2 12 4 2" xfId="9500" xr:uid="{00000000-0005-0000-0000-000019250000}"/>
    <cellStyle name="Comma 2 3 2 12 4 2 2" xfId="9501" xr:uid="{00000000-0005-0000-0000-00001A250000}"/>
    <cellStyle name="Comma 2 3 2 12 4 3" xfId="9502" xr:uid="{00000000-0005-0000-0000-00001B250000}"/>
    <cellStyle name="Comma 2 3 2 12 4 4" xfId="9503" xr:uid="{00000000-0005-0000-0000-00001C250000}"/>
    <cellStyle name="Comma 2 3 2 12 4 5" xfId="9504" xr:uid="{00000000-0005-0000-0000-00001D250000}"/>
    <cellStyle name="Comma 2 3 2 12 5" xfId="9505" xr:uid="{00000000-0005-0000-0000-00001E250000}"/>
    <cellStyle name="Comma 2 3 2 12 5 2" xfId="9506" xr:uid="{00000000-0005-0000-0000-00001F250000}"/>
    <cellStyle name="Comma 2 3 2 12 5 3" xfId="9507" xr:uid="{00000000-0005-0000-0000-000020250000}"/>
    <cellStyle name="Comma 2 3 2 12 5 4" xfId="9508" xr:uid="{00000000-0005-0000-0000-000021250000}"/>
    <cellStyle name="Comma 2 3 2 12 6" xfId="9509" xr:uid="{00000000-0005-0000-0000-000022250000}"/>
    <cellStyle name="Comma 2 3 2 12 6 2" xfId="9510" xr:uid="{00000000-0005-0000-0000-000023250000}"/>
    <cellStyle name="Comma 2 3 2 12 7" xfId="9511" xr:uid="{00000000-0005-0000-0000-000024250000}"/>
    <cellStyle name="Comma 2 3 2 12 8" xfId="9512" xr:uid="{00000000-0005-0000-0000-000025250000}"/>
    <cellStyle name="Comma 2 3 2 12 9" xfId="9513" xr:uid="{00000000-0005-0000-0000-000026250000}"/>
    <cellStyle name="Comma 2 3 2 13" xfId="9514" xr:uid="{00000000-0005-0000-0000-000027250000}"/>
    <cellStyle name="Comma 2 3 2 13 2" xfId="9515" xr:uid="{00000000-0005-0000-0000-000028250000}"/>
    <cellStyle name="Comma 2 3 2 13 2 2" xfId="9516" xr:uid="{00000000-0005-0000-0000-000029250000}"/>
    <cellStyle name="Comma 2 3 2 13 2 2 2" xfId="9517" xr:uid="{00000000-0005-0000-0000-00002A250000}"/>
    <cellStyle name="Comma 2 3 2 13 2 2 3" xfId="9518" xr:uid="{00000000-0005-0000-0000-00002B250000}"/>
    <cellStyle name="Comma 2 3 2 13 2 3" xfId="9519" xr:uid="{00000000-0005-0000-0000-00002C250000}"/>
    <cellStyle name="Comma 2 3 2 13 2 4" xfId="9520" xr:uid="{00000000-0005-0000-0000-00002D250000}"/>
    <cellStyle name="Comma 2 3 2 13 2 5" xfId="9521" xr:uid="{00000000-0005-0000-0000-00002E250000}"/>
    <cellStyle name="Comma 2 3 2 13 2 6" xfId="9522" xr:uid="{00000000-0005-0000-0000-00002F250000}"/>
    <cellStyle name="Comma 2 3 2 13 3" xfId="9523" xr:uid="{00000000-0005-0000-0000-000030250000}"/>
    <cellStyle name="Comma 2 3 2 13 3 2" xfId="9524" xr:uid="{00000000-0005-0000-0000-000031250000}"/>
    <cellStyle name="Comma 2 3 2 13 3 2 2" xfId="9525" xr:uid="{00000000-0005-0000-0000-000032250000}"/>
    <cellStyle name="Comma 2 3 2 13 3 3" xfId="9526" xr:uid="{00000000-0005-0000-0000-000033250000}"/>
    <cellStyle name="Comma 2 3 2 13 3 4" xfId="9527" xr:uid="{00000000-0005-0000-0000-000034250000}"/>
    <cellStyle name="Comma 2 3 2 13 3 5" xfId="9528" xr:uid="{00000000-0005-0000-0000-000035250000}"/>
    <cellStyle name="Comma 2 3 2 13 4" xfId="9529" xr:uid="{00000000-0005-0000-0000-000036250000}"/>
    <cellStyle name="Comma 2 3 2 13 4 2" xfId="9530" xr:uid="{00000000-0005-0000-0000-000037250000}"/>
    <cellStyle name="Comma 2 3 2 13 4 3" xfId="9531" xr:uid="{00000000-0005-0000-0000-000038250000}"/>
    <cellStyle name="Comma 2 3 2 13 4 4" xfId="9532" xr:uid="{00000000-0005-0000-0000-000039250000}"/>
    <cellStyle name="Comma 2 3 2 13 5" xfId="9533" xr:uid="{00000000-0005-0000-0000-00003A250000}"/>
    <cellStyle name="Comma 2 3 2 13 5 2" xfId="9534" xr:uid="{00000000-0005-0000-0000-00003B250000}"/>
    <cellStyle name="Comma 2 3 2 13 6" xfId="9535" xr:uid="{00000000-0005-0000-0000-00003C250000}"/>
    <cellStyle name="Comma 2 3 2 13 7" xfId="9536" xr:uid="{00000000-0005-0000-0000-00003D250000}"/>
    <cellStyle name="Comma 2 3 2 13 8" xfId="9537" xr:uid="{00000000-0005-0000-0000-00003E250000}"/>
    <cellStyle name="Comma 2 3 2 13 9" xfId="9538" xr:uid="{00000000-0005-0000-0000-00003F250000}"/>
    <cellStyle name="Comma 2 3 2 14" xfId="9539" xr:uid="{00000000-0005-0000-0000-000040250000}"/>
    <cellStyle name="Comma 2 3 2 14 2" xfId="9540" xr:uid="{00000000-0005-0000-0000-000041250000}"/>
    <cellStyle name="Comma 2 3 2 14 2 2" xfId="9541" xr:uid="{00000000-0005-0000-0000-000042250000}"/>
    <cellStyle name="Comma 2 3 2 14 2 2 2" xfId="9542" xr:uid="{00000000-0005-0000-0000-000043250000}"/>
    <cellStyle name="Comma 2 3 2 14 2 2 3" xfId="9543" xr:uid="{00000000-0005-0000-0000-000044250000}"/>
    <cellStyle name="Comma 2 3 2 14 2 3" xfId="9544" xr:uid="{00000000-0005-0000-0000-000045250000}"/>
    <cellStyle name="Comma 2 3 2 14 2 4" xfId="9545" xr:uid="{00000000-0005-0000-0000-000046250000}"/>
    <cellStyle name="Comma 2 3 2 14 2 5" xfId="9546" xr:uid="{00000000-0005-0000-0000-000047250000}"/>
    <cellStyle name="Comma 2 3 2 14 2 6" xfId="9547" xr:uid="{00000000-0005-0000-0000-000048250000}"/>
    <cellStyle name="Comma 2 3 2 14 3" xfId="9548" xr:uid="{00000000-0005-0000-0000-000049250000}"/>
    <cellStyle name="Comma 2 3 2 14 3 2" xfId="9549" xr:uid="{00000000-0005-0000-0000-00004A250000}"/>
    <cellStyle name="Comma 2 3 2 14 3 2 2" xfId="9550" xr:uid="{00000000-0005-0000-0000-00004B250000}"/>
    <cellStyle name="Comma 2 3 2 14 3 3" xfId="9551" xr:uid="{00000000-0005-0000-0000-00004C250000}"/>
    <cellStyle name="Comma 2 3 2 14 3 4" xfId="9552" xr:uid="{00000000-0005-0000-0000-00004D250000}"/>
    <cellStyle name="Comma 2 3 2 14 3 5" xfId="9553" xr:uid="{00000000-0005-0000-0000-00004E250000}"/>
    <cellStyle name="Comma 2 3 2 14 4" xfId="9554" xr:uid="{00000000-0005-0000-0000-00004F250000}"/>
    <cellStyle name="Comma 2 3 2 14 4 2" xfId="9555" xr:uid="{00000000-0005-0000-0000-000050250000}"/>
    <cellStyle name="Comma 2 3 2 14 4 3" xfId="9556" xr:uid="{00000000-0005-0000-0000-000051250000}"/>
    <cellStyle name="Comma 2 3 2 14 4 4" xfId="9557" xr:uid="{00000000-0005-0000-0000-000052250000}"/>
    <cellStyle name="Comma 2 3 2 14 5" xfId="9558" xr:uid="{00000000-0005-0000-0000-000053250000}"/>
    <cellStyle name="Comma 2 3 2 14 5 2" xfId="9559" xr:uid="{00000000-0005-0000-0000-000054250000}"/>
    <cellStyle name="Comma 2 3 2 14 6" xfId="9560" xr:uid="{00000000-0005-0000-0000-000055250000}"/>
    <cellStyle name="Comma 2 3 2 14 7" xfId="9561" xr:uid="{00000000-0005-0000-0000-000056250000}"/>
    <cellStyle name="Comma 2 3 2 14 8" xfId="9562" xr:uid="{00000000-0005-0000-0000-000057250000}"/>
    <cellStyle name="Comma 2 3 2 14 9" xfId="9563" xr:uid="{00000000-0005-0000-0000-000058250000}"/>
    <cellStyle name="Comma 2 3 2 15" xfId="9564" xr:uid="{00000000-0005-0000-0000-000059250000}"/>
    <cellStyle name="Comma 2 3 2 15 2" xfId="9565" xr:uid="{00000000-0005-0000-0000-00005A250000}"/>
    <cellStyle name="Comma 2 3 2 15 2 2" xfId="9566" xr:uid="{00000000-0005-0000-0000-00005B250000}"/>
    <cellStyle name="Comma 2 3 2 15 2 3" xfId="9567" xr:uid="{00000000-0005-0000-0000-00005C250000}"/>
    <cellStyle name="Comma 2 3 2 15 3" xfId="9568" xr:uid="{00000000-0005-0000-0000-00005D250000}"/>
    <cellStyle name="Comma 2 3 2 15 4" xfId="9569" xr:uid="{00000000-0005-0000-0000-00005E250000}"/>
    <cellStyle name="Comma 2 3 2 15 5" xfId="9570" xr:uid="{00000000-0005-0000-0000-00005F250000}"/>
    <cellStyle name="Comma 2 3 2 15 6" xfId="9571" xr:uid="{00000000-0005-0000-0000-000060250000}"/>
    <cellStyle name="Comma 2 3 2 16" xfId="9572" xr:uid="{00000000-0005-0000-0000-000061250000}"/>
    <cellStyle name="Comma 2 3 2 16 2" xfId="9573" xr:uid="{00000000-0005-0000-0000-000062250000}"/>
    <cellStyle name="Comma 2 3 2 16 2 2" xfId="9574" xr:uid="{00000000-0005-0000-0000-000063250000}"/>
    <cellStyle name="Comma 2 3 2 16 3" xfId="9575" xr:uid="{00000000-0005-0000-0000-000064250000}"/>
    <cellStyle name="Comma 2 3 2 16 4" xfId="9576" xr:uid="{00000000-0005-0000-0000-000065250000}"/>
    <cellStyle name="Comma 2 3 2 16 5" xfId="9577" xr:uid="{00000000-0005-0000-0000-000066250000}"/>
    <cellStyle name="Comma 2 3 2 17" xfId="9578" xr:uid="{00000000-0005-0000-0000-000067250000}"/>
    <cellStyle name="Comma 2 3 2 17 2" xfId="9579" xr:uid="{00000000-0005-0000-0000-000068250000}"/>
    <cellStyle name="Comma 2 3 2 17 2 2" xfId="9580" xr:uid="{00000000-0005-0000-0000-000069250000}"/>
    <cellStyle name="Comma 2 3 2 17 3" xfId="9581" xr:uid="{00000000-0005-0000-0000-00006A250000}"/>
    <cellStyle name="Comma 2 3 2 17 4" xfId="9582" xr:uid="{00000000-0005-0000-0000-00006B250000}"/>
    <cellStyle name="Comma 2 3 2 17 5" xfId="9583" xr:uid="{00000000-0005-0000-0000-00006C250000}"/>
    <cellStyle name="Comma 2 3 2 18" xfId="9584" xr:uid="{00000000-0005-0000-0000-00006D250000}"/>
    <cellStyle name="Comma 2 3 2 18 2" xfId="9585" xr:uid="{00000000-0005-0000-0000-00006E250000}"/>
    <cellStyle name="Comma 2 3 2 19" xfId="9586" xr:uid="{00000000-0005-0000-0000-00006F250000}"/>
    <cellStyle name="Comma 2 3 2 2" xfId="9587" xr:uid="{00000000-0005-0000-0000-000070250000}"/>
    <cellStyle name="Comma 2 3 2 2 10" xfId="9588" xr:uid="{00000000-0005-0000-0000-000071250000}"/>
    <cellStyle name="Comma 2 3 2 2 11" xfId="9589" xr:uid="{00000000-0005-0000-0000-000072250000}"/>
    <cellStyle name="Comma 2 3 2 2 2" xfId="9590" xr:uid="{00000000-0005-0000-0000-000073250000}"/>
    <cellStyle name="Comma 2 3 2 2 2 2" xfId="9591" xr:uid="{00000000-0005-0000-0000-000074250000}"/>
    <cellStyle name="Comma 2 3 2 2 2 2 2" xfId="9592" xr:uid="{00000000-0005-0000-0000-000075250000}"/>
    <cellStyle name="Comma 2 3 2 2 2 2 2 2" xfId="9593" xr:uid="{00000000-0005-0000-0000-000076250000}"/>
    <cellStyle name="Comma 2 3 2 2 2 2 2 3" xfId="9594" xr:uid="{00000000-0005-0000-0000-000077250000}"/>
    <cellStyle name="Comma 2 3 2 2 2 2 3" xfId="9595" xr:uid="{00000000-0005-0000-0000-000078250000}"/>
    <cellStyle name="Comma 2 3 2 2 2 2 4" xfId="9596" xr:uid="{00000000-0005-0000-0000-000079250000}"/>
    <cellStyle name="Comma 2 3 2 2 2 2 5" xfId="9597" xr:uid="{00000000-0005-0000-0000-00007A250000}"/>
    <cellStyle name="Comma 2 3 2 2 2 2 6" xfId="9598" xr:uid="{00000000-0005-0000-0000-00007B250000}"/>
    <cellStyle name="Comma 2 3 2 2 2 3" xfId="9599" xr:uid="{00000000-0005-0000-0000-00007C250000}"/>
    <cellStyle name="Comma 2 3 2 2 2 3 2" xfId="9600" xr:uid="{00000000-0005-0000-0000-00007D250000}"/>
    <cellStyle name="Comma 2 3 2 2 2 3 2 2" xfId="9601" xr:uid="{00000000-0005-0000-0000-00007E250000}"/>
    <cellStyle name="Comma 2 3 2 2 2 3 3" xfId="9602" xr:uid="{00000000-0005-0000-0000-00007F250000}"/>
    <cellStyle name="Comma 2 3 2 2 2 3 4" xfId="9603" xr:uid="{00000000-0005-0000-0000-000080250000}"/>
    <cellStyle name="Comma 2 3 2 2 2 3 5" xfId="9604" xr:uid="{00000000-0005-0000-0000-000081250000}"/>
    <cellStyle name="Comma 2 3 2 2 2 4" xfId="9605" xr:uid="{00000000-0005-0000-0000-000082250000}"/>
    <cellStyle name="Comma 2 3 2 2 2 4 2" xfId="9606" xr:uid="{00000000-0005-0000-0000-000083250000}"/>
    <cellStyle name="Comma 2 3 2 2 2 4 3" xfId="9607" xr:uid="{00000000-0005-0000-0000-000084250000}"/>
    <cellStyle name="Comma 2 3 2 2 2 4 4" xfId="9608" xr:uid="{00000000-0005-0000-0000-000085250000}"/>
    <cellStyle name="Comma 2 3 2 2 2 5" xfId="9609" xr:uid="{00000000-0005-0000-0000-000086250000}"/>
    <cellStyle name="Comma 2 3 2 2 2 5 2" xfId="9610" xr:uid="{00000000-0005-0000-0000-000087250000}"/>
    <cellStyle name="Comma 2 3 2 2 2 6" xfId="9611" xr:uid="{00000000-0005-0000-0000-000088250000}"/>
    <cellStyle name="Comma 2 3 2 2 2 7" xfId="9612" xr:uid="{00000000-0005-0000-0000-000089250000}"/>
    <cellStyle name="Comma 2 3 2 2 2 8" xfId="9613" xr:uid="{00000000-0005-0000-0000-00008A250000}"/>
    <cellStyle name="Comma 2 3 2 2 2 9" xfId="9614" xr:uid="{00000000-0005-0000-0000-00008B250000}"/>
    <cellStyle name="Comma 2 3 2 2 3" xfId="9615" xr:uid="{00000000-0005-0000-0000-00008C250000}"/>
    <cellStyle name="Comma 2 3 2 2 3 2" xfId="9616" xr:uid="{00000000-0005-0000-0000-00008D250000}"/>
    <cellStyle name="Comma 2 3 2 2 3 2 2" xfId="9617" xr:uid="{00000000-0005-0000-0000-00008E250000}"/>
    <cellStyle name="Comma 2 3 2 2 3 2 2 2" xfId="9618" xr:uid="{00000000-0005-0000-0000-00008F250000}"/>
    <cellStyle name="Comma 2 3 2 2 3 2 2 3" xfId="9619" xr:uid="{00000000-0005-0000-0000-000090250000}"/>
    <cellStyle name="Comma 2 3 2 2 3 2 3" xfId="9620" xr:uid="{00000000-0005-0000-0000-000091250000}"/>
    <cellStyle name="Comma 2 3 2 2 3 2 4" xfId="9621" xr:uid="{00000000-0005-0000-0000-000092250000}"/>
    <cellStyle name="Comma 2 3 2 2 3 2 5" xfId="9622" xr:uid="{00000000-0005-0000-0000-000093250000}"/>
    <cellStyle name="Comma 2 3 2 2 3 2 6" xfId="9623" xr:uid="{00000000-0005-0000-0000-000094250000}"/>
    <cellStyle name="Comma 2 3 2 2 3 3" xfId="9624" xr:uid="{00000000-0005-0000-0000-000095250000}"/>
    <cellStyle name="Comma 2 3 2 2 3 3 2" xfId="9625" xr:uid="{00000000-0005-0000-0000-000096250000}"/>
    <cellStyle name="Comma 2 3 2 2 3 3 2 2" xfId="9626" xr:uid="{00000000-0005-0000-0000-000097250000}"/>
    <cellStyle name="Comma 2 3 2 2 3 3 3" xfId="9627" xr:uid="{00000000-0005-0000-0000-000098250000}"/>
    <cellStyle name="Comma 2 3 2 2 3 3 4" xfId="9628" xr:uid="{00000000-0005-0000-0000-000099250000}"/>
    <cellStyle name="Comma 2 3 2 2 3 3 5" xfId="9629" xr:uid="{00000000-0005-0000-0000-00009A250000}"/>
    <cellStyle name="Comma 2 3 2 2 3 4" xfId="9630" xr:uid="{00000000-0005-0000-0000-00009B250000}"/>
    <cellStyle name="Comma 2 3 2 2 3 4 2" xfId="9631" xr:uid="{00000000-0005-0000-0000-00009C250000}"/>
    <cellStyle name="Comma 2 3 2 2 3 4 3" xfId="9632" xr:uid="{00000000-0005-0000-0000-00009D250000}"/>
    <cellStyle name="Comma 2 3 2 2 3 4 4" xfId="9633" xr:uid="{00000000-0005-0000-0000-00009E250000}"/>
    <cellStyle name="Comma 2 3 2 2 3 5" xfId="9634" xr:uid="{00000000-0005-0000-0000-00009F250000}"/>
    <cellStyle name="Comma 2 3 2 2 3 5 2" xfId="9635" xr:uid="{00000000-0005-0000-0000-0000A0250000}"/>
    <cellStyle name="Comma 2 3 2 2 3 6" xfId="9636" xr:uid="{00000000-0005-0000-0000-0000A1250000}"/>
    <cellStyle name="Comma 2 3 2 2 3 7" xfId="9637" xr:uid="{00000000-0005-0000-0000-0000A2250000}"/>
    <cellStyle name="Comma 2 3 2 2 3 8" xfId="9638" xr:uid="{00000000-0005-0000-0000-0000A3250000}"/>
    <cellStyle name="Comma 2 3 2 2 3 9" xfId="9639" xr:uid="{00000000-0005-0000-0000-0000A4250000}"/>
    <cellStyle name="Comma 2 3 2 2 4" xfId="9640" xr:uid="{00000000-0005-0000-0000-0000A5250000}"/>
    <cellStyle name="Comma 2 3 2 2 4 2" xfId="9641" xr:uid="{00000000-0005-0000-0000-0000A6250000}"/>
    <cellStyle name="Comma 2 3 2 2 4 2 2" xfId="9642" xr:uid="{00000000-0005-0000-0000-0000A7250000}"/>
    <cellStyle name="Comma 2 3 2 2 4 2 3" xfId="9643" xr:uid="{00000000-0005-0000-0000-0000A8250000}"/>
    <cellStyle name="Comma 2 3 2 2 4 3" xfId="9644" xr:uid="{00000000-0005-0000-0000-0000A9250000}"/>
    <cellStyle name="Comma 2 3 2 2 4 4" xfId="9645" xr:uid="{00000000-0005-0000-0000-0000AA250000}"/>
    <cellStyle name="Comma 2 3 2 2 4 5" xfId="9646" xr:uid="{00000000-0005-0000-0000-0000AB250000}"/>
    <cellStyle name="Comma 2 3 2 2 4 6" xfId="9647" xr:uid="{00000000-0005-0000-0000-0000AC250000}"/>
    <cellStyle name="Comma 2 3 2 2 5" xfId="9648" xr:uid="{00000000-0005-0000-0000-0000AD250000}"/>
    <cellStyle name="Comma 2 3 2 2 5 2" xfId="9649" xr:uid="{00000000-0005-0000-0000-0000AE250000}"/>
    <cellStyle name="Comma 2 3 2 2 5 2 2" xfId="9650" xr:uid="{00000000-0005-0000-0000-0000AF250000}"/>
    <cellStyle name="Comma 2 3 2 2 5 3" xfId="9651" xr:uid="{00000000-0005-0000-0000-0000B0250000}"/>
    <cellStyle name="Comma 2 3 2 2 5 4" xfId="9652" xr:uid="{00000000-0005-0000-0000-0000B1250000}"/>
    <cellStyle name="Comma 2 3 2 2 5 5" xfId="9653" xr:uid="{00000000-0005-0000-0000-0000B2250000}"/>
    <cellStyle name="Comma 2 3 2 2 6" xfId="9654" xr:uid="{00000000-0005-0000-0000-0000B3250000}"/>
    <cellStyle name="Comma 2 3 2 2 6 2" xfId="9655" xr:uid="{00000000-0005-0000-0000-0000B4250000}"/>
    <cellStyle name="Comma 2 3 2 2 6 3" xfId="9656" xr:uid="{00000000-0005-0000-0000-0000B5250000}"/>
    <cellStyle name="Comma 2 3 2 2 6 4" xfId="9657" xr:uid="{00000000-0005-0000-0000-0000B6250000}"/>
    <cellStyle name="Comma 2 3 2 2 7" xfId="9658" xr:uid="{00000000-0005-0000-0000-0000B7250000}"/>
    <cellStyle name="Comma 2 3 2 2 7 2" xfId="9659" xr:uid="{00000000-0005-0000-0000-0000B8250000}"/>
    <cellStyle name="Comma 2 3 2 2 8" xfId="9660" xr:uid="{00000000-0005-0000-0000-0000B9250000}"/>
    <cellStyle name="Comma 2 3 2 2 9" xfId="9661" xr:uid="{00000000-0005-0000-0000-0000BA250000}"/>
    <cellStyle name="Comma 2 3 2 20" xfId="9662" xr:uid="{00000000-0005-0000-0000-0000BB250000}"/>
    <cellStyle name="Comma 2 3 2 21" xfId="9663" xr:uid="{00000000-0005-0000-0000-0000BC250000}"/>
    <cellStyle name="Comma 2 3 2 22" xfId="9664" xr:uid="{00000000-0005-0000-0000-0000BD250000}"/>
    <cellStyle name="Comma 2 3 2 3" xfId="9665" xr:uid="{00000000-0005-0000-0000-0000BE250000}"/>
    <cellStyle name="Comma 2 3 2 3 10" xfId="9666" xr:uid="{00000000-0005-0000-0000-0000BF250000}"/>
    <cellStyle name="Comma 2 3 2 3 11" xfId="9667" xr:uid="{00000000-0005-0000-0000-0000C0250000}"/>
    <cellStyle name="Comma 2 3 2 3 2" xfId="9668" xr:uid="{00000000-0005-0000-0000-0000C1250000}"/>
    <cellStyle name="Comma 2 3 2 3 2 2" xfId="9669" xr:uid="{00000000-0005-0000-0000-0000C2250000}"/>
    <cellStyle name="Comma 2 3 2 3 2 2 2" xfId="9670" xr:uid="{00000000-0005-0000-0000-0000C3250000}"/>
    <cellStyle name="Comma 2 3 2 3 2 2 2 2" xfId="9671" xr:uid="{00000000-0005-0000-0000-0000C4250000}"/>
    <cellStyle name="Comma 2 3 2 3 2 2 2 3" xfId="9672" xr:uid="{00000000-0005-0000-0000-0000C5250000}"/>
    <cellStyle name="Comma 2 3 2 3 2 2 3" xfId="9673" xr:uid="{00000000-0005-0000-0000-0000C6250000}"/>
    <cellStyle name="Comma 2 3 2 3 2 2 4" xfId="9674" xr:uid="{00000000-0005-0000-0000-0000C7250000}"/>
    <cellStyle name="Comma 2 3 2 3 2 2 5" xfId="9675" xr:uid="{00000000-0005-0000-0000-0000C8250000}"/>
    <cellStyle name="Comma 2 3 2 3 2 2 6" xfId="9676" xr:uid="{00000000-0005-0000-0000-0000C9250000}"/>
    <cellStyle name="Comma 2 3 2 3 2 3" xfId="9677" xr:uid="{00000000-0005-0000-0000-0000CA250000}"/>
    <cellStyle name="Comma 2 3 2 3 2 3 2" xfId="9678" xr:uid="{00000000-0005-0000-0000-0000CB250000}"/>
    <cellStyle name="Comma 2 3 2 3 2 3 2 2" xfId="9679" xr:uid="{00000000-0005-0000-0000-0000CC250000}"/>
    <cellStyle name="Comma 2 3 2 3 2 3 3" xfId="9680" xr:uid="{00000000-0005-0000-0000-0000CD250000}"/>
    <cellStyle name="Comma 2 3 2 3 2 3 4" xfId="9681" xr:uid="{00000000-0005-0000-0000-0000CE250000}"/>
    <cellStyle name="Comma 2 3 2 3 2 3 5" xfId="9682" xr:uid="{00000000-0005-0000-0000-0000CF250000}"/>
    <cellStyle name="Comma 2 3 2 3 2 4" xfId="9683" xr:uid="{00000000-0005-0000-0000-0000D0250000}"/>
    <cellStyle name="Comma 2 3 2 3 2 4 2" xfId="9684" xr:uid="{00000000-0005-0000-0000-0000D1250000}"/>
    <cellStyle name="Comma 2 3 2 3 2 4 3" xfId="9685" xr:uid="{00000000-0005-0000-0000-0000D2250000}"/>
    <cellStyle name="Comma 2 3 2 3 2 4 4" xfId="9686" xr:uid="{00000000-0005-0000-0000-0000D3250000}"/>
    <cellStyle name="Comma 2 3 2 3 2 5" xfId="9687" xr:uid="{00000000-0005-0000-0000-0000D4250000}"/>
    <cellStyle name="Comma 2 3 2 3 2 5 2" xfId="9688" xr:uid="{00000000-0005-0000-0000-0000D5250000}"/>
    <cellStyle name="Comma 2 3 2 3 2 6" xfId="9689" xr:uid="{00000000-0005-0000-0000-0000D6250000}"/>
    <cellStyle name="Comma 2 3 2 3 2 7" xfId="9690" xr:uid="{00000000-0005-0000-0000-0000D7250000}"/>
    <cellStyle name="Comma 2 3 2 3 2 8" xfId="9691" xr:uid="{00000000-0005-0000-0000-0000D8250000}"/>
    <cellStyle name="Comma 2 3 2 3 2 9" xfId="9692" xr:uid="{00000000-0005-0000-0000-0000D9250000}"/>
    <cellStyle name="Comma 2 3 2 3 3" xfId="9693" xr:uid="{00000000-0005-0000-0000-0000DA250000}"/>
    <cellStyle name="Comma 2 3 2 3 3 2" xfId="9694" xr:uid="{00000000-0005-0000-0000-0000DB250000}"/>
    <cellStyle name="Comma 2 3 2 3 3 2 2" xfId="9695" xr:uid="{00000000-0005-0000-0000-0000DC250000}"/>
    <cellStyle name="Comma 2 3 2 3 3 2 2 2" xfId="9696" xr:uid="{00000000-0005-0000-0000-0000DD250000}"/>
    <cellStyle name="Comma 2 3 2 3 3 2 2 3" xfId="9697" xr:uid="{00000000-0005-0000-0000-0000DE250000}"/>
    <cellStyle name="Comma 2 3 2 3 3 2 3" xfId="9698" xr:uid="{00000000-0005-0000-0000-0000DF250000}"/>
    <cellStyle name="Comma 2 3 2 3 3 2 4" xfId="9699" xr:uid="{00000000-0005-0000-0000-0000E0250000}"/>
    <cellStyle name="Comma 2 3 2 3 3 2 5" xfId="9700" xr:uid="{00000000-0005-0000-0000-0000E1250000}"/>
    <cellStyle name="Comma 2 3 2 3 3 2 6" xfId="9701" xr:uid="{00000000-0005-0000-0000-0000E2250000}"/>
    <cellStyle name="Comma 2 3 2 3 3 3" xfId="9702" xr:uid="{00000000-0005-0000-0000-0000E3250000}"/>
    <cellStyle name="Comma 2 3 2 3 3 3 2" xfId="9703" xr:uid="{00000000-0005-0000-0000-0000E4250000}"/>
    <cellStyle name="Comma 2 3 2 3 3 3 2 2" xfId="9704" xr:uid="{00000000-0005-0000-0000-0000E5250000}"/>
    <cellStyle name="Comma 2 3 2 3 3 3 3" xfId="9705" xr:uid="{00000000-0005-0000-0000-0000E6250000}"/>
    <cellStyle name="Comma 2 3 2 3 3 3 4" xfId="9706" xr:uid="{00000000-0005-0000-0000-0000E7250000}"/>
    <cellStyle name="Comma 2 3 2 3 3 3 5" xfId="9707" xr:uid="{00000000-0005-0000-0000-0000E8250000}"/>
    <cellStyle name="Comma 2 3 2 3 3 4" xfId="9708" xr:uid="{00000000-0005-0000-0000-0000E9250000}"/>
    <cellStyle name="Comma 2 3 2 3 3 4 2" xfId="9709" xr:uid="{00000000-0005-0000-0000-0000EA250000}"/>
    <cellStyle name="Comma 2 3 2 3 3 4 3" xfId="9710" xr:uid="{00000000-0005-0000-0000-0000EB250000}"/>
    <cellStyle name="Comma 2 3 2 3 3 4 4" xfId="9711" xr:uid="{00000000-0005-0000-0000-0000EC250000}"/>
    <cellStyle name="Comma 2 3 2 3 3 5" xfId="9712" xr:uid="{00000000-0005-0000-0000-0000ED250000}"/>
    <cellStyle name="Comma 2 3 2 3 3 5 2" xfId="9713" xr:uid="{00000000-0005-0000-0000-0000EE250000}"/>
    <cellStyle name="Comma 2 3 2 3 3 6" xfId="9714" xr:uid="{00000000-0005-0000-0000-0000EF250000}"/>
    <cellStyle name="Comma 2 3 2 3 3 7" xfId="9715" xr:uid="{00000000-0005-0000-0000-0000F0250000}"/>
    <cellStyle name="Comma 2 3 2 3 3 8" xfId="9716" xr:uid="{00000000-0005-0000-0000-0000F1250000}"/>
    <cellStyle name="Comma 2 3 2 3 3 9" xfId="9717" xr:uid="{00000000-0005-0000-0000-0000F2250000}"/>
    <cellStyle name="Comma 2 3 2 3 4" xfId="9718" xr:uid="{00000000-0005-0000-0000-0000F3250000}"/>
    <cellStyle name="Comma 2 3 2 3 4 2" xfId="9719" xr:uid="{00000000-0005-0000-0000-0000F4250000}"/>
    <cellStyle name="Comma 2 3 2 3 4 2 2" xfId="9720" xr:uid="{00000000-0005-0000-0000-0000F5250000}"/>
    <cellStyle name="Comma 2 3 2 3 4 2 3" xfId="9721" xr:uid="{00000000-0005-0000-0000-0000F6250000}"/>
    <cellStyle name="Comma 2 3 2 3 4 3" xfId="9722" xr:uid="{00000000-0005-0000-0000-0000F7250000}"/>
    <cellStyle name="Comma 2 3 2 3 4 4" xfId="9723" xr:uid="{00000000-0005-0000-0000-0000F8250000}"/>
    <cellStyle name="Comma 2 3 2 3 4 5" xfId="9724" xr:uid="{00000000-0005-0000-0000-0000F9250000}"/>
    <cellStyle name="Comma 2 3 2 3 4 6" xfId="9725" xr:uid="{00000000-0005-0000-0000-0000FA250000}"/>
    <cellStyle name="Comma 2 3 2 3 5" xfId="9726" xr:uid="{00000000-0005-0000-0000-0000FB250000}"/>
    <cellStyle name="Comma 2 3 2 3 5 2" xfId="9727" xr:uid="{00000000-0005-0000-0000-0000FC250000}"/>
    <cellStyle name="Comma 2 3 2 3 5 2 2" xfId="9728" xr:uid="{00000000-0005-0000-0000-0000FD250000}"/>
    <cellStyle name="Comma 2 3 2 3 5 3" xfId="9729" xr:uid="{00000000-0005-0000-0000-0000FE250000}"/>
    <cellStyle name="Comma 2 3 2 3 5 4" xfId="9730" xr:uid="{00000000-0005-0000-0000-0000FF250000}"/>
    <cellStyle name="Comma 2 3 2 3 5 5" xfId="9731" xr:uid="{00000000-0005-0000-0000-000000260000}"/>
    <cellStyle name="Comma 2 3 2 3 6" xfId="9732" xr:uid="{00000000-0005-0000-0000-000001260000}"/>
    <cellStyle name="Comma 2 3 2 3 6 2" xfId="9733" xr:uid="{00000000-0005-0000-0000-000002260000}"/>
    <cellStyle name="Comma 2 3 2 3 6 3" xfId="9734" xr:uid="{00000000-0005-0000-0000-000003260000}"/>
    <cellStyle name="Comma 2 3 2 3 6 4" xfId="9735" xr:uid="{00000000-0005-0000-0000-000004260000}"/>
    <cellStyle name="Comma 2 3 2 3 7" xfId="9736" xr:uid="{00000000-0005-0000-0000-000005260000}"/>
    <cellStyle name="Comma 2 3 2 3 7 2" xfId="9737" xr:uid="{00000000-0005-0000-0000-000006260000}"/>
    <cellStyle name="Comma 2 3 2 3 8" xfId="9738" xr:uid="{00000000-0005-0000-0000-000007260000}"/>
    <cellStyle name="Comma 2 3 2 3 9" xfId="9739" xr:uid="{00000000-0005-0000-0000-000008260000}"/>
    <cellStyle name="Comma 2 3 2 4" xfId="9740" xr:uid="{00000000-0005-0000-0000-000009260000}"/>
    <cellStyle name="Comma 2 3 2 4 10" xfId="9741" xr:uid="{00000000-0005-0000-0000-00000A260000}"/>
    <cellStyle name="Comma 2 3 2 4 11" xfId="9742" xr:uid="{00000000-0005-0000-0000-00000B260000}"/>
    <cellStyle name="Comma 2 3 2 4 2" xfId="9743" xr:uid="{00000000-0005-0000-0000-00000C260000}"/>
    <cellStyle name="Comma 2 3 2 4 2 2" xfId="9744" xr:uid="{00000000-0005-0000-0000-00000D260000}"/>
    <cellStyle name="Comma 2 3 2 4 2 2 2" xfId="9745" xr:uid="{00000000-0005-0000-0000-00000E260000}"/>
    <cellStyle name="Comma 2 3 2 4 2 2 2 2" xfId="9746" xr:uid="{00000000-0005-0000-0000-00000F260000}"/>
    <cellStyle name="Comma 2 3 2 4 2 2 2 3" xfId="9747" xr:uid="{00000000-0005-0000-0000-000010260000}"/>
    <cellStyle name="Comma 2 3 2 4 2 2 3" xfId="9748" xr:uid="{00000000-0005-0000-0000-000011260000}"/>
    <cellStyle name="Comma 2 3 2 4 2 2 4" xfId="9749" xr:uid="{00000000-0005-0000-0000-000012260000}"/>
    <cellStyle name="Comma 2 3 2 4 2 2 5" xfId="9750" xr:uid="{00000000-0005-0000-0000-000013260000}"/>
    <cellStyle name="Comma 2 3 2 4 2 2 6" xfId="9751" xr:uid="{00000000-0005-0000-0000-000014260000}"/>
    <cellStyle name="Comma 2 3 2 4 2 3" xfId="9752" xr:uid="{00000000-0005-0000-0000-000015260000}"/>
    <cellStyle name="Comma 2 3 2 4 2 3 2" xfId="9753" xr:uid="{00000000-0005-0000-0000-000016260000}"/>
    <cellStyle name="Comma 2 3 2 4 2 3 2 2" xfId="9754" xr:uid="{00000000-0005-0000-0000-000017260000}"/>
    <cellStyle name="Comma 2 3 2 4 2 3 3" xfId="9755" xr:uid="{00000000-0005-0000-0000-000018260000}"/>
    <cellStyle name="Comma 2 3 2 4 2 3 4" xfId="9756" xr:uid="{00000000-0005-0000-0000-000019260000}"/>
    <cellStyle name="Comma 2 3 2 4 2 3 5" xfId="9757" xr:uid="{00000000-0005-0000-0000-00001A260000}"/>
    <cellStyle name="Comma 2 3 2 4 2 4" xfId="9758" xr:uid="{00000000-0005-0000-0000-00001B260000}"/>
    <cellStyle name="Comma 2 3 2 4 2 4 2" xfId="9759" xr:uid="{00000000-0005-0000-0000-00001C260000}"/>
    <cellStyle name="Comma 2 3 2 4 2 4 3" xfId="9760" xr:uid="{00000000-0005-0000-0000-00001D260000}"/>
    <cellStyle name="Comma 2 3 2 4 2 4 4" xfId="9761" xr:uid="{00000000-0005-0000-0000-00001E260000}"/>
    <cellStyle name="Comma 2 3 2 4 2 5" xfId="9762" xr:uid="{00000000-0005-0000-0000-00001F260000}"/>
    <cellStyle name="Comma 2 3 2 4 2 5 2" xfId="9763" xr:uid="{00000000-0005-0000-0000-000020260000}"/>
    <cellStyle name="Comma 2 3 2 4 2 6" xfId="9764" xr:uid="{00000000-0005-0000-0000-000021260000}"/>
    <cellStyle name="Comma 2 3 2 4 2 7" xfId="9765" xr:uid="{00000000-0005-0000-0000-000022260000}"/>
    <cellStyle name="Comma 2 3 2 4 2 8" xfId="9766" xr:uid="{00000000-0005-0000-0000-000023260000}"/>
    <cellStyle name="Comma 2 3 2 4 2 9" xfId="9767" xr:uid="{00000000-0005-0000-0000-000024260000}"/>
    <cellStyle name="Comma 2 3 2 4 3" xfId="9768" xr:uid="{00000000-0005-0000-0000-000025260000}"/>
    <cellStyle name="Comma 2 3 2 4 3 2" xfId="9769" xr:uid="{00000000-0005-0000-0000-000026260000}"/>
    <cellStyle name="Comma 2 3 2 4 3 2 2" xfId="9770" xr:uid="{00000000-0005-0000-0000-000027260000}"/>
    <cellStyle name="Comma 2 3 2 4 3 2 2 2" xfId="9771" xr:uid="{00000000-0005-0000-0000-000028260000}"/>
    <cellStyle name="Comma 2 3 2 4 3 2 2 3" xfId="9772" xr:uid="{00000000-0005-0000-0000-000029260000}"/>
    <cellStyle name="Comma 2 3 2 4 3 2 3" xfId="9773" xr:uid="{00000000-0005-0000-0000-00002A260000}"/>
    <cellStyle name="Comma 2 3 2 4 3 2 4" xfId="9774" xr:uid="{00000000-0005-0000-0000-00002B260000}"/>
    <cellStyle name="Comma 2 3 2 4 3 2 5" xfId="9775" xr:uid="{00000000-0005-0000-0000-00002C260000}"/>
    <cellStyle name="Comma 2 3 2 4 3 2 6" xfId="9776" xr:uid="{00000000-0005-0000-0000-00002D260000}"/>
    <cellStyle name="Comma 2 3 2 4 3 3" xfId="9777" xr:uid="{00000000-0005-0000-0000-00002E260000}"/>
    <cellStyle name="Comma 2 3 2 4 3 3 2" xfId="9778" xr:uid="{00000000-0005-0000-0000-00002F260000}"/>
    <cellStyle name="Comma 2 3 2 4 3 3 2 2" xfId="9779" xr:uid="{00000000-0005-0000-0000-000030260000}"/>
    <cellStyle name="Comma 2 3 2 4 3 3 3" xfId="9780" xr:uid="{00000000-0005-0000-0000-000031260000}"/>
    <cellStyle name="Comma 2 3 2 4 3 3 4" xfId="9781" xr:uid="{00000000-0005-0000-0000-000032260000}"/>
    <cellStyle name="Comma 2 3 2 4 3 3 5" xfId="9782" xr:uid="{00000000-0005-0000-0000-000033260000}"/>
    <cellStyle name="Comma 2 3 2 4 3 4" xfId="9783" xr:uid="{00000000-0005-0000-0000-000034260000}"/>
    <cellStyle name="Comma 2 3 2 4 3 4 2" xfId="9784" xr:uid="{00000000-0005-0000-0000-000035260000}"/>
    <cellStyle name="Comma 2 3 2 4 3 4 3" xfId="9785" xr:uid="{00000000-0005-0000-0000-000036260000}"/>
    <cellStyle name="Comma 2 3 2 4 3 4 4" xfId="9786" xr:uid="{00000000-0005-0000-0000-000037260000}"/>
    <cellStyle name="Comma 2 3 2 4 3 5" xfId="9787" xr:uid="{00000000-0005-0000-0000-000038260000}"/>
    <cellStyle name="Comma 2 3 2 4 3 5 2" xfId="9788" xr:uid="{00000000-0005-0000-0000-000039260000}"/>
    <cellStyle name="Comma 2 3 2 4 3 6" xfId="9789" xr:uid="{00000000-0005-0000-0000-00003A260000}"/>
    <cellStyle name="Comma 2 3 2 4 3 7" xfId="9790" xr:uid="{00000000-0005-0000-0000-00003B260000}"/>
    <cellStyle name="Comma 2 3 2 4 3 8" xfId="9791" xr:uid="{00000000-0005-0000-0000-00003C260000}"/>
    <cellStyle name="Comma 2 3 2 4 3 9" xfId="9792" xr:uid="{00000000-0005-0000-0000-00003D260000}"/>
    <cellStyle name="Comma 2 3 2 4 4" xfId="9793" xr:uid="{00000000-0005-0000-0000-00003E260000}"/>
    <cellStyle name="Comma 2 3 2 4 4 2" xfId="9794" xr:uid="{00000000-0005-0000-0000-00003F260000}"/>
    <cellStyle name="Comma 2 3 2 4 4 2 2" xfId="9795" xr:uid="{00000000-0005-0000-0000-000040260000}"/>
    <cellStyle name="Comma 2 3 2 4 4 2 3" xfId="9796" xr:uid="{00000000-0005-0000-0000-000041260000}"/>
    <cellStyle name="Comma 2 3 2 4 4 3" xfId="9797" xr:uid="{00000000-0005-0000-0000-000042260000}"/>
    <cellStyle name="Comma 2 3 2 4 4 4" xfId="9798" xr:uid="{00000000-0005-0000-0000-000043260000}"/>
    <cellStyle name="Comma 2 3 2 4 4 5" xfId="9799" xr:uid="{00000000-0005-0000-0000-000044260000}"/>
    <cellStyle name="Comma 2 3 2 4 4 6" xfId="9800" xr:uid="{00000000-0005-0000-0000-000045260000}"/>
    <cellStyle name="Comma 2 3 2 4 5" xfId="9801" xr:uid="{00000000-0005-0000-0000-000046260000}"/>
    <cellStyle name="Comma 2 3 2 4 5 2" xfId="9802" xr:uid="{00000000-0005-0000-0000-000047260000}"/>
    <cellStyle name="Comma 2 3 2 4 5 2 2" xfId="9803" xr:uid="{00000000-0005-0000-0000-000048260000}"/>
    <cellStyle name="Comma 2 3 2 4 5 3" xfId="9804" xr:uid="{00000000-0005-0000-0000-000049260000}"/>
    <cellStyle name="Comma 2 3 2 4 5 4" xfId="9805" xr:uid="{00000000-0005-0000-0000-00004A260000}"/>
    <cellStyle name="Comma 2 3 2 4 5 5" xfId="9806" xr:uid="{00000000-0005-0000-0000-00004B260000}"/>
    <cellStyle name="Comma 2 3 2 4 6" xfId="9807" xr:uid="{00000000-0005-0000-0000-00004C260000}"/>
    <cellStyle name="Comma 2 3 2 4 6 2" xfId="9808" xr:uid="{00000000-0005-0000-0000-00004D260000}"/>
    <cellStyle name="Comma 2 3 2 4 6 3" xfId="9809" xr:uid="{00000000-0005-0000-0000-00004E260000}"/>
    <cellStyle name="Comma 2 3 2 4 6 4" xfId="9810" xr:uid="{00000000-0005-0000-0000-00004F260000}"/>
    <cellStyle name="Comma 2 3 2 4 7" xfId="9811" xr:uid="{00000000-0005-0000-0000-000050260000}"/>
    <cellStyle name="Comma 2 3 2 4 7 2" xfId="9812" xr:uid="{00000000-0005-0000-0000-000051260000}"/>
    <cellStyle name="Comma 2 3 2 4 8" xfId="9813" xr:uid="{00000000-0005-0000-0000-000052260000}"/>
    <cellStyle name="Comma 2 3 2 4 9" xfId="9814" xr:uid="{00000000-0005-0000-0000-000053260000}"/>
    <cellStyle name="Comma 2 3 2 5" xfId="9815" xr:uid="{00000000-0005-0000-0000-000054260000}"/>
    <cellStyle name="Comma 2 3 2 5 10" xfId="9816" xr:uid="{00000000-0005-0000-0000-000055260000}"/>
    <cellStyle name="Comma 2 3 2 5 11" xfId="9817" xr:uid="{00000000-0005-0000-0000-000056260000}"/>
    <cellStyle name="Comma 2 3 2 5 2" xfId="9818" xr:uid="{00000000-0005-0000-0000-000057260000}"/>
    <cellStyle name="Comma 2 3 2 5 2 2" xfId="9819" xr:uid="{00000000-0005-0000-0000-000058260000}"/>
    <cellStyle name="Comma 2 3 2 5 2 2 2" xfId="9820" xr:uid="{00000000-0005-0000-0000-000059260000}"/>
    <cellStyle name="Comma 2 3 2 5 2 2 2 2" xfId="9821" xr:uid="{00000000-0005-0000-0000-00005A260000}"/>
    <cellStyle name="Comma 2 3 2 5 2 2 2 3" xfId="9822" xr:uid="{00000000-0005-0000-0000-00005B260000}"/>
    <cellStyle name="Comma 2 3 2 5 2 2 3" xfId="9823" xr:uid="{00000000-0005-0000-0000-00005C260000}"/>
    <cellStyle name="Comma 2 3 2 5 2 2 4" xfId="9824" xr:uid="{00000000-0005-0000-0000-00005D260000}"/>
    <cellStyle name="Comma 2 3 2 5 2 2 5" xfId="9825" xr:uid="{00000000-0005-0000-0000-00005E260000}"/>
    <cellStyle name="Comma 2 3 2 5 2 2 6" xfId="9826" xr:uid="{00000000-0005-0000-0000-00005F260000}"/>
    <cellStyle name="Comma 2 3 2 5 2 3" xfId="9827" xr:uid="{00000000-0005-0000-0000-000060260000}"/>
    <cellStyle name="Comma 2 3 2 5 2 3 2" xfId="9828" xr:uid="{00000000-0005-0000-0000-000061260000}"/>
    <cellStyle name="Comma 2 3 2 5 2 3 2 2" xfId="9829" xr:uid="{00000000-0005-0000-0000-000062260000}"/>
    <cellStyle name="Comma 2 3 2 5 2 3 3" xfId="9830" xr:uid="{00000000-0005-0000-0000-000063260000}"/>
    <cellStyle name="Comma 2 3 2 5 2 3 4" xfId="9831" xr:uid="{00000000-0005-0000-0000-000064260000}"/>
    <cellStyle name="Comma 2 3 2 5 2 3 5" xfId="9832" xr:uid="{00000000-0005-0000-0000-000065260000}"/>
    <cellStyle name="Comma 2 3 2 5 2 4" xfId="9833" xr:uid="{00000000-0005-0000-0000-000066260000}"/>
    <cellStyle name="Comma 2 3 2 5 2 4 2" xfId="9834" xr:uid="{00000000-0005-0000-0000-000067260000}"/>
    <cellStyle name="Comma 2 3 2 5 2 4 3" xfId="9835" xr:uid="{00000000-0005-0000-0000-000068260000}"/>
    <cellStyle name="Comma 2 3 2 5 2 4 4" xfId="9836" xr:uid="{00000000-0005-0000-0000-000069260000}"/>
    <cellStyle name="Comma 2 3 2 5 2 5" xfId="9837" xr:uid="{00000000-0005-0000-0000-00006A260000}"/>
    <cellStyle name="Comma 2 3 2 5 2 5 2" xfId="9838" xr:uid="{00000000-0005-0000-0000-00006B260000}"/>
    <cellStyle name="Comma 2 3 2 5 2 6" xfId="9839" xr:uid="{00000000-0005-0000-0000-00006C260000}"/>
    <cellStyle name="Comma 2 3 2 5 2 7" xfId="9840" xr:uid="{00000000-0005-0000-0000-00006D260000}"/>
    <cellStyle name="Comma 2 3 2 5 2 8" xfId="9841" xr:uid="{00000000-0005-0000-0000-00006E260000}"/>
    <cellStyle name="Comma 2 3 2 5 2 9" xfId="9842" xr:uid="{00000000-0005-0000-0000-00006F260000}"/>
    <cellStyle name="Comma 2 3 2 5 3" xfId="9843" xr:uid="{00000000-0005-0000-0000-000070260000}"/>
    <cellStyle name="Comma 2 3 2 5 3 2" xfId="9844" xr:uid="{00000000-0005-0000-0000-000071260000}"/>
    <cellStyle name="Comma 2 3 2 5 3 2 2" xfId="9845" xr:uid="{00000000-0005-0000-0000-000072260000}"/>
    <cellStyle name="Comma 2 3 2 5 3 2 2 2" xfId="9846" xr:uid="{00000000-0005-0000-0000-000073260000}"/>
    <cellStyle name="Comma 2 3 2 5 3 2 2 3" xfId="9847" xr:uid="{00000000-0005-0000-0000-000074260000}"/>
    <cellStyle name="Comma 2 3 2 5 3 2 3" xfId="9848" xr:uid="{00000000-0005-0000-0000-000075260000}"/>
    <cellStyle name="Comma 2 3 2 5 3 2 4" xfId="9849" xr:uid="{00000000-0005-0000-0000-000076260000}"/>
    <cellStyle name="Comma 2 3 2 5 3 2 5" xfId="9850" xr:uid="{00000000-0005-0000-0000-000077260000}"/>
    <cellStyle name="Comma 2 3 2 5 3 2 6" xfId="9851" xr:uid="{00000000-0005-0000-0000-000078260000}"/>
    <cellStyle name="Comma 2 3 2 5 3 3" xfId="9852" xr:uid="{00000000-0005-0000-0000-000079260000}"/>
    <cellStyle name="Comma 2 3 2 5 3 3 2" xfId="9853" xr:uid="{00000000-0005-0000-0000-00007A260000}"/>
    <cellStyle name="Comma 2 3 2 5 3 3 2 2" xfId="9854" xr:uid="{00000000-0005-0000-0000-00007B260000}"/>
    <cellStyle name="Comma 2 3 2 5 3 3 3" xfId="9855" xr:uid="{00000000-0005-0000-0000-00007C260000}"/>
    <cellStyle name="Comma 2 3 2 5 3 3 4" xfId="9856" xr:uid="{00000000-0005-0000-0000-00007D260000}"/>
    <cellStyle name="Comma 2 3 2 5 3 3 5" xfId="9857" xr:uid="{00000000-0005-0000-0000-00007E260000}"/>
    <cellStyle name="Comma 2 3 2 5 3 4" xfId="9858" xr:uid="{00000000-0005-0000-0000-00007F260000}"/>
    <cellStyle name="Comma 2 3 2 5 3 4 2" xfId="9859" xr:uid="{00000000-0005-0000-0000-000080260000}"/>
    <cellStyle name="Comma 2 3 2 5 3 4 3" xfId="9860" xr:uid="{00000000-0005-0000-0000-000081260000}"/>
    <cellStyle name="Comma 2 3 2 5 3 4 4" xfId="9861" xr:uid="{00000000-0005-0000-0000-000082260000}"/>
    <cellStyle name="Comma 2 3 2 5 3 5" xfId="9862" xr:uid="{00000000-0005-0000-0000-000083260000}"/>
    <cellStyle name="Comma 2 3 2 5 3 5 2" xfId="9863" xr:uid="{00000000-0005-0000-0000-000084260000}"/>
    <cellStyle name="Comma 2 3 2 5 3 6" xfId="9864" xr:uid="{00000000-0005-0000-0000-000085260000}"/>
    <cellStyle name="Comma 2 3 2 5 3 7" xfId="9865" xr:uid="{00000000-0005-0000-0000-000086260000}"/>
    <cellStyle name="Comma 2 3 2 5 3 8" xfId="9866" xr:uid="{00000000-0005-0000-0000-000087260000}"/>
    <cellStyle name="Comma 2 3 2 5 3 9" xfId="9867" xr:uid="{00000000-0005-0000-0000-000088260000}"/>
    <cellStyle name="Comma 2 3 2 5 4" xfId="9868" xr:uid="{00000000-0005-0000-0000-000089260000}"/>
    <cellStyle name="Comma 2 3 2 5 4 2" xfId="9869" xr:uid="{00000000-0005-0000-0000-00008A260000}"/>
    <cellStyle name="Comma 2 3 2 5 4 2 2" xfId="9870" xr:uid="{00000000-0005-0000-0000-00008B260000}"/>
    <cellStyle name="Comma 2 3 2 5 4 2 3" xfId="9871" xr:uid="{00000000-0005-0000-0000-00008C260000}"/>
    <cellStyle name="Comma 2 3 2 5 4 3" xfId="9872" xr:uid="{00000000-0005-0000-0000-00008D260000}"/>
    <cellStyle name="Comma 2 3 2 5 4 4" xfId="9873" xr:uid="{00000000-0005-0000-0000-00008E260000}"/>
    <cellStyle name="Comma 2 3 2 5 4 5" xfId="9874" xr:uid="{00000000-0005-0000-0000-00008F260000}"/>
    <cellStyle name="Comma 2 3 2 5 4 6" xfId="9875" xr:uid="{00000000-0005-0000-0000-000090260000}"/>
    <cellStyle name="Comma 2 3 2 5 5" xfId="9876" xr:uid="{00000000-0005-0000-0000-000091260000}"/>
    <cellStyle name="Comma 2 3 2 5 5 2" xfId="9877" xr:uid="{00000000-0005-0000-0000-000092260000}"/>
    <cellStyle name="Comma 2 3 2 5 5 2 2" xfId="9878" xr:uid="{00000000-0005-0000-0000-000093260000}"/>
    <cellStyle name="Comma 2 3 2 5 5 3" xfId="9879" xr:uid="{00000000-0005-0000-0000-000094260000}"/>
    <cellStyle name="Comma 2 3 2 5 5 4" xfId="9880" xr:uid="{00000000-0005-0000-0000-000095260000}"/>
    <cellStyle name="Comma 2 3 2 5 5 5" xfId="9881" xr:uid="{00000000-0005-0000-0000-000096260000}"/>
    <cellStyle name="Comma 2 3 2 5 6" xfId="9882" xr:uid="{00000000-0005-0000-0000-000097260000}"/>
    <cellStyle name="Comma 2 3 2 5 6 2" xfId="9883" xr:uid="{00000000-0005-0000-0000-000098260000}"/>
    <cellStyle name="Comma 2 3 2 5 6 3" xfId="9884" xr:uid="{00000000-0005-0000-0000-000099260000}"/>
    <cellStyle name="Comma 2 3 2 5 6 4" xfId="9885" xr:uid="{00000000-0005-0000-0000-00009A260000}"/>
    <cellStyle name="Comma 2 3 2 5 7" xfId="9886" xr:uid="{00000000-0005-0000-0000-00009B260000}"/>
    <cellStyle name="Comma 2 3 2 5 7 2" xfId="9887" xr:uid="{00000000-0005-0000-0000-00009C260000}"/>
    <cellStyle name="Comma 2 3 2 5 8" xfId="9888" xr:uid="{00000000-0005-0000-0000-00009D260000}"/>
    <cellStyle name="Comma 2 3 2 5 9" xfId="9889" xr:uid="{00000000-0005-0000-0000-00009E260000}"/>
    <cellStyle name="Comma 2 3 2 6" xfId="9890" xr:uid="{00000000-0005-0000-0000-00009F260000}"/>
    <cellStyle name="Comma 2 3 2 6 10" xfId="9891" xr:uid="{00000000-0005-0000-0000-0000A0260000}"/>
    <cellStyle name="Comma 2 3 2 6 11" xfId="9892" xr:uid="{00000000-0005-0000-0000-0000A1260000}"/>
    <cellStyle name="Comma 2 3 2 6 2" xfId="9893" xr:uid="{00000000-0005-0000-0000-0000A2260000}"/>
    <cellStyle name="Comma 2 3 2 6 2 2" xfId="9894" xr:uid="{00000000-0005-0000-0000-0000A3260000}"/>
    <cellStyle name="Comma 2 3 2 6 2 2 2" xfId="9895" xr:uid="{00000000-0005-0000-0000-0000A4260000}"/>
    <cellStyle name="Comma 2 3 2 6 2 2 2 2" xfId="9896" xr:uid="{00000000-0005-0000-0000-0000A5260000}"/>
    <cellStyle name="Comma 2 3 2 6 2 2 2 3" xfId="9897" xr:uid="{00000000-0005-0000-0000-0000A6260000}"/>
    <cellStyle name="Comma 2 3 2 6 2 2 3" xfId="9898" xr:uid="{00000000-0005-0000-0000-0000A7260000}"/>
    <cellStyle name="Comma 2 3 2 6 2 2 4" xfId="9899" xr:uid="{00000000-0005-0000-0000-0000A8260000}"/>
    <cellStyle name="Comma 2 3 2 6 2 2 5" xfId="9900" xr:uid="{00000000-0005-0000-0000-0000A9260000}"/>
    <cellStyle name="Comma 2 3 2 6 2 2 6" xfId="9901" xr:uid="{00000000-0005-0000-0000-0000AA260000}"/>
    <cellStyle name="Comma 2 3 2 6 2 3" xfId="9902" xr:uid="{00000000-0005-0000-0000-0000AB260000}"/>
    <cellStyle name="Comma 2 3 2 6 2 3 2" xfId="9903" xr:uid="{00000000-0005-0000-0000-0000AC260000}"/>
    <cellStyle name="Comma 2 3 2 6 2 3 2 2" xfId="9904" xr:uid="{00000000-0005-0000-0000-0000AD260000}"/>
    <cellStyle name="Comma 2 3 2 6 2 3 3" xfId="9905" xr:uid="{00000000-0005-0000-0000-0000AE260000}"/>
    <cellStyle name="Comma 2 3 2 6 2 3 4" xfId="9906" xr:uid="{00000000-0005-0000-0000-0000AF260000}"/>
    <cellStyle name="Comma 2 3 2 6 2 3 5" xfId="9907" xr:uid="{00000000-0005-0000-0000-0000B0260000}"/>
    <cellStyle name="Comma 2 3 2 6 2 4" xfId="9908" xr:uid="{00000000-0005-0000-0000-0000B1260000}"/>
    <cellStyle name="Comma 2 3 2 6 2 4 2" xfId="9909" xr:uid="{00000000-0005-0000-0000-0000B2260000}"/>
    <cellStyle name="Comma 2 3 2 6 2 4 3" xfId="9910" xr:uid="{00000000-0005-0000-0000-0000B3260000}"/>
    <cellStyle name="Comma 2 3 2 6 2 4 4" xfId="9911" xr:uid="{00000000-0005-0000-0000-0000B4260000}"/>
    <cellStyle name="Comma 2 3 2 6 2 5" xfId="9912" xr:uid="{00000000-0005-0000-0000-0000B5260000}"/>
    <cellStyle name="Comma 2 3 2 6 2 5 2" xfId="9913" xr:uid="{00000000-0005-0000-0000-0000B6260000}"/>
    <cellStyle name="Comma 2 3 2 6 2 6" xfId="9914" xr:uid="{00000000-0005-0000-0000-0000B7260000}"/>
    <cellStyle name="Comma 2 3 2 6 2 7" xfId="9915" xr:uid="{00000000-0005-0000-0000-0000B8260000}"/>
    <cellStyle name="Comma 2 3 2 6 2 8" xfId="9916" xr:uid="{00000000-0005-0000-0000-0000B9260000}"/>
    <cellStyle name="Comma 2 3 2 6 2 9" xfId="9917" xr:uid="{00000000-0005-0000-0000-0000BA260000}"/>
    <cellStyle name="Comma 2 3 2 6 3" xfId="9918" xr:uid="{00000000-0005-0000-0000-0000BB260000}"/>
    <cellStyle name="Comma 2 3 2 6 3 2" xfId="9919" xr:uid="{00000000-0005-0000-0000-0000BC260000}"/>
    <cellStyle name="Comma 2 3 2 6 3 2 2" xfId="9920" xr:uid="{00000000-0005-0000-0000-0000BD260000}"/>
    <cellStyle name="Comma 2 3 2 6 3 2 2 2" xfId="9921" xr:uid="{00000000-0005-0000-0000-0000BE260000}"/>
    <cellStyle name="Comma 2 3 2 6 3 2 2 3" xfId="9922" xr:uid="{00000000-0005-0000-0000-0000BF260000}"/>
    <cellStyle name="Comma 2 3 2 6 3 2 3" xfId="9923" xr:uid="{00000000-0005-0000-0000-0000C0260000}"/>
    <cellStyle name="Comma 2 3 2 6 3 2 4" xfId="9924" xr:uid="{00000000-0005-0000-0000-0000C1260000}"/>
    <cellStyle name="Comma 2 3 2 6 3 2 5" xfId="9925" xr:uid="{00000000-0005-0000-0000-0000C2260000}"/>
    <cellStyle name="Comma 2 3 2 6 3 2 6" xfId="9926" xr:uid="{00000000-0005-0000-0000-0000C3260000}"/>
    <cellStyle name="Comma 2 3 2 6 3 3" xfId="9927" xr:uid="{00000000-0005-0000-0000-0000C4260000}"/>
    <cellStyle name="Comma 2 3 2 6 3 3 2" xfId="9928" xr:uid="{00000000-0005-0000-0000-0000C5260000}"/>
    <cellStyle name="Comma 2 3 2 6 3 3 2 2" xfId="9929" xr:uid="{00000000-0005-0000-0000-0000C6260000}"/>
    <cellStyle name="Comma 2 3 2 6 3 3 3" xfId="9930" xr:uid="{00000000-0005-0000-0000-0000C7260000}"/>
    <cellStyle name="Comma 2 3 2 6 3 3 4" xfId="9931" xr:uid="{00000000-0005-0000-0000-0000C8260000}"/>
    <cellStyle name="Comma 2 3 2 6 3 3 5" xfId="9932" xr:uid="{00000000-0005-0000-0000-0000C9260000}"/>
    <cellStyle name="Comma 2 3 2 6 3 4" xfId="9933" xr:uid="{00000000-0005-0000-0000-0000CA260000}"/>
    <cellStyle name="Comma 2 3 2 6 3 4 2" xfId="9934" xr:uid="{00000000-0005-0000-0000-0000CB260000}"/>
    <cellStyle name="Comma 2 3 2 6 3 4 3" xfId="9935" xr:uid="{00000000-0005-0000-0000-0000CC260000}"/>
    <cellStyle name="Comma 2 3 2 6 3 4 4" xfId="9936" xr:uid="{00000000-0005-0000-0000-0000CD260000}"/>
    <cellStyle name="Comma 2 3 2 6 3 5" xfId="9937" xr:uid="{00000000-0005-0000-0000-0000CE260000}"/>
    <cellStyle name="Comma 2 3 2 6 3 5 2" xfId="9938" xr:uid="{00000000-0005-0000-0000-0000CF260000}"/>
    <cellStyle name="Comma 2 3 2 6 3 6" xfId="9939" xr:uid="{00000000-0005-0000-0000-0000D0260000}"/>
    <cellStyle name="Comma 2 3 2 6 3 7" xfId="9940" xr:uid="{00000000-0005-0000-0000-0000D1260000}"/>
    <cellStyle name="Comma 2 3 2 6 3 8" xfId="9941" xr:uid="{00000000-0005-0000-0000-0000D2260000}"/>
    <cellStyle name="Comma 2 3 2 6 3 9" xfId="9942" xr:uid="{00000000-0005-0000-0000-0000D3260000}"/>
    <cellStyle name="Comma 2 3 2 6 4" xfId="9943" xr:uid="{00000000-0005-0000-0000-0000D4260000}"/>
    <cellStyle name="Comma 2 3 2 6 4 2" xfId="9944" xr:uid="{00000000-0005-0000-0000-0000D5260000}"/>
    <cellStyle name="Comma 2 3 2 6 4 2 2" xfId="9945" xr:uid="{00000000-0005-0000-0000-0000D6260000}"/>
    <cellStyle name="Comma 2 3 2 6 4 2 3" xfId="9946" xr:uid="{00000000-0005-0000-0000-0000D7260000}"/>
    <cellStyle name="Comma 2 3 2 6 4 3" xfId="9947" xr:uid="{00000000-0005-0000-0000-0000D8260000}"/>
    <cellStyle name="Comma 2 3 2 6 4 4" xfId="9948" xr:uid="{00000000-0005-0000-0000-0000D9260000}"/>
    <cellStyle name="Comma 2 3 2 6 4 5" xfId="9949" xr:uid="{00000000-0005-0000-0000-0000DA260000}"/>
    <cellStyle name="Comma 2 3 2 6 4 6" xfId="9950" xr:uid="{00000000-0005-0000-0000-0000DB260000}"/>
    <cellStyle name="Comma 2 3 2 6 5" xfId="9951" xr:uid="{00000000-0005-0000-0000-0000DC260000}"/>
    <cellStyle name="Comma 2 3 2 6 5 2" xfId="9952" xr:uid="{00000000-0005-0000-0000-0000DD260000}"/>
    <cellStyle name="Comma 2 3 2 6 5 2 2" xfId="9953" xr:uid="{00000000-0005-0000-0000-0000DE260000}"/>
    <cellStyle name="Comma 2 3 2 6 5 3" xfId="9954" xr:uid="{00000000-0005-0000-0000-0000DF260000}"/>
    <cellStyle name="Comma 2 3 2 6 5 4" xfId="9955" xr:uid="{00000000-0005-0000-0000-0000E0260000}"/>
    <cellStyle name="Comma 2 3 2 6 5 5" xfId="9956" xr:uid="{00000000-0005-0000-0000-0000E1260000}"/>
    <cellStyle name="Comma 2 3 2 6 6" xfId="9957" xr:uid="{00000000-0005-0000-0000-0000E2260000}"/>
    <cellStyle name="Comma 2 3 2 6 6 2" xfId="9958" xr:uid="{00000000-0005-0000-0000-0000E3260000}"/>
    <cellStyle name="Comma 2 3 2 6 6 3" xfId="9959" xr:uid="{00000000-0005-0000-0000-0000E4260000}"/>
    <cellStyle name="Comma 2 3 2 6 6 4" xfId="9960" xr:uid="{00000000-0005-0000-0000-0000E5260000}"/>
    <cellStyle name="Comma 2 3 2 6 7" xfId="9961" xr:uid="{00000000-0005-0000-0000-0000E6260000}"/>
    <cellStyle name="Comma 2 3 2 6 7 2" xfId="9962" xr:uid="{00000000-0005-0000-0000-0000E7260000}"/>
    <cellStyle name="Comma 2 3 2 6 8" xfId="9963" xr:uid="{00000000-0005-0000-0000-0000E8260000}"/>
    <cellStyle name="Comma 2 3 2 6 9" xfId="9964" xr:uid="{00000000-0005-0000-0000-0000E9260000}"/>
    <cellStyle name="Comma 2 3 2 7" xfId="9965" xr:uid="{00000000-0005-0000-0000-0000EA260000}"/>
    <cellStyle name="Comma 2 3 2 7 10" xfId="9966" xr:uid="{00000000-0005-0000-0000-0000EB260000}"/>
    <cellStyle name="Comma 2 3 2 7 11" xfId="9967" xr:uid="{00000000-0005-0000-0000-0000EC260000}"/>
    <cellStyle name="Comma 2 3 2 7 2" xfId="9968" xr:uid="{00000000-0005-0000-0000-0000ED260000}"/>
    <cellStyle name="Comma 2 3 2 7 2 2" xfId="9969" xr:uid="{00000000-0005-0000-0000-0000EE260000}"/>
    <cellStyle name="Comma 2 3 2 7 2 2 2" xfId="9970" xr:uid="{00000000-0005-0000-0000-0000EF260000}"/>
    <cellStyle name="Comma 2 3 2 7 2 2 2 2" xfId="9971" xr:uid="{00000000-0005-0000-0000-0000F0260000}"/>
    <cellStyle name="Comma 2 3 2 7 2 2 2 3" xfId="9972" xr:uid="{00000000-0005-0000-0000-0000F1260000}"/>
    <cellStyle name="Comma 2 3 2 7 2 2 3" xfId="9973" xr:uid="{00000000-0005-0000-0000-0000F2260000}"/>
    <cellStyle name="Comma 2 3 2 7 2 2 4" xfId="9974" xr:uid="{00000000-0005-0000-0000-0000F3260000}"/>
    <cellStyle name="Comma 2 3 2 7 2 2 5" xfId="9975" xr:uid="{00000000-0005-0000-0000-0000F4260000}"/>
    <cellStyle name="Comma 2 3 2 7 2 2 6" xfId="9976" xr:uid="{00000000-0005-0000-0000-0000F5260000}"/>
    <cellStyle name="Comma 2 3 2 7 2 3" xfId="9977" xr:uid="{00000000-0005-0000-0000-0000F6260000}"/>
    <cellStyle name="Comma 2 3 2 7 2 3 2" xfId="9978" xr:uid="{00000000-0005-0000-0000-0000F7260000}"/>
    <cellStyle name="Comma 2 3 2 7 2 3 2 2" xfId="9979" xr:uid="{00000000-0005-0000-0000-0000F8260000}"/>
    <cellStyle name="Comma 2 3 2 7 2 3 3" xfId="9980" xr:uid="{00000000-0005-0000-0000-0000F9260000}"/>
    <cellStyle name="Comma 2 3 2 7 2 3 4" xfId="9981" xr:uid="{00000000-0005-0000-0000-0000FA260000}"/>
    <cellStyle name="Comma 2 3 2 7 2 3 5" xfId="9982" xr:uid="{00000000-0005-0000-0000-0000FB260000}"/>
    <cellStyle name="Comma 2 3 2 7 2 4" xfId="9983" xr:uid="{00000000-0005-0000-0000-0000FC260000}"/>
    <cellStyle name="Comma 2 3 2 7 2 4 2" xfId="9984" xr:uid="{00000000-0005-0000-0000-0000FD260000}"/>
    <cellStyle name="Comma 2 3 2 7 2 4 3" xfId="9985" xr:uid="{00000000-0005-0000-0000-0000FE260000}"/>
    <cellStyle name="Comma 2 3 2 7 2 4 4" xfId="9986" xr:uid="{00000000-0005-0000-0000-0000FF260000}"/>
    <cellStyle name="Comma 2 3 2 7 2 5" xfId="9987" xr:uid="{00000000-0005-0000-0000-000000270000}"/>
    <cellStyle name="Comma 2 3 2 7 2 5 2" xfId="9988" xr:uid="{00000000-0005-0000-0000-000001270000}"/>
    <cellStyle name="Comma 2 3 2 7 2 6" xfId="9989" xr:uid="{00000000-0005-0000-0000-000002270000}"/>
    <cellStyle name="Comma 2 3 2 7 2 7" xfId="9990" xr:uid="{00000000-0005-0000-0000-000003270000}"/>
    <cellStyle name="Comma 2 3 2 7 2 8" xfId="9991" xr:uid="{00000000-0005-0000-0000-000004270000}"/>
    <cellStyle name="Comma 2 3 2 7 2 9" xfId="9992" xr:uid="{00000000-0005-0000-0000-000005270000}"/>
    <cellStyle name="Comma 2 3 2 7 3" xfId="9993" xr:uid="{00000000-0005-0000-0000-000006270000}"/>
    <cellStyle name="Comma 2 3 2 7 3 2" xfId="9994" xr:uid="{00000000-0005-0000-0000-000007270000}"/>
    <cellStyle name="Comma 2 3 2 7 3 2 2" xfId="9995" xr:uid="{00000000-0005-0000-0000-000008270000}"/>
    <cellStyle name="Comma 2 3 2 7 3 2 2 2" xfId="9996" xr:uid="{00000000-0005-0000-0000-000009270000}"/>
    <cellStyle name="Comma 2 3 2 7 3 2 2 3" xfId="9997" xr:uid="{00000000-0005-0000-0000-00000A270000}"/>
    <cellStyle name="Comma 2 3 2 7 3 2 3" xfId="9998" xr:uid="{00000000-0005-0000-0000-00000B270000}"/>
    <cellStyle name="Comma 2 3 2 7 3 2 4" xfId="9999" xr:uid="{00000000-0005-0000-0000-00000C270000}"/>
    <cellStyle name="Comma 2 3 2 7 3 2 5" xfId="10000" xr:uid="{00000000-0005-0000-0000-00000D270000}"/>
    <cellStyle name="Comma 2 3 2 7 3 2 6" xfId="10001" xr:uid="{00000000-0005-0000-0000-00000E270000}"/>
    <cellStyle name="Comma 2 3 2 7 3 3" xfId="10002" xr:uid="{00000000-0005-0000-0000-00000F270000}"/>
    <cellStyle name="Comma 2 3 2 7 3 3 2" xfId="10003" xr:uid="{00000000-0005-0000-0000-000010270000}"/>
    <cellStyle name="Comma 2 3 2 7 3 3 2 2" xfId="10004" xr:uid="{00000000-0005-0000-0000-000011270000}"/>
    <cellStyle name="Comma 2 3 2 7 3 3 3" xfId="10005" xr:uid="{00000000-0005-0000-0000-000012270000}"/>
    <cellStyle name="Comma 2 3 2 7 3 3 4" xfId="10006" xr:uid="{00000000-0005-0000-0000-000013270000}"/>
    <cellStyle name="Comma 2 3 2 7 3 3 5" xfId="10007" xr:uid="{00000000-0005-0000-0000-000014270000}"/>
    <cellStyle name="Comma 2 3 2 7 3 4" xfId="10008" xr:uid="{00000000-0005-0000-0000-000015270000}"/>
    <cellStyle name="Comma 2 3 2 7 3 4 2" xfId="10009" xr:uid="{00000000-0005-0000-0000-000016270000}"/>
    <cellStyle name="Comma 2 3 2 7 3 4 3" xfId="10010" xr:uid="{00000000-0005-0000-0000-000017270000}"/>
    <cellStyle name="Comma 2 3 2 7 3 4 4" xfId="10011" xr:uid="{00000000-0005-0000-0000-000018270000}"/>
    <cellStyle name="Comma 2 3 2 7 3 5" xfId="10012" xr:uid="{00000000-0005-0000-0000-000019270000}"/>
    <cellStyle name="Comma 2 3 2 7 3 5 2" xfId="10013" xr:uid="{00000000-0005-0000-0000-00001A270000}"/>
    <cellStyle name="Comma 2 3 2 7 3 6" xfId="10014" xr:uid="{00000000-0005-0000-0000-00001B270000}"/>
    <cellStyle name="Comma 2 3 2 7 3 7" xfId="10015" xr:uid="{00000000-0005-0000-0000-00001C270000}"/>
    <cellStyle name="Comma 2 3 2 7 3 8" xfId="10016" xr:uid="{00000000-0005-0000-0000-00001D270000}"/>
    <cellStyle name="Comma 2 3 2 7 3 9" xfId="10017" xr:uid="{00000000-0005-0000-0000-00001E270000}"/>
    <cellStyle name="Comma 2 3 2 7 4" xfId="10018" xr:uid="{00000000-0005-0000-0000-00001F270000}"/>
    <cellStyle name="Comma 2 3 2 7 4 2" xfId="10019" xr:uid="{00000000-0005-0000-0000-000020270000}"/>
    <cellStyle name="Comma 2 3 2 7 4 2 2" xfId="10020" xr:uid="{00000000-0005-0000-0000-000021270000}"/>
    <cellStyle name="Comma 2 3 2 7 4 2 3" xfId="10021" xr:uid="{00000000-0005-0000-0000-000022270000}"/>
    <cellStyle name="Comma 2 3 2 7 4 3" xfId="10022" xr:uid="{00000000-0005-0000-0000-000023270000}"/>
    <cellStyle name="Comma 2 3 2 7 4 4" xfId="10023" xr:uid="{00000000-0005-0000-0000-000024270000}"/>
    <cellStyle name="Comma 2 3 2 7 4 5" xfId="10024" xr:uid="{00000000-0005-0000-0000-000025270000}"/>
    <cellStyle name="Comma 2 3 2 7 4 6" xfId="10025" xr:uid="{00000000-0005-0000-0000-000026270000}"/>
    <cellStyle name="Comma 2 3 2 7 5" xfId="10026" xr:uid="{00000000-0005-0000-0000-000027270000}"/>
    <cellStyle name="Comma 2 3 2 7 5 2" xfId="10027" xr:uid="{00000000-0005-0000-0000-000028270000}"/>
    <cellStyle name="Comma 2 3 2 7 5 2 2" xfId="10028" xr:uid="{00000000-0005-0000-0000-000029270000}"/>
    <cellStyle name="Comma 2 3 2 7 5 3" xfId="10029" xr:uid="{00000000-0005-0000-0000-00002A270000}"/>
    <cellStyle name="Comma 2 3 2 7 5 4" xfId="10030" xr:uid="{00000000-0005-0000-0000-00002B270000}"/>
    <cellStyle name="Comma 2 3 2 7 5 5" xfId="10031" xr:uid="{00000000-0005-0000-0000-00002C270000}"/>
    <cellStyle name="Comma 2 3 2 7 6" xfId="10032" xr:uid="{00000000-0005-0000-0000-00002D270000}"/>
    <cellStyle name="Comma 2 3 2 7 6 2" xfId="10033" xr:uid="{00000000-0005-0000-0000-00002E270000}"/>
    <cellStyle name="Comma 2 3 2 7 6 3" xfId="10034" xr:uid="{00000000-0005-0000-0000-00002F270000}"/>
    <cellStyle name="Comma 2 3 2 7 6 4" xfId="10035" xr:uid="{00000000-0005-0000-0000-000030270000}"/>
    <cellStyle name="Comma 2 3 2 7 7" xfId="10036" xr:uid="{00000000-0005-0000-0000-000031270000}"/>
    <cellStyle name="Comma 2 3 2 7 7 2" xfId="10037" xr:uid="{00000000-0005-0000-0000-000032270000}"/>
    <cellStyle name="Comma 2 3 2 7 8" xfId="10038" xr:uid="{00000000-0005-0000-0000-000033270000}"/>
    <cellStyle name="Comma 2 3 2 7 9" xfId="10039" xr:uid="{00000000-0005-0000-0000-000034270000}"/>
    <cellStyle name="Comma 2 3 2 8" xfId="10040" xr:uid="{00000000-0005-0000-0000-000035270000}"/>
    <cellStyle name="Comma 2 3 2 8 10" xfId="10041" xr:uid="{00000000-0005-0000-0000-000036270000}"/>
    <cellStyle name="Comma 2 3 2 8 2" xfId="10042" xr:uid="{00000000-0005-0000-0000-000037270000}"/>
    <cellStyle name="Comma 2 3 2 8 2 2" xfId="10043" xr:uid="{00000000-0005-0000-0000-000038270000}"/>
    <cellStyle name="Comma 2 3 2 8 2 2 2" xfId="10044" xr:uid="{00000000-0005-0000-0000-000039270000}"/>
    <cellStyle name="Comma 2 3 2 8 2 2 3" xfId="10045" xr:uid="{00000000-0005-0000-0000-00003A270000}"/>
    <cellStyle name="Comma 2 3 2 8 2 3" xfId="10046" xr:uid="{00000000-0005-0000-0000-00003B270000}"/>
    <cellStyle name="Comma 2 3 2 8 2 4" xfId="10047" xr:uid="{00000000-0005-0000-0000-00003C270000}"/>
    <cellStyle name="Comma 2 3 2 8 2 5" xfId="10048" xr:uid="{00000000-0005-0000-0000-00003D270000}"/>
    <cellStyle name="Comma 2 3 2 8 2 6" xfId="10049" xr:uid="{00000000-0005-0000-0000-00003E270000}"/>
    <cellStyle name="Comma 2 3 2 8 3" xfId="10050" xr:uid="{00000000-0005-0000-0000-00003F270000}"/>
    <cellStyle name="Comma 2 3 2 8 3 2" xfId="10051" xr:uid="{00000000-0005-0000-0000-000040270000}"/>
    <cellStyle name="Comma 2 3 2 8 3 2 2" xfId="10052" xr:uid="{00000000-0005-0000-0000-000041270000}"/>
    <cellStyle name="Comma 2 3 2 8 3 2 3" xfId="10053" xr:uid="{00000000-0005-0000-0000-000042270000}"/>
    <cellStyle name="Comma 2 3 2 8 3 3" xfId="10054" xr:uid="{00000000-0005-0000-0000-000043270000}"/>
    <cellStyle name="Comma 2 3 2 8 3 4" xfId="10055" xr:uid="{00000000-0005-0000-0000-000044270000}"/>
    <cellStyle name="Comma 2 3 2 8 3 5" xfId="10056" xr:uid="{00000000-0005-0000-0000-000045270000}"/>
    <cellStyle name="Comma 2 3 2 8 3 6" xfId="10057" xr:uid="{00000000-0005-0000-0000-000046270000}"/>
    <cellStyle name="Comma 2 3 2 8 4" xfId="10058" xr:uid="{00000000-0005-0000-0000-000047270000}"/>
    <cellStyle name="Comma 2 3 2 8 4 2" xfId="10059" xr:uid="{00000000-0005-0000-0000-000048270000}"/>
    <cellStyle name="Comma 2 3 2 8 4 2 2" xfId="10060" xr:uid="{00000000-0005-0000-0000-000049270000}"/>
    <cellStyle name="Comma 2 3 2 8 4 3" xfId="10061" xr:uid="{00000000-0005-0000-0000-00004A270000}"/>
    <cellStyle name="Comma 2 3 2 8 4 4" xfId="10062" xr:uid="{00000000-0005-0000-0000-00004B270000}"/>
    <cellStyle name="Comma 2 3 2 8 4 5" xfId="10063" xr:uid="{00000000-0005-0000-0000-00004C270000}"/>
    <cellStyle name="Comma 2 3 2 8 5" xfId="10064" xr:uid="{00000000-0005-0000-0000-00004D270000}"/>
    <cellStyle name="Comma 2 3 2 8 5 2" xfId="10065" xr:uid="{00000000-0005-0000-0000-00004E270000}"/>
    <cellStyle name="Comma 2 3 2 8 5 3" xfId="10066" xr:uid="{00000000-0005-0000-0000-00004F270000}"/>
    <cellStyle name="Comma 2 3 2 8 5 4" xfId="10067" xr:uid="{00000000-0005-0000-0000-000050270000}"/>
    <cellStyle name="Comma 2 3 2 8 6" xfId="10068" xr:uid="{00000000-0005-0000-0000-000051270000}"/>
    <cellStyle name="Comma 2 3 2 8 6 2" xfId="10069" xr:uid="{00000000-0005-0000-0000-000052270000}"/>
    <cellStyle name="Comma 2 3 2 8 7" xfId="10070" xr:uid="{00000000-0005-0000-0000-000053270000}"/>
    <cellStyle name="Comma 2 3 2 8 8" xfId="10071" xr:uid="{00000000-0005-0000-0000-000054270000}"/>
    <cellStyle name="Comma 2 3 2 8 9" xfId="10072" xr:uid="{00000000-0005-0000-0000-000055270000}"/>
    <cellStyle name="Comma 2 3 2 9" xfId="10073" xr:uid="{00000000-0005-0000-0000-000056270000}"/>
    <cellStyle name="Comma 2 3 2 9 10" xfId="10074" xr:uid="{00000000-0005-0000-0000-000057270000}"/>
    <cellStyle name="Comma 2 3 2 9 2" xfId="10075" xr:uid="{00000000-0005-0000-0000-000058270000}"/>
    <cellStyle name="Comma 2 3 2 9 2 2" xfId="10076" xr:uid="{00000000-0005-0000-0000-000059270000}"/>
    <cellStyle name="Comma 2 3 2 9 2 2 2" xfId="10077" xr:uid="{00000000-0005-0000-0000-00005A270000}"/>
    <cellStyle name="Comma 2 3 2 9 2 2 3" xfId="10078" xr:uid="{00000000-0005-0000-0000-00005B270000}"/>
    <cellStyle name="Comma 2 3 2 9 2 3" xfId="10079" xr:uid="{00000000-0005-0000-0000-00005C270000}"/>
    <cellStyle name="Comma 2 3 2 9 2 4" xfId="10080" xr:uid="{00000000-0005-0000-0000-00005D270000}"/>
    <cellStyle name="Comma 2 3 2 9 2 5" xfId="10081" xr:uid="{00000000-0005-0000-0000-00005E270000}"/>
    <cellStyle name="Comma 2 3 2 9 2 6" xfId="10082" xr:uid="{00000000-0005-0000-0000-00005F270000}"/>
    <cellStyle name="Comma 2 3 2 9 3" xfId="10083" xr:uid="{00000000-0005-0000-0000-000060270000}"/>
    <cellStyle name="Comma 2 3 2 9 3 2" xfId="10084" xr:uid="{00000000-0005-0000-0000-000061270000}"/>
    <cellStyle name="Comma 2 3 2 9 3 2 2" xfId="10085" xr:uid="{00000000-0005-0000-0000-000062270000}"/>
    <cellStyle name="Comma 2 3 2 9 3 2 3" xfId="10086" xr:uid="{00000000-0005-0000-0000-000063270000}"/>
    <cellStyle name="Comma 2 3 2 9 3 3" xfId="10087" xr:uid="{00000000-0005-0000-0000-000064270000}"/>
    <cellStyle name="Comma 2 3 2 9 3 4" xfId="10088" xr:uid="{00000000-0005-0000-0000-000065270000}"/>
    <cellStyle name="Comma 2 3 2 9 3 5" xfId="10089" xr:uid="{00000000-0005-0000-0000-000066270000}"/>
    <cellStyle name="Comma 2 3 2 9 3 6" xfId="10090" xr:uid="{00000000-0005-0000-0000-000067270000}"/>
    <cellStyle name="Comma 2 3 2 9 4" xfId="10091" xr:uid="{00000000-0005-0000-0000-000068270000}"/>
    <cellStyle name="Comma 2 3 2 9 4 2" xfId="10092" xr:uid="{00000000-0005-0000-0000-000069270000}"/>
    <cellStyle name="Comma 2 3 2 9 4 2 2" xfId="10093" xr:uid="{00000000-0005-0000-0000-00006A270000}"/>
    <cellStyle name="Comma 2 3 2 9 4 3" xfId="10094" xr:uid="{00000000-0005-0000-0000-00006B270000}"/>
    <cellStyle name="Comma 2 3 2 9 4 4" xfId="10095" xr:uid="{00000000-0005-0000-0000-00006C270000}"/>
    <cellStyle name="Comma 2 3 2 9 4 5" xfId="10096" xr:uid="{00000000-0005-0000-0000-00006D270000}"/>
    <cellStyle name="Comma 2 3 2 9 5" xfId="10097" xr:uid="{00000000-0005-0000-0000-00006E270000}"/>
    <cellStyle name="Comma 2 3 2 9 5 2" xfId="10098" xr:uid="{00000000-0005-0000-0000-00006F270000}"/>
    <cellStyle name="Comma 2 3 2 9 5 3" xfId="10099" xr:uid="{00000000-0005-0000-0000-000070270000}"/>
    <cellStyle name="Comma 2 3 2 9 5 4" xfId="10100" xr:uid="{00000000-0005-0000-0000-000071270000}"/>
    <cellStyle name="Comma 2 3 2 9 6" xfId="10101" xr:uid="{00000000-0005-0000-0000-000072270000}"/>
    <cellStyle name="Comma 2 3 2 9 6 2" xfId="10102" xr:uid="{00000000-0005-0000-0000-000073270000}"/>
    <cellStyle name="Comma 2 3 2 9 7" xfId="10103" xr:uid="{00000000-0005-0000-0000-000074270000}"/>
    <cellStyle name="Comma 2 3 2 9 8" xfId="10104" xr:uid="{00000000-0005-0000-0000-000075270000}"/>
    <cellStyle name="Comma 2 3 2 9 9" xfId="10105" xr:uid="{00000000-0005-0000-0000-000076270000}"/>
    <cellStyle name="Comma 2 3 20" xfId="10106" xr:uid="{00000000-0005-0000-0000-000077270000}"/>
    <cellStyle name="Comma 2 3 20 10" xfId="10107" xr:uid="{00000000-0005-0000-0000-000078270000}"/>
    <cellStyle name="Comma 2 3 20 2" xfId="10108" xr:uid="{00000000-0005-0000-0000-000079270000}"/>
    <cellStyle name="Comma 2 3 20 2 2" xfId="10109" xr:uid="{00000000-0005-0000-0000-00007A270000}"/>
    <cellStyle name="Comma 2 3 20 2 2 2" xfId="10110" xr:uid="{00000000-0005-0000-0000-00007B270000}"/>
    <cellStyle name="Comma 2 3 20 2 2 3" xfId="10111" xr:uid="{00000000-0005-0000-0000-00007C270000}"/>
    <cellStyle name="Comma 2 3 20 2 3" xfId="10112" xr:uid="{00000000-0005-0000-0000-00007D270000}"/>
    <cellStyle name="Comma 2 3 20 2 4" xfId="10113" xr:uid="{00000000-0005-0000-0000-00007E270000}"/>
    <cellStyle name="Comma 2 3 20 2 5" xfId="10114" xr:uid="{00000000-0005-0000-0000-00007F270000}"/>
    <cellStyle name="Comma 2 3 20 2 6" xfId="10115" xr:uid="{00000000-0005-0000-0000-000080270000}"/>
    <cellStyle name="Comma 2 3 20 3" xfId="10116" xr:uid="{00000000-0005-0000-0000-000081270000}"/>
    <cellStyle name="Comma 2 3 20 3 2" xfId="10117" xr:uid="{00000000-0005-0000-0000-000082270000}"/>
    <cellStyle name="Comma 2 3 20 3 2 2" xfId="10118" xr:uid="{00000000-0005-0000-0000-000083270000}"/>
    <cellStyle name="Comma 2 3 20 3 2 3" xfId="10119" xr:uid="{00000000-0005-0000-0000-000084270000}"/>
    <cellStyle name="Comma 2 3 20 3 3" xfId="10120" xr:uid="{00000000-0005-0000-0000-000085270000}"/>
    <cellStyle name="Comma 2 3 20 3 4" xfId="10121" xr:uid="{00000000-0005-0000-0000-000086270000}"/>
    <cellStyle name="Comma 2 3 20 3 5" xfId="10122" xr:uid="{00000000-0005-0000-0000-000087270000}"/>
    <cellStyle name="Comma 2 3 20 3 6" xfId="10123" xr:uid="{00000000-0005-0000-0000-000088270000}"/>
    <cellStyle name="Comma 2 3 20 4" xfId="10124" xr:uid="{00000000-0005-0000-0000-000089270000}"/>
    <cellStyle name="Comma 2 3 20 4 2" xfId="10125" xr:uid="{00000000-0005-0000-0000-00008A270000}"/>
    <cellStyle name="Comma 2 3 20 4 2 2" xfId="10126" xr:uid="{00000000-0005-0000-0000-00008B270000}"/>
    <cellStyle name="Comma 2 3 20 4 3" xfId="10127" xr:uid="{00000000-0005-0000-0000-00008C270000}"/>
    <cellStyle name="Comma 2 3 20 4 4" xfId="10128" xr:uid="{00000000-0005-0000-0000-00008D270000}"/>
    <cellStyle name="Comma 2 3 20 4 5" xfId="10129" xr:uid="{00000000-0005-0000-0000-00008E270000}"/>
    <cellStyle name="Comma 2 3 20 5" xfId="10130" xr:uid="{00000000-0005-0000-0000-00008F270000}"/>
    <cellStyle name="Comma 2 3 20 5 2" xfId="10131" xr:uid="{00000000-0005-0000-0000-000090270000}"/>
    <cellStyle name="Comma 2 3 20 5 3" xfId="10132" xr:uid="{00000000-0005-0000-0000-000091270000}"/>
    <cellStyle name="Comma 2 3 20 5 4" xfId="10133" xr:uid="{00000000-0005-0000-0000-000092270000}"/>
    <cellStyle name="Comma 2 3 20 6" xfId="10134" xr:uid="{00000000-0005-0000-0000-000093270000}"/>
    <cellStyle name="Comma 2 3 20 6 2" xfId="10135" xr:uid="{00000000-0005-0000-0000-000094270000}"/>
    <cellStyle name="Comma 2 3 20 7" xfId="10136" xr:uid="{00000000-0005-0000-0000-000095270000}"/>
    <cellStyle name="Comma 2 3 20 8" xfId="10137" xr:uid="{00000000-0005-0000-0000-000096270000}"/>
    <cellStyle name="Comma 2 3 20 9" xfId="10138" xr:uid="{00000000-0005-0000-0000-000097270000}"/>
    <cellStyle name="Comma 2 3 21" xfId="10139" xr:uid="{00000000-0005-0000-0000-000098270000}"/>
    <cellStyle name="Comma 2 3 21 10" xfId="10140" xr:uid="{00000000-0005-0000-0000-000099270000}"/>
    <cellStyle name="Comma 2 3 21 2" xfId="10141" xr:uid="{00000000-0005-0000-0000-00009A270000}"/>
    <cellStyle name="Comma 2 3 21 2 2" xfId="10142" xr:uid="{00000000-0005-0000-0000-00009B270000}"/>
    <cellStyle name="Comma 2 3 21 2 2 2" xfId="10143" xr:uid="{00000000-0005-0000-0000-00009C270000}"/>
    <cellStyle name="Comma 2 3 21 2 2 3" xfId="10144" xr:uid="{00000000-0005-0000-0000-00009D270000}"/>
    <cellStyle name="Comma 2 3 21 2 3" xfId="10145" xr:uid="{00000000-0005-0000-0000-00009E270000}"/>
    <cellStyle name="Comma 2 3 21 2 4" xfId="10146" xr:uid="{00000000-0005-0000-0000-00009F270000}"/>
    <cellStyle name="Comma 2 3 21 2 5" xfId="10147" xr:uid="{00000000-0005-0000-0000-0000A0270000}"/>
    <cellStyle name="Comma 2 3 21 2 6" xfId="10148" xr:uid="{00000000-0005-0000-0000-0000A1270000}"/>
    <cellStyle name="Comma 2 3 21 3" xfId="10149" xr:uid="{00000000-0005-0000-0000-0000A2270000}"/>
    <cellStyle name="Comma 2 3 21 3 2" xfId="10150" xr:uid="{00000000-0005-0000-0000-0000A3270000}"/>
    <cellStyle name="Comma 2 3 21 3 2 2" xfId="10151" xr:uid="{00000000-0005-0000-0000-0000A4270000}"/>
    <cellStyle name="Comma 2 3 21 3 2 3" xfId="10152" xr:uid="{00000000-0005-0000-0000-0000A5270000}"/>
    <cellStyle name="Comma 2 3 21 3 3" xfId="10153" xr:uid="{00000000-0005-0000-0000-0000A6270000}"/>
    <cellStyle name="Comma 2 3 21 3 4" xfId="10154" xr:uid="{00000000-0005-0000-0000-0000A7270000}"/>
    <cellStyle name="Comma 2 3 21 3 5" xfId="10155" xr:uid="{00000000-0005-0000-0000-0000A8270000}"/>
    <cellStyle name="Comma 2 3 21 3 6" xfId="10156" xr:uid="{00000000-0005-0000-0000-0000A9270000}"/>
    <cellStyle name="Comma 2 3 21 4" xfId="10157" xr:uid="{00000000-0005-0000-0000-0000AA270000}"/>
    <cellStyle name="Comma 2 3 21 4 2" xfId="10158" xr:uid="{00000000-0005-0000-0000-0000AB270000}"/>
    <cellStyle name="Comma 2 3 21 4 2 2" xfId="10159" xr:uid="{00000000-0005-0000-0000-0000AC270000}"/>
    <cellStyle name="Comma 2 3 21 4 3" xfId="10160" xr:uid="{00000000-0005-0000-0000-0000AD270000}"/>
    <cellStyle name="Comma 2 3 21 4 4" xfId="10161" xr:uid="{00000000-0005-0000-0000-0000AE270000}"/>
    <cellStyle name="Comma 2 3 21 4 5" xfId="10162" xr:uid="{00000000-0005-0000-0000-0000AF270000}"/>
    <cellStyle name="Comma 2 3 21 5" xfId="10163" xr:uid="{00000000-0005-0000-0000-0000B0270000}"/>
    <cellStyle name="Comma 2 3 21 5 2" xfId="10164" xr:uid="{00000000-0005-0000-0000-0000B1270000}"/>
    <cellStyle name="Comma 2 3 21 5 3" xfId="10165" xr:uid="{00000000-0005-0000-0000-0000B2270000}"/>
    <cellStyle name="Comma 2 3 21 5 4" xfId="10166" xr:uid="{00000000-0005-0000-0000-0000B3270000}"/>
    <cellStyle name="Comma 2 3 21 6" xfId="10167" xr:uid="{00000000-0005-0000-0000-0000B4270000}"/>
    <cellStyle name="Comma 2 3 21 6 2" xfId="10168" xr:uid="{00000000-0005-0000-0000-0000B5270000}"/>
    <cellStyle name="Comma 2 3 21 7" xfId="10169" xr:uid="{00000000-0005-0000-0000-0000B6270000}"/>
    <cellStyle name="Comma 2 3 21 8" xfId="10170" xr:uid="{00000000-0005-0000-0000-0000B7270000}"/>
    <cellStyle name="Comma 2 3 21 9" xfId="10171" xr:uid="{00000000-0005-0000-0000-0000B8270000}"/>
    <cellStyle name="Comma 2 3 22" xfId="10172" xr:uid="{00000000-0005-0000-0000-0000B9270000}"/>
    <cellStyle name="Comma 2 3 22 10" xfId="10173" xr:uid="{00000000-0005-0000-0000-0000BA270000}"/>
    <cellStyle name="Comma 2 3 22 2" xfId="10174" xr:uid="{00000000-0005-0000-0000-0000BB270000}"/>
    <cellStyle name="Comma 2 3 22 2 2" xfId="10175" xr:uid="{00000000-0005-0000-0000-0000BC270000}"/>
    <cellStyle name="Comma 2 3 22 2 2 2" xfId="10176" xr:uid="{00000000-0005-0000-0000-0000BD270000}"/>
    <cellStyle name="Comma 2 3 22 2 2 3" xfId="10177" xr:uid="{00000000-0005-0000-0000-0000BE270000}"/>
    <cellStyle name="Comma 2 3 22 2 3" xfId="10178" xr:uid="{00000000-0005-0000-0000-0000BF270000}"/>
    <cellStyle name="Comma 2 3 22 2 4" xfId="10179" xr:uid="{00000000-0005-0000-0000-0000C0270000}"/>
    <cellStyle name="Comma 2 3 22 2 5" xfId="10180" xr:uid="{00000000-0005-0000-0000-0000C1270000}"/>
    <cellStyle name="Comma 2 3 22 2 6" xfId="10181" xr:uid="{00000000-0005-0000-0000-0000C2270000}"/>
    <cellStyle name="Comma 2 3 22 3" xfId="10182" xr:uid="{00000000-0005-0000-0000-0000C3270000}"/>
    <cellStyle name="Comma 2 3 22 3 2" xfId="10183" xr:uid="{00000000-0005-0000-0000-0000C4270000}"/>
    <cellStyle name="Comma 2 3 22 3 2 2" xfId="10184" xr:uid="{00000000-0005-0000-0000-0000C5270000}"/>
    <cellStyle name="Comma 2 3 22 3 2 3" xfId="10185" xr:uid="{00000000-0005-0000-0000-0000C6270000}"/>
    <cellStyle name="Comma 2 3 22 3 3" xfId="10186" xr:uid="{00000000-0005-0000-0000-0000C7270000}"/>
    <cellStyle name="Comma 2 3 22 3 4" xfId="10187" xr:uid="{00000000-0005-0000-0000-0000C8270000}"/>
    <cellStyle name="Comma 2 3 22 3 5" xfId="10188" xr:uid="{00000000-0005-0000-0000-0000C9270000}"/>
    <cellStyle name="Comma 2 3 22 3 6" xfId="10189" xr:uid="{00000000-0005-0000-0000-0000CA270000}"/>
    <cellStyle name="Comma 2 3 22 4" xfId="10190" xr:uid="{00000000-0005-0000-0000-0000CB270000}"/>
    <cellStyle name="Comma 2 3 22 4 2" xfId="10191" xr:uid="{00000000-0005-0000-0000-0000CC270000}"/>
    <cellStyle name="Comma 2 3 22 4 2 2" xfId="10192" xr:uid="{00000000-0005-0000-0000-0000CD270000}"/>
    <cellStyle name="Comma 2 3 22 4 3" xfId="10193" xr:uid="{00000000-0005-0000-0000-0000CE270000}"/>
    <cellStyle name="Comma 2 3 22 4 4" xfId="10194" xr:uid="{00000000-0005-0000-0000-0000CF270000}"/>
    <cellStyle name="Comma 2 3 22 4 5" xfId="10195" xr:uid="{00000000-0005-0000-0000-0000D0270000}"/>
    <cellStyle name="Comma 2 3 22 5" xfId="10196" xr:uid="{00000000-0005-0000-0000-0000D1270000}"/>
    <cellStyle name="Comma 2 3 22 5 2" xfId="10197" xr:uid="{00000000-0005-0000-0000-0000D2270000}"/>
    <cellStyle name="Comma 2 3 22 5 3" xfId="10198" xr:uid="{00000000-0005-0000-0000-0000D3270000}"/>
    <cellStyle name="Comma 2 3 22 5 4" xfId="10199" xr:uid="{00000000-0005-0000-0000-0000D4270000}"/>
    <cellStyle name="Comma 2 3 22 6" xfId="10200" xr:uid="{00000000-0005-0000-0000-0000D5270000}"/>
    <cellStyle name="Comma 2 3 22 6 2" xfId="10201" xr:uid="{00000000-0005-0000-0000-0000D6270000}"/>
    <cellStyle name="Comma 2 3 22 7" xfId="10202" xr:uid="{00000000-0005-0000-0000-0000D7270000}"/>
    <cellStyle name="Comma 2 3 22 8" xfId="10203" xr:uid="{00000000-0005-0000-0000-0000D8270000}"/>
    <cellStyle name="Comma 2 3 22 9" xfId="10204" xr:uid="{00000000-0005-0000-0000-0000D9270000}"/>
    <cellStyle name="Comma 2 3 23" xfId="10205" xr:uid="{00000000-0005-0000-0000-0000DA270000}"/>
    <cellStyle name="Comma 2 3 23 10" xfId="10206" xr:uid="{00000000-0005-0000-0000-0000DB270000}"/>
    <cellStyle name="Comma 2 3 23 2" xfId="10207" xr:uid="{00000000-0005-0000-0000-0000DC270000}"/>
    <cellStyle name="Comma 2 3 23 2 2" xfId="10208" xr:uid="{00000000-0005-0000-0000-0000DD270000}"/>
    <cellStyle name="Comma 2 3 23 2 2 2" xfId="10209" xr:uid="{00000000-0005-0000-0000-0000DE270000}"/>
    <cellStyle name="Comma 2 3 23 2 2 3" xfId="10210" xr:uid="{00000000-0005-0000-0000-0000DF270000}"/>
    <cellStyle name="Comma 2 3 23 2 3" xfId="10211" xr:uid="{00000000-0005-0000-0000-0000E0270000}"/>
    <cellStyle name="Comma 2 3 23 2 4" xfId="10212" xr:uid="{00000000-0005-0000-0000-0000E1270000}"/>
    <cellStyle name="Comma 2 3 23 2 5" xfId="10213" xr:uid="{00000000-0005-0000-0000-0000E2270000}"/>
    <cellStyle name="Comma 2 3 23 2 6" xfId="10214" xr:uid="{00000000-0005-0000-0000-0000E3270000}"/>
    <cellStyle name="Comma 2 3 23 3" xfId="10215" xr:uid="{00000000-0005-0000-0000-0000E4270000}"/>
    <cellStyle name="Comma 2 3 23 3 2" xfId="10216" xr:uid="{00000000-0005-0000-0000-0000E5270000}"/>
    <cellStyle name="Comma 2 3 23 3 2 2" xfId="10217" xr:uid="{00000000-0005-0000-0000-0000E6270000}"/>
    <cellStyle name="Comma 2 3 23 3 2 3" xfId="10218" xr:uid="{00000000-0005-0000-0000-0000E7270000}"/>
    <cellStyle name="Comma 2 3 23 3 3" xfId="10219" xr:uid="{00000000-0005-0000-0000-0000E8270000}"/>
    <cellStyle name="Comma 2 3 23 3 4" xfId="10220" xr:uid="{00000000-0005-0000-0000-0000E9270000}"/>
    <cellStyle name="Comma 2 3 23 3 5" xfId="10221" xr:uid="{00000000-0005-0000-0000-0000EA270000}"/>
    <cellStyle name="Comma 2 3 23 3 6" xfId="10222" xr:uid="{00000000-0005-0000-0000-0000EB270000}"/>
    <cellStyle name="Comma 2 3 23 4" xfId="10223" xr:uid="{00000000-0005-0000-0000-0000EC270000}"/>
    <cellStyle name="Comma 2 3 23 4 2" xfId="10224" xr:uid="{00000000-0005-0000-0000-0000ED270000}"/>
    <cellStyle name="Comma 2 3 23 4 2 2" xfId="10225" xr:uid="{00000000-0005-0000-0000-0000EE270000}"/>
    <cellStyle name="Comma 2 3 23 4 3" xfId="10226" xr:uid="{00000000-0005-0000-0000-0000EF270000}"/>
    <cellStyle name="Comma 2 3 23 4 4" xfId="10227" xr:uid="{00000000-0005-0000-0000-0000F0270000}"/>
    <cellStyle name="Comma 2 3 23 4 5" xfId="10228" xr:uid="{00000000-0005-0000-0000-0000F1270000}"/>
    <cellStyle name="Comma 2 3 23 5" xfId="10229" xr:uid="{00000000-0005-0000-0000-0000F2270000}"/>
    <cellStyle name="Comma 2 3 23 5 2" xfId="10230" xr:uid="{00000000-0005-0000-0000-0000F3270000}"/>
    <cellStyle name="Comma 2 3 23 5 3" xfId="10231" xr:uid="{00000000-0005-0000-0000-0000F4270000}"/>
    <cellStyle name="Comma 2 3 23 5 4" xfId="10232" xr:uid="{00000000-0005-0000-0000-0000F5270000}"/>
    <cellStyle name="Comma 2 3 23 6" xfId="10233" xr:uid="{00000000-0005-0000-0000-0000F6270000}"/>
    <cellStyle name="Comma 2 3 23 6 2" xfId="10234" xr:uid="{00000000-0005-0000-0000-0000F7270000}"/>
    <cellStyle name="Comma 2 3 23 7" xfId="10235" xr:uid="{00000000-0005-0000-0000-0000F8270000}"/>
    <cellStyle name="Comma 2 3 23 8" xfId="10236" xr:uid="{00000000-0005-0000-0000-0000F9270000}"/>
    <cellStyle name="Comma 2 3 23 9" xfId="10237" xr:uid="{00000000-0005-0000-0000-0000FA270000}"/>
    <cellStyle name="Comma 2 3 24" xfId="10238" xr:uid="{00000000-0005-0000-0000-0000FB270000}"/>
    <cellStyle name="Comma 2 3 24 10" xfId="10239" xr:uid="{00000000-0005-0000-0000-0000FC270000}"/>
    <cellStyle name="Comma 2 3 24 2" xfId="10240" xr:uid="{00000000-0005-0000-0000-0000FD270000}"/>
    <cellStyle name="Comma 2 3 24 2 2" xfId="10241" xr:uid="{00000000-0005-0000-0000-0000FE270000}"/>
    <cellStyle name="Comma 2 3 24 2 2 2" xfId="10242" xr:uid="{00000000-0005-0000-0000-0000FF270000}"/>
    <cellStyle name="Comma 2 3 24 2 2 3" xfId="10243" xr:uid="{00000000-0005-0000-0000-000000280000}"/>
    <cellStyle name="Comma 2 3 24 2 3" xfId="10244" xr:uid="{00000000-0005-0000-0000-000001280000}"/>
    <cellStyle name="Comma 2 3 24 2 4" xfId="10245" xr:uid="{00000000-0005-0000-0000-000002280000}"/>
    <cellStyle name="Comma 2 3 24 2 5" xfId="10246" xr:uid="{00000000-0005-0000-0000-000003280000}"/>
    <cellStyle name="Comma 2 3 24 2 6" xfId="10247" xr:uid="{00000000-0005-0000-0000-000004280000}"/>
    <cellStyle name="Comma 2 3 24 3" xfId="10248" xr:uid="{00000000-0005-0000-0000-000005280000}"/>
    <cellStyle name="Comma 2 3 24 3 2" xfId="10249" xr:uid="{00000000-0005-0000-0000-000006280000}"/>
    <cellStyle name="Comma 2 3 24 3 2 2" xfId="10250" xr:uid="{00000000-0005-0000-0000-000007280000}"/>
    <cellStyle name="Comma 2 3 24 3 2 3" xfId="10251" xr:uid="{00000000-0005-0000-0000-000008280000}"/>
    <cellStyle name="Comma 2 3 24 3 3" xfId="10252" xr:uid="{00000000-0005-0000-0000-000009280000}"/>
    <cellStyle name="Comma 2 3 24 3 4" xfId="10253" xr:uid="{00000000-0005-0000-0000-00000A280000}"/>
    <cellStyle name="Comma 2 3 24 3 5" xfId="10254" xr:uid="{00000000-0005-0000-0000-00000B280000}"/>
    <cellStyle name="Comma 2 3 24 3 6" xfId="10255" xr:uid="{00000000-0005-0000-0000-00000C280000}"/>
    <cellStyle name="Comma 2 3 24 4" xfId="10256" xr:uid="{00000000-0005-0000-0000-00000D280000}"/>
    <cellStyle name="Comma 2 3 24 4 2" xfId="10257" xr:uid="{00000000-0005-0000-0000-00000E280000}"/>
    <cellStyle name="Comma 2 3 24 4 2 2" xfId="10258" xr:uid="{00000000-0005-0000-0000-00000F280000}"/>
    <cellStyle name="Comma 2 3 24 4 3" xfId="10259" xr:uid="{00000000-0005-0000-0000-000010280000}"/>
    <cellStyle name="Comma 2 3 24 4 4" xfId="10260" xr:uid="{00000000-0005-0000-0000-000011280000}"/>
    <cellStyle name="Comma 2 3 24 4 5" xfId="10261" xr:uid="{00000000-0005-0000-0000-000012280000}"/>
    <cellStyle name="Comma 2 3 24 5" xfId="10262" xr:uid="{00000000-0005-0000-0000-000013280000}"/>
    <cellStyle name="Comma 2 3 24 5 2" xfId="10263" xr:uid="{00000000-0005-0000-0000-000014280000}"/>
    <cellStyle name="Comma 2 3 24 5 3" xfId="10264" xr:uid="{00000000-0005-0000-0000-000015280000}"/>
    <cellStyle name="Comma 2 3 24 5 4" xfId="10265" xr:uid="{00000000-0005-0000-0000-000016280000}"/>
    <cellStyle name="Comma 2 3 24 6" xfId="10266" xr:uid="{00000000-0005-0000-0000-000017280000}"/>
    <cellStyle name="Comma 2 3 24 6 2" xfId="10267" xr:uid="{00000000-0005-0000-0000-000018280000}"/>
    <cellStyle name="Comma 2 3 24 7" xfId="10268" xr:uid="{00000000-0005-0000-0000-000019280000}"/>
    <cellStyle name="Comma 2 3 24 8" xfId="10269" xr:uid="{00000000-0005-0000-0000-00001A280000}"/>
    <cellStyle name="Comma 2 3 24 9" xfId="10270" xr:uid="{00000000-0005-0000-0000-00001B280000}"/>
    <cellStyle name="Comma 2 3 25" xfId="10271" xr:uid="{00000000-0005-0000-0000-00001C280000}"/>
    <cellStyle name="Comma 2 3 25 10" xfId="10272" xr:uid="{00000000-0005-0000-0000-00001D280000}"/>
    <cellStyle name="Comma 2 3 25 2" xfId="10273" xr:uid="{00000000-0005-0000-0000-00001E280000}"/>
    <cellStyle name="Comma 2 3 25 2 2" xfId="10274" xr:uid="{00000000-0005-0000-0000-00001F280000}"/>
    <cellStyle name="Comma 2 3 25 2 2 2" xfId="10275" xr:uid="{00000000-0005-0000-0000-000020280000}"/>
    <cellStyle name="Comma 2 3 25 2 2 3" xfId="10276" xr:uid="{00000000-0005-0000-0000-000021280000}"/>
    <cellStyle name="Comma 2 3 25 2 3" xfId="10277" xr:uid="{00000000-0005-0000-0000-000022280000}"/>
    <cellStyle name="Comma 2 3 25 2 4" xfId="10278" xr:uid="{00000000-0005-0000-0000-000023280000}"/>
    <cellStyle name="Comma 2 3 25 2 5" xfId="10279" xr:uid="{00000000-0005-0000-0000-000024280000}"/>
    <cellStyle name="Comma 2 3 25 2 6" xfId="10280" xr:uid="{00000000-0005-0000-0000-000025280000}"/>
    <cellStyle name="Comma 2 3 25 3" xfId="10281" xr:uid="{00000000-0005-0000-0000-000026280000}"/>
    <cellStyle name="Comma 2 3 25 3 2" xfId="10282" xr:uid="{00000000-0005-0000-0000-000027280000}"/>
    <cellStyle name="Comma 2 3 25 3 2 2" xfId="10283" xr:uid="{00000000-0005-0000-0000-000028280000}"/>
    <cellStyle name="Comma 2 3 25 3 2 3" xfId="10284" xr:uid="{00000000-0005-0000-0000-000029280000}"/>
    <cellStyle name="Comma 2 3 25 3 3" xfId="10285" xr:uid="{00000000-0005-0000-0000-00002A280000}"/>
    <cellStyle name="Comma 2 3 25 3 4" xfId="10286" xr:uid="{00000000-0005-0000-0000-00002B280000}"/>
    <cellStyle name="Comma 2 3 25 3 5" xfId="10287" xr:uid="{00000000-0005-0000-0000-00002C280000}"/>
    <cellStyle name="Comma 2 3 25 3 6" xfId="10288" xr:uid="{00000000-0005-0000-0000-00002D280000}"/>
    <cellStyle name="Comma 2 3 25 4" xfId="10289" xr:uid="{00000000-0005-0000-0000-00002E280000}"/>
    <cellStyle name="Comma 2 3 25 4 2" xfId="10290" xr:uid="{00000000-0005-0000-0000-00002F280000}"/>
    <cellStyle name="Comma 2 3 25 4 2 2" xfId="10291" xr:uid="{00000000-0005-0000-0000-000030280000}"/>
    <cellStyle name="Comma 2 3 25 4 3" xfId="10292" xr:uid="{00000000-0005-0000-0000-000031280000}"/>
    <cellStyle name="Comma 2 3 25 4 4" xfId="10293" xr:uid="{00000000-0005-0000-0000-000032280000}"/>
    <cellStyle name="Comma 2 3 25 4 5" xfId="10294" xr:uid="{00000000-0005-0000-0000-000033280000}"/>
    <cellStyle name="Comma 2 3 25 5" xfId="10295" xr:uid="{00000000-0005-0000-0000-000034280000}"/>
    <cellStyle name="Comma 2 3 25 5 2" xfId="10296" xr:uid="{00000000-0005-0000-0000-000035280000}"/>
    <cellStyle name="Comma 2 3 25 5 3" xfId="10297" xr:uid="{00000000-0005-0000-0000-000036280000}"/>
    <cellStyle name="Comma 2 3 25 5 4" xfId="10298" xr:uid="{00000000-0005-0000-0000-000037280000}"/>
    <cellStyle name="Comma 2 3 25 6" xfId="10299" xr:uid="{00000000-0005-0000-0000-000038280000}"/>
    <cellStyle name="Comma 2 3 25 6 2" xfId="10300" xr:uid="{00000000-0005-0000-0000-000039280000}"/>
    <cellStyle name="Comma 2 3 25 7" xfId="10301" xr:uid="{00000000-0005-0000-0000-00003A280000}"/>
    <cellStyle name="Comma 2 3 25 8" xfId="10302" xr:uid="{00000000-0005-0000-0000-00003B280000}"/>
    <cellStyle name="Comma 2 3 25 9" xfId="10303" xr:uid="{00000000-0005-0000-0000-00003C280000}"/>
    <cellStyle name="Comma 2 3 26" xfId="10304" xr:uid="{00000000-0005-0000-0000-00003D280000}"/>
    <cellStyle name="Comma 2 3 26 10" xfId="10305" xr:uid="{00000000-0005-0000-0000-00003E280000}"/>
    <cellStyle name="Comma 2 3 26 2" xfId="10306" xr:uid="{00000000-0005-0000-0000-00003F280000}"/>
    <cellStyle name="Comma 2 3 26 2 2" xfId="10307" xr:uid="{00000000-0005-0000-0000-000040280000}"/>
    <cellStyle name="Comma 2 3 26 2 2 2" xfId="10308" xr:uid="{00000000-0005-0000-0000-000041280000}"/>
    <cellStyle name="Comma 2 3 26 2 2 3" xfId="10309" xr:uid="{00000000-0005-0000-0000-000042280000}"/>
    <cellStyle name="Comma 2 3 26 2 3" xfId="10310" xr:uid="{00000000-0005-0000-0000-000043280000}"/>
    <cellStyle name="Comma 2 3 26 2 4" xfId="10311" xr:uid="{00000000-0005-0000-0000-000044280000}"/>
    <cellStyle name="Comma 2 3 26 2 5" xfId="10312" xr:uid="{00000000-0005-0000-0000-000045280000}"/>
    <cellStyle name="Comma 2 3 26 2 6" xfId="10313" xr:uid="{00000000-0005-0000-0000-000046280000}"/>
    <cellStyle name="Comma 2 3 26 3" xfId="10314" xr:uid="{00000000-0005-0000-0000-000047280000}"/>
    <cellStyle name="Comma 2 3 26 3 2" xfId="10315" xr:uid="{00000000-0005-0000-0000-000048280000}"/>
    <cellStyle name="Comma 2 3 26 3 2 2" xfId="10316" xr:uid="{00000000-0005-0000-0000-000049280000}"/>
    <cellStyle name="Comma 2 3 26 3 2 3" xfId="10317" xr:uid="{00000000-0005-0000-0000-00004A280000}"/>
    <cellStyle name="Comma 2 3 26 3 3" xfId="10318" xr:uid="{00000000-0005-0000-0000-00004B280000}"/>
    <cellStyle name="Comma 2 3 26 3 4" xfId="10319" xr:uid="{00000000-0005-0000-0000-00004C280000}"/>
    <cellStyle name="Comma 2 3 26 3 5" xfId="10320" xr:uid="{00000000-0005-0000-0000-00004D280000}"/>
    <cellStyle name="Comma 2 3 26 3 6" xfId="10321" xr:uid="{00000000-0005-0000-0000-00004E280000}"/>
    <cellStyle name="Comma 2 3 26 4" xfId="10322" xr:uid="{00000000-0005-0000-0000-00004F280000}"/>
    <cellStyle name="Comma 2 3 26 4 2" xfId="10323" xr:uid="{00000000-0005-0000-0000-000050280000}"/>
    <cellStyle name="Comma 2 3 26 4 2 2" xfId="10324" xr:uid="{00000000-0005-0000-0000-000051280000}"/>
    <cellStyle name="Comma 2 3 26 4 3" xfId="10325" xr:uid="{00000000-0005-0000-0000-000052280000}"/>
    <cellStyle name="Comma 2 3 26 4 4" xfId="10326" xr:uid="{00000000-0005-0000-0000-000053280000}"/>
    <cellStyle name="Comma 2 3 26 4 5" xfId="10327" xr:uid="{00000000-0005-0000-0000-000054280000}"/>
    <cellStyle name="Comma 2 3 26 5" xfId="10328" xr:uid="{00000000-0005-0000-0000-000055280000}"/>
    <cellStyle name="Comma 2 3 26 5 2" xfId="10329" xr:uid="{00000000-0005-0000-0000-000056280000}"/>
    <cellStyle name="Comma 2 3 26 5 3" xfId="10330" xr:uid="{00000000-0005-0000-0000-000057280000}"/>
    <cellStyle name="Comma 2 3 26 5 4" xfId="10331" xr:uid="{00000000-0005-0000-0000-000058280000}"/>
    <cellStyle name="Comma 2 3 26 6" xfId="10332" xr:uid="{00000000-0005-0000-0000-000059280000}"/>
    <cellStyle name="Comma 2 3 26 6 2" xfId="10333" xr:uid="{00000000-0005-0000-0000-00005A280000}"/>
    <cellStyle name="Comma 2 3 26 7" xfId="10334" xr:uid="{00000000-0005-0000-0000-00005B280000}"/>
    <cellStyle name="Comma 2 3 26 8" xfId="10335" xr:uid="{00000000-0005-0000-0000-00005C280000}"/>
    <cellStyle name="Comma 2 3 26 9" xfId="10336" xr:uid="{00000000-0005-0000-0000-00005D280000}"/>
    <cellStyle name="Comma 2 3 27" xfId="10337" xr:uid="{00000000-0005-0000-0000-00005E280000}"/>
    <cellStyle name="Comma 2 3 27 10" xfId="10338" xr:uid="{00000000-0005-0000-0000-00005F280000}"/>
    <cellStyle name="Comma 2 3 27 2" xfId="10339" xr:uid="{00000000-0005-0000-0000-000060280000}"/>
    <cellStyle name="Comma 2 3 27 2 2" xfId="10340" xr:uid="{00000000-0005-0000-0000-000061280000}"/>
    <cellStyle name="Comma 2 3 27 2 2 2" xfId="10341" xr:uid="{00000000-0005-0000-0000-000062280000}"/>
    <cellStyle name="Comma 2 3 27 2 2 3" xfId="10342" xr:uid="{00000000-0005-0000-0000-000063280000}"/>
    <cellStyle name="Comma 2 3 27 2 3" xfId="10343" xr:uid="{00000000-0005-0000-0000-000064280000}"/>
    <cellStyle name="Comma 2 3 27 2 4" xfId="10344" xr:uid="{00000000-0005-0000-0000-000065280000}"/>
    <cellStyle name="Comma 2 3 27 2 5" xfId="10345" xr:uid="{00000000-0005-0000-0000-000066280000}"/>
    <cellStyle name="Comma 2 3 27 2 6" xfId="10346" xr:uid="{00000000-0005-0000-0000-000067280000}"/>
    <cellStyle name="Comma 2 3 27 3" xfId="10347" xr:uid="{00000000-0005-0000-0000-000068280000}"/>
    <cellStyle name="Comma 2 3 27 3 2" xfId="10348" xr:uid="{00000000-0005-0000-0000-000069280000}"/>
    <cellStyle name="Comma 2 3 27 3 2 2" xfId="10349" xr:uid="{00000000-0005-0000-0000-00006A280000}"/>
    <cellStyle name="Comma 2 3 27 3 2 3" xfId="10350" xr:uid="{00000000-0005-0000-0000-00006B280000}"/>
    <cellStyle name="Comma 2 3 27 3 3" xfId="10351" xr:uid="{00000000-0005-0000-0000-00006C280000}"/>
    <cellStyle name="Comma 2 3 27 3 4" xfId="10352" xr:uid="{00000000-0005-0000-0000-00006D280000}"/>
    <cellStyle name="Comma 2 3 27 3 5" xfId="10353" xr:uid="{00000000-0005-0000-0000-00006E280000}"/>
    <cellStyle name="Comma 2 3 27 3 6" xfId="10354" xr:uid="{00000000-0005-0000-0000-00006F280000}"/>
    <cellStyle name="Comma 2 3 27 4" xfId="10355" xr:uid="{00000000-0005-0000-0000-000070280000}"/>
    <cellStyle name="Comma 2 3 27 4 2" xfId="10356" xr:uid="{00000000-0005-0000-0000-000071280000}"/>
    <cellStyle name="Comma 2 3 27 4 2 2" xfId="10357" xr:uid="{00000000-0005-0000-0000-000072280000}"/>
    <cellStyle name="Comma 2 3 27 4 3" xfId="10358" xr:uid="{00000000-0005-0000-0000-000073280000}"/>
    <cellStyle name="Comma 2 3 27 4 4" xfId="10359" xr:uid="{00000000-0005-0000-0000-000074280000}"/>
    <cellStyle name="Comma 2 3 27 4 5" xfId="10360" xr:uid="{00000000-0005-0000-0000-000075280000}"/>
    <cellStyle name="Comma 2 3 27 5" xfId="10361" xr:uid="{00000000-0005-0000-0000-000076280000}"/>
    <cellStyle name="Comma 2 3 27 5 2" xfId="10362" xr:uid="{00000000-0005-0000-0000-000077280000}"/>
    <cellStyle name="Comma 2 3 27 5 3" xfId="10363" xr:uid="{00000000-0005-0000-0000-000078280000}"/>
    <cellStyle name="Comma 2 3 27 5 4" xfId="10364" xr:uid="{00000000-0005-0000-0000-000079280000}"/>
    <cellStyle name="Comma 2 3 27 6" xfId="10365" xr:uid="{00000000-0005-0000-0000-00007A280000}"/>
    <cellStyle name="Comma 2 3 27 6 2" xfId="10366" xr:uid="{00000000-0005-0000-0000-00007B280000}"/>
    <cellStyle name="Comma 2 3 27 7" xfId="10367" xr:uid="{00000000-0005-0000-0000-00007C280000}"/>
    <cellStyle name="Comma 2 3 27 8" xfId="10368" xr:uid="{00000000-0005-0000-0000-00007D280000}"/>
    <cellStyle name="Comma 2 3 27 9" xfId="10369" xr:uid="{00000000-0005-0000-0000-00007E280000}"/>
    <cellStyle name="Comma 2 3 28" xfId="10370" xr:uid="{00000000-0005-0000-0000-00007F280000}"/>
    <cellStyle name="Comma 2 3 28 10" xfId="10371" xr:uid="{00000000-0005-0000-0000-000080280000}"/>
    <cellStyle name="Comma 2 3 28 2" xfId="10372" xr:uid="{00000000-0005-0000-0000-000081280000}"/>
    <cellStyle name="Comma 2 3 28 2 2" xfId="10373" xr:uid="{00000000-0005-0000-0000-000082280000}"/>
    <cellStyle name="Comma 2 3 28 2 2 2" xfId="10374" xr:uid="{00000000-0005-0000-0000-000083280000}"/>
    <cellStyle name="Comma 2 3 28 2 2 3" xfId="10375" xr:uid="{00000000-0005-0000-0000-000084280000}"/>
    <cellStyle name="Comma 2 3 28 2 3" xfId="10376" xr:uid="{00000000-0005-0000-0000-000085280000}"/>
    <cellStyle name="Comma 2 3 28 2 4" xfId="10377" xr:uid="{00000000-0005-0000-0000-000086280000}"/>
    <cellStyle name="Comma 2 3 28 2 5" xfId="10378" xr:uid="{00000000-0005-0000-0000-000087280000}"/>
    <cellStyle name="Comma 2 3 28 2 6" xfId="10379" xr:uid="{00000000-0005-0000-0000-000088280000}"/>
    <cellStyle name="Comma 2 3 28 3" xfId="10380" xr:uid="{00000000-0005-0000-0000-000089280000}"/>
    <cellStyle name="Comma 2 3 28 3 2" xfId="10381" xr:uid="{00000000-0005-0000-0000-00008A280000}"/>
    <cellStyle name="Comma 2 3 28 3 2 2" xfId="10382" xr:uid="{00000000-0005-0000-0000-00008B280000}"/>
    <cellStyle name="Comma 2 3 28 3 2 3" xfId="10383" xr:uid="{00000000-0005-0000-0000-00008C280000}"/>
    <cellStyle name="Comma 2 3 28 3 3" xfId="10384" xr:uid="{00000000-0005-0000-0000-00008D280000}"/>
    <cellStyle name="Comma 2 3 28 3 4" xfId="10385" xr:uid="{00000000-0005-0000-0000-00008E280000}"/>
    <cellStyle name="Comma 2 3 28 3 5" xfId="10386" xr:uid="{00000000-0005-0000-0000-00008F280000}"/>
    <cellStyle name="Comma 2 3 28 3 6" xfId="10387" xr:uid="{00000000-0005-0000-0000-000090280000}"/>
    <cellStyle name="Comma 2 3 28 4" xfId="10388" xr:uid="{00000000-0005-0000-0000-000091280000}"/>
    <cellStyle name="Comma 2 3 28 4 2" xfId="10389" xr:uid="{00000000-0005-0000-0000-000092280000}"/>
    <cellStyle name="Comma 2 3 28 4 2 2" xfId="10390" xr:uid="{00000000-0005-0000-0000-000093280000}"/>
    <cellStyle name="Comma 2 3 28 4 3" xfId="10391" xr:uid="{00000000-0005-0000-0000-000094280000}"/>
    <cellStyle name="Comma 2 3 28 4 4" xfId="10392" xr:uid="{00000000-0005-0000-0000-000095280000}"/>
    <cellStyle name="Comma 2 3 28 4 5" xfId="10393" xr:uid="{00000000-0005-0000-0000-000096280000}"/>
    <cellStyle name="Comma 2 3 28 5" xfId="10394" xr:uid="{00000000-0005-0000-0000-000097280000}"/>
    <cellStyle name="Comma 2 3 28 5 2" xfId="10395" xr:uid="{00000000-0005-0000-0000-000098280000}"/>
    <cellStyle name="Comma 2 3 28 5 3" xfId="10396" xr:uid="{00000000-0005-0000-0000-000099280000}"/>
    <cellStyle name="Comma 2 3 28 5 4" xfId="10397" xr:uid="{00000000-0005-0000-0000-00009A280000}"/>
    <cellStyle name="Comma 2 3 28 6" xfId="10398" xr:uid="{00000000-0005-0000-0000-00009B280000}"/>
    <cellStyle name="Comma 2 3 28 6 2" xfId="10399" xr:uid="{00000000-0005-0000-0000-00009C280000}"/>
    <cellStyle name="Comma 2 3 28 7" xfId="10400" xr:uid="{00000000-0005-0000-0000-00009D280000}"/>
    <cellStyle name="Comma 2 3 28 8" xfId="10401" xr:uid="{00000000-0005-0000-0000-00009E280000}"/>
    <cellStyle name="Comma 2 3 28 9" xfId="10402" xr:uid="{00000000-0005-0000-0000-00009F280000}"/>
    <cellStyle name="Comma 2 3 29" xfId="10403" xr:uid="{00000000-0005-0000-0000-0000A0280000}"/>
    <cellStyle name="Comma 2 3 29 2" xfId="10404" xr:uid="{00000000-0005-0000-0000-0000A1280000}"/>
    <cellStyle name="Comma 2 3 29 2 2" xfId="10405" xr:uid="{00000000-0005-0000-0000-0000A2280000}"/>
    <cellStyle name="Comma 2 3 29 2 2 2" xfId="10406" xr:uid="{00000000-0005-0000-0000-0000A3280000}"/>
    <cellStyle name="Comma 2 3 29 2 2 3" xfId="10407" xr:uid="{00000000-0005-0000-0000-0000A4280000}"/>
    <cellStyle name="Comma 2 3 29 2 3" xfId="10408" xr:uid="{00000000-0005-0000-0000-0000A5280000}"/>
    <cellStyle name="Comma 2 3 29 2 4" xfId="10409" xr:uid="{00000000-0005-0000-0000-0000A6280000}"/>
    <cellStyle name="Comma 2 3 29 2 5" xfId="10410" xr:uid="{00000000-0005-0000-0000-0000A7280000}"/>
    <cellStyle name="Comma 2 3 29 2 6" xfId="10411" xr:uid="{00000000-0005-0000-0000-0000A8280000}"/>
    <cellStyle name="Comma 2 3 29 3" xfId="10412" xr:uid="{00000000-0005-0000-0000-0000A9280000}"/>
    <cellStyle name="Comma 2 3 29 3 2" xfId="10413" xr:uid="{00000000-0005-0000-0000-0000AA280000}"/>
    <cellStyle name="Comma 2 3 29 3 2 2" xfId="10414" xr:uid="{00000000-0005-0000-0000-0000AB280000}"/>
    <cellStyle name="Comma 2 3 29 3 3" xfId="10415" xr:uid="{00000000-0005-0000-0000-0000AC280000}"/>
    <cellStyle name="Comma 2 3 29 3 4" xfId="10416" xr:uid="{00000000-0005-0000-0000-0000AD280000}"/>
    <cellStyle name="Comma 2 3 29 3 5" xfId="10417" xr:uid="{00000000-0005-0000-0000-0000AE280000}"/>
    <cellStyle name="Comma 2 3 29 4" xfId="10418" xr:uid="{00000000-0005-0000-0000-0000AF280000}"/>
    <cellStyle name="Comma 2 3 29 4 2" xfId="10419" xr:uid="{00000000-0005-0000-0000-0000B0280000}"/>
    <cellStyle name="Comma 2 3 29 4 3" xfId="10420" xr:uid="{00000000-0005-0000-0000-0000B1280000}"/>
    <cellStyle name="Comma 2 3 29 4 4" xfId="10421" xr:uid="{00000000-0005-0000-0000-0000B2280000}"/>
    <cellStyle name="Comma 2 3 29 5" xfId="10422" xr:uid="{00000000-0005-0000-0000-0000B3280000}"/>
    <cellStyle name="Comma 2 3 29 5 2" xfId="10423" xr:uid="{00000000-0005-0000-0000-0000B4280000}"/>
    <cellStyle name="Comma 2 3 29 6" xfId="10424" xr:uid="{00000000-0005-0000-0000-0000B5280000}"/>
    <cellStyle name="Comma 2 3 29 7" xfId="10425" xr:uid="{00000000-0005-0000-0000-0000B6280000}"/>
    <cellStyle name="Comma 2 3 29 8" xfId="10426" xr:uid="{00000000-0005-0000-0000-0000B7280000}"/>
    <cellStyle name="Comma 2 3 29 9" xfId="10427" xr:uid="{00000000-0005-0000-0000-0000B8280000}"/>
    <cellStyle name="Comma 2 3 3" xfId="10428" xr:uid="{00000000-0005-0000-0000-0000B9280000}"/>
    <cellStyle name="Comma 2 3 3 10" xfId="10429" xr:uid="{00000000-0005-0000-0000-0000BA280000}"/>
    <cellStyle name="Comma 2 3 3 10 10" xfId="10430" xr:uid="{00000000-0005-0000-0000-0000BB280000}"/>
    <cellStyle name="Comma 2 3 3 10 2" xfId="10431" xr:uid="{00000000-0005-0000-0000-0000BC280000}"/>
    <cellStyle name="Comma 2 3 3 10 2 2" xfId="10432" xr:uid="{00000000-0005-0000-0000-0000BD280000}"/>
    <cellStyle name="Comma 2 3 3 10 2 2 2" xfId="10433" xr:uid="{00000000-0005-0000-0000-0000BE280000}"/>
    <cellStyle name="Comma 2 3 3 10 2 2 3" xfId="10434" xr:uid="{00000000-0005-0000-0000-0000BF280000}"/>
    <cellStyle name="Comma 2 3 3 10 2 3" xfId="10435" xr:uid="{00000000-0005-0000-0000-0000C0280000}"/>
    <cellStyle name="Comma 2 3 3 10 2 4" xfId="10436" xr:uid="{00000000-0005-0000-0000-0000C1280000}"/>
    <cellStyle name="Comma 2 3 3 10 2 5" xfId="10437" xr:uid="{00000000-0005-0000-0000-0000C2280000}"/>
    <cellStyle name="Comma 2 3 3 10 2 6" xfId="10438" xr:uid="{00000000-0005-0000-0000-0000C3280000}"/>
    <cellStyle name="Comma 2 3 3 10 3" xfId="10439" xr:uid="{00000000-0005-0000-0000-0000C4280000}"/>
    <cellStyle name="Comma 2 3 3 10 3 2" xfId="10440" xr:uid="{00000000-0005-0000-0000-0000C5280000}"/>
    <cellStyle name="Comma 2 3 3 10 3 2 2" xfId="10441" xr:uid="{00000000-0005-0000-0000-0000C6280000}"/>
    <cellStyle name="Comma 2 3 3 10 3 2 3" xfId="10442" xr:uid="{00000000-0005-0000-0000-0000C7280000}"/>
    <cellStyle name="Comma 2 3 3 10 3 3" xfId="10443" xr:uid="{00000000-0005-0000-0000-0000C8280000}"/>
    <cellStyle name="Comma 2 3 3 10 3 4" xfId="10444" xr:uid="{00000000-0005-0000-0000-0000C9280000}"/>
    <cellStyle name="Comma 2 3 3 10 3 5" xfId="10445" xr:uid="{00000000-0005-0000-0000-0000CA280000}"/>
    <cellStyle name="Comma 2 3 3 10 3 6" xfId="10446" xr:uid="{00000000-0005-0000-0000-0000CB280000}"/>
    <cellStyle name="Comma 2 3 3 10 4" xfId="10447" xr:uid="{00000000-0005-0000-0000-0000CC280000}"/>
    <cellStyle name="Comma 2 3 3 10 4 2" xfId="10448" xr:uid="{00000000-0005-0000-0000-0000CD280000}"/>
    <cellStyle name="Comma 2 3 3 10 4 2 2" xfId="10449" xr:uid="{00000000-0005-0000-0000-0000CE280000}"/>
    <cellStyle name="Comma 2 3 3 10 4 3" xfId="10450" xr:uid="{00000000-0005-0000-0000-0000CF280000}"/>
    <cellStyle name="Comma 2 3 3 10 4 4" xfId="10451" xr:uid="{00000000-0005-0000-0000-0000D0280000}"/>
    <cellStyle name="Comma 2 3 3 10 4 5" xfId="10452" xr:uid="{00000000-0005-0000-0000-0000D1280000}"/>
    <cellStyle name="Comma 2 3 3 10 5" xfId="10453" xr:uid="{00000000-0005-0000-0000-0000D2280000}"/>
    <cellStyle name="Comma 2 3 3 10 5 2" xfId="10454" xr:uid="{00000000-0005-0000-0000-0000D3280000}"/>
    <cellStyle name="Comma 2 3 3 10 5 3" xfId="10455" xr:uid="{00000000-0005-0000-0000-0000D4280000}"/>
    <cellStyle name="Comma 2 3 3 10 5 4" xfId="10456" xr:uid="{00000000-0005-0000-0000-0000D5280000}"/>
    <cellStyle name="Comma 2 3 3 10 6" xfId="10457" xr:uid="{00000000-0005-0000-0000-0000D6280000}"/>
    <cellStyle name="Comma 2 3 3 10 6 2" xfId="10458" xr:uid="{00000000-0005-0000-0000-0000D7280000}"/>
    <cellStyle name="Comma 2 3 3 10 7" xfId="10459" xr:uid="{00000000-0005-0000-0000-0000D8280000}"/>
    <cellStyle name="Comma 2 3 3 10 8" xfId="10460" xr:uid="{00000000-0005-0000-0000-0000D9280000}"/>
    <cellStyle name="Comma 2 3 3 10 9" xfId="10461" xr:uid="{00000000-0005-0000-0000-0000DA280000}"/>
    <cellStyle name="Comma 2 3 3 11" xfId="10462" xr:uid="{00000000-0005-0000-0000-0000DB280000}"/>
    <cellStyle name="Comma 2 3 3 11 10" xfId="10463" xr:uid="{00000000-0005-0000-0000-0000DC280000}"/>
    <cellStyle name="Comma 2 3 3 11 2" xfId="10464" xr:uid="{00000000-0005-0000-0000-0000DD280000}"/>
    <cellStyle name="Comma 2 3 3 11 2 2" xfId="10465" xr:uid="{00000000-0005-0000-0000-0000DE280000}"/>
    <cellStyle name="Comma 2 3 3 11 2 2 2" xfId="10466" xr:uid="{00000000-0005-0000-0000-0000DF280000}"/>
    <cellStyle name="Comma 2 3 3 11 2 2 3" xfId="10467" xr:uid="{00000000-0005-0000-0000-0000E0280000}"/>
    <cellStyle name="Comma 2 3 3 11 2 3" xfId="10468" xr:uid="{00000000-0005-0000-0000-0000E1280000}"/>
    <cellStyle name="Comma 2 3 3 11 2 4" xfId="10469" xr:uid="{00000000-0005-0000-0000-0000E2280000}"/>
    <cellStyle name="Comma 2 3 3 11 2 5" xfId="10470" xr:uid="{00000000-0005-0000-0000-0000E3280000}"/>
    <cellStyle name="Comma 2 3 3 11 2 6" xfId="10471" xr:uid="{00000000-0005-0000-0000-0000E4280000}"/>
    <cellStyle name="Comma 2 3 3 11 3" xfId="10472" xr:uid="{00000000-0005-0000-0000-0000E5280000}"/>
    <cellStyle name="Comma 2 3 3 11 3 2" xfId="10473" xr:uid="{00000000-0005-0000-0000-0000E6280000}"/>
    <cellStyle name="Comma 2 3 3 11 3 2 2" xfId="10474" xr:uid="{00000000-0005-0000-0000-0000E7280000}"/>
    <cellStyle name="Comma 2 3 3 11 3 2 3" xfId="10475" xr:uid="{00000000-0005-0000-0000-0000E8280000}"/>
    <cellStyle name="Comma 2 3 3 11 3 3" xfId="10476" xr:uid="{00000000-0005-0000-0000-0000E9280000}"/>
    <cellStyle name="Comma 2 3 3 11 3 4" xfId="10477" xr:uid="{00000000-0005-0000-0000-0000EA280000}"/>
    <cellStyle name="Comma 2 3 3 11 3 5" xfId="10478" xr:uid="{00000000-0005-0000-0000-0000EB280000}"/>
    <cellStyle name="Comma 2 3 3 11 3 6" xfId="10479" xr:uid="{00000000-0005-0000-0000-0000EC280000}"/>
    <cellStyle name="Comma 2 3 3 11 4" xfId="10480" xr:uid="{00000000-0005-0000-0000-0000ED280000}"/>
    <cellStyle name="Comma 2 3 3 11 4 2" xfId="10481" xr:uid="{00000000-0005-0000-0000-0000EE280000}"/>
    <cellStyle name="Comma 2 3 3 11 4 2 2" xfId="10482" xr:uid="{00000000-0005-0000-0000-0000EF280000}"/>
    <cellStyle name="Comma 2 3 3 11 4 3" xfId="10483" xr:uid="{00000000-0005-0000-0000-0000F0280000}"/>
    <cellStyle name="Comma 2 3 3 11 4 4" xfId="10484" xr:uid="{00000000-0005-0000-0000-0000F1280000}"/>
    <cellStyle name="Comma 2 3 3 11 4 5" xfId="10485" xr:uid="{00000000-0005-0000-0000-0000F2280000}"/>
    <cellStyle name="Comma 2 3 3 11 5" xfId="10486" xr:uid="{00000000-0005-0000-0000-0000F3280000}"/>
    <cellStyle name="Comma 2 3 3 11 5 2" xfId="10487" xr:uid="{00000000-0005-0000-0000-0000F4280000}"/>
    <cellStyle name="Comma 2 3 3 11 5 3" xfId="10488" xr:uid="{00000000-0005-0000-0000-0000F5280000}"/>
    <cellStyle name="Comma 2 3 3 11 5 4" xfId="10489" xr:uid="{00000000-0005-0000-0000-0000F6280000}"/>
    <cellStyle name="Comma 2 3 3 11 6" xfId="10490" xr:uid="{00000000-0005-0000-0000-0000F7280000}"/>
    <cellStyle name="Comma 2 3 3 11 6 2" xfId="10491" xr:uid="{00000000-0005-0000-0000-0000F8280000}"/>
    <cellStyle name="Comma 2 3 3 11 7" xfId="10492" xr:uid="{00000000-0005-0000-0000-0000F9280000}"/>
    <cellStyle name="Comma 2 3 3 11 8" xfId="10493" xr:uid="{00000000-0005-0000-0000-0000FA280000}"/>
    <cellStyle name="Comma 2 3 3 11 9" xfId="10494" xr:uid="{00000000-0005-0000-0000-0000FB280000}"/>
    <cellStyle name="Comma 2 3 3 12" xfId="10495" xr:uid="{00000000-0005-0000-0000-0000FC280000}"/>
    <cellStyle name="Comma 2 3 3 12 10" xfId="10496" xr:uid="{00000000-0005-0000-0000-0000FD280000}"/>
    <cellStyle name="Comma 2 3 3 12 2" xfId="10497" xr:uid="{00000000-0005-0000-0000-0000FE280000}"/>
    <cellStyle name="Comma 2 3 3 12 2 2" xfId="10498" xr:uid="{00000000-0005-0000-0000-0000FF280000}"/>
    <cellStyle name="Comma 2 3 3 12 2 2 2" xfId="10499" xr:uid="{00000000-0005-0000-0000-000000290000}"/>
    <cellStyle name="Comma 2 3 3 12 2 2 3" xfId="10500" xr:uid="{00000000-0005-0000-0000-000001290000}"/>
    <cellStyle name="Comma 2 3 3 12 2 3" xfId="10501" xr:uid="{00000000-0005-0000-0000-000002290000}"/>
    <cellStyle name="Comma 2 3 3 12 2 4" xfId="10502" xr:uid="{00000000-0005-0000-0000-000003290000}"/>
    <cellStyle name="Comma 2 3 3 12 2 5" xfId="10503" xr:uid="{00000000-0005-0000-0000-000004290000}"/>
    <cellStyle name="Comma 2 3 3 12 2 6" xfId="10504" xr:uid="{00000000-0005-0000-0000-000005290000}"/>
    <cellStyle name="Comma 2 3 3 12 3" xfId="10505" xr:uid="{00000000-0005-0000-0000-000006290000}"/>
    <cellStyle name="Comma 2 3 3 12 3 2" xfId="10506" xr:uid="{00000000-0005-0000-0000-000007290000}"/>
    <cellStyle name="Comma 2 3 3 12 3 2 2" xfId="10507" xr:uid="{00000000-0005-0000-0000-000008290000}"/>
    <cellStyle name="Comma 2 3 3 12 3 2 3" xfId="10508" xr:uid="{00000000-0005-0000-0000-000009290000}"/>
    <cellStyle name="Comma 2 3 3 12 3 3" xfId="10509" xr:uid="{00000000-0005-0000-0000-00000A290000}"/>
    <cellStyle name="Comma 2 3 3 12 3 4" xfId="10510" xr:uid="{00000000-0005-0000-0000-00000B290000}"/>
    <cellStyle name="Comma 2 3 3 12 3 5" xfId="10511" xr:uid="{00000000-0005-0000-0000-00000C290000}"/>
    <cellStyle name="Comma 2 3 3 12 3 6" xfId="10512" xr:uid="{00000000-0005-0000-0000-00000D290000}"/>
    <cellStyle name="Comma 2 3 3 12 4" xfId="10513" xr:uid="{00000000-0005-0000-0000-00000E290000}"/>
    <cellStyle name="Comma 2 3 3 12 4 2" xfId="10514" xr:uid="{00000000-0005-0000-0000-00000F290000}"/>
    <cellStyle name="Comma 2 3 3 12 4 2 2" xfId="10515" xr:uid="{00000000-0005-0000-0000-000010290000}"/>
    <cellStyle name="Comma 2 3 3 12 4 3" xfId="10516" xr:uid="{00000000-0005-0000-0000-000011290000}"/>
    <cellStyle name="Comma 2 3 3 12 4 4" xfId="10517" xr:uid="{00000000-0005-0000-0000-000012290000}"/>
    <cellStyle name="Comma 2 3 3 12 4 5" xfId="10518" xr:uid="{00000000-0005-0000-0000-000013290000}"/>
    <cellStyle name="Comma 2 3 3 12 5" xfId="10519" xr:uid="{00000000-0005-0000-0000-000014290000}"/>
    <cellStyle name="Comma 2 3 3 12 5 2" xfId="10520" xr:uid="{00000000-0005-0000-0000-000015290000}"/>
    <cellStyle name="Comma 2 3 3 12 5 3" xfId="10521" xr:uid="{00000000-0005-0000-0000-000016290000}"/>
    <cellStyle name="Comma 2 3 3 12 5 4" xfId="10522" xr:uid="{00000000-0005-0000-0000-000017290000}"/>
    <cellStyle name="Comma 2 3 3 12 6" xfId="10523" xr:uid="{00000000-0005-0000-0000-000018290000}"/>
    <cellStyle name="Comma 2 3 3 12 6 2" xfId="10524" xr:uid="{00000000-0005-0000-0000-000019290000}"/>
    <cellStyle name="Comma 2 3 3 12 7" xfId="10525" xr:uid="{00000000-0005-0000-0000-00001A290000}"/>
    <cellStyle name="Comma 2 3 3 12 8" xfId="10526" xr:uid="{00000000-0005-0000-0000-00001B290000}"/>
    <cellStyle name="Comma 2 3 3 12 9" xfId="10527" xr:uid="{00000000-0005-0000-0000-00001C290000}"/>
    <cellStyle name="Comma 2 3 3 13" xfId="10528" xr:uid="{00000000-0005-0000-0000-00001D290000}"/>
    <cellStyle name="Comma 2 3 3 13 2" xfId="10529" xr:uid="{00000000-0005-0000-0000-00001E290000}"/>
    <cellStyle name="Comma 2 3 3 13 2 2" xfId="10530" xr:uid="{00000000-0005-0000-0000-00001F290000}"/>
    <cellStyle name="Comma 2 3 3 13 2 2 2" xfId="10531" xr:uid="{00000000-0005-0000-0000-000020290000}"/>
    <cellStyle name="Comma 2 3 3 13 2 2 3" xfId="10532" xr:uid="{00000000-0005-0000-0000-000021290000}"/>
    <cellStyle name="Comma 2 3 3 13 2 3" xfId="10533" xr:uid="{00000000-0005-0000-0000-000022290000}"/>
    <cellStyle name="Comma 2 3 3 13 2 4" xfId="10534" xr:uid="{00000000-0005-0000-0000-000023290000}"/>
    <cellStyle name="Comma 2 3 3 13 2 5" xfId="10535" xr:uid="{00000000-0005-0000-0000-000024290000}"/>
    <cellStyle name="Comma 2 3 3 13 2 6" xfId="10536" xr:uid="{00000000-0005-0000-0000-000025290000}"/>
    <cellStyle name="Comma 2 3 3 13 3" xfId="10537" xr:uid="{00000000-0005-0000-0000-000026290000}"/>
    <cellStyle name="Comma 2 3 3 13 3 2" xfId="10538" xr:uid="{00000000-0005-0000-0000-000027290000}"/>
    <cellStyle name="Comma 2 3 3 13 3 2 2" xfId="10539" xr:uid="{00000000-0005-0000-0000-000028290000}"/>
    <cellStyle name="Comma 2 3 3 13 3 3" xfId="10540" xr:uid="{00000000-0005-0000-0000-000029290000}"/>
    <cellStyle name="Comma 2 3 3 13 3 4" xfId="10541" xr:uid="{00000000-0005-0000-0000-00002A290000}"/>
    <cellStyle name="Comma 2 3 3 13 3 5" xfId="10542" xr:uid="{00000000-0005-0000-0000-00002B290000}"/>
    <cellStyle name="Comma 2 3 3 13 4" xfId="10543" xr:uid="{00000000-0005-0000-0000-00002C290000}"/>
    <cellStyle name="Comma 2 3 3 13 4 2" xfId="10544" xr:uid="{00000000-0005-0000-0000-00002D290000}"/>
    <cellStyle name="Comma 2 3 3 13 4 3" xfId="10545" xr:uid="{00000000-0005-0000-0000-00002E290000}"/>
    <cellStyle name="Comma 2 3 3 13 4 4" xfId="10546" xr:uid="{00000000-0005-0000-0000-00002F290000}"/>
    <cellStyle name="Comma 2 3 3 13 5" xfId="10547" xr:uid="{00000000-0005-0000-0000-000030290000}"/>
    <cellStyle name="Comma 2 3 3 13 5 2" xfId="10548" xr:uid="{00000000-0005-0000-0000-000031290000}"/>
    <cellStyle name="Comma 2 3 3 13 6" xfId="10549" xr:uid="{00000000-0005-0000-0000-000032290000}"/>
    <cellStyle name="Comma 2 3 3 13 7" xfId="10550" xr:uid="{00000000-0005-0000-0000-000033290000}"/>
    <cellStyle name="Comma 2 3 3 13 8" xfId="10551" xr:uid="{00000000-0005-0000-0000-000034290000}"/>
    <cellStyle name="Comma 2 3 3 13 9" xfId="10552" xr:uid="{00000000-0005-0000-0000-000035290000}"/>
    <cellStyle name="Comma 2 3 3 14" xfId="10553" xr:uid="{00000000-0005-0000-0000-000036290000}"/>
    <cellStyle name="Comma 2 3 3 14 2" xfId="10554" xr:uid="{00000000-0005-0000-0000-000037290000}"/>
    <cellStyle name="Comma 2 3 3 14 2 2" xfId="10555" xr:uid="{00000000-0005-0000-0000-000038290000}"/>
    <cellStyle name="Comma 2 3 3 14 2 2 2" xfId="10556" xr:uid="{00000000-0005-0000-0000-000039290000}"/>
    <cellStyle name="Comma 2 3 3 14 2 2 3" xfId="10557" xr:uid="{00000000-0005-0000-0000-00003A290000}"/>
    <cellStyle name="Comma 2 3 3 14 2 3" xfId="10558" xr:uid="{00000000-0005-0000-0000-00003B290000}"/>
    <cellStyle name="Comma 2 3 3 14 2 4" xfId="10559" xr:uid="{00000000-0005-0000-0000-00003C290000}"/>
    <cellStyle name="Comma 2 3 3 14 2 5" xfId="10560" xr:uid="{00000000-0005-0000-0000-00003D290000}"/>
    <cellStyle name="Comma 2 3 3 14 2 6" xfId="10561" xr:uid="{00000000-0005-0000-0000-00003E290000}"/>
    <cellStyle name="Comma 2 3 3 14 3" xfId="10562" xr:uid="{00000000-0005-0000-0000-00003F290000}"/>
    <cellStyle name="Comma 2 3 3 14 3 2" xfId="10563" xr:uid="{00000000-0005-0000-0000-000040290000}"/>
    <cellStyle name="Comma 2 3 3 14 3 2 2" xfId="10564" xr:uid="{00000000-0005-0000-0000-000041290000}"/>
    <cellStyle name="Comma 2 3 3 14 3 3" xfId="10565" xr:uid="{00000000-0005-0000-0000-000042290000}"/>
    <cellStyle name="Comma 2 3 3 14 3 4" xfId="10566" xr:uid="{00000000-0005-0000-0000-000043290000}"/>
    <cellStyle name="Comma 2 3 3 14 3 5" xfId="10567" xr:uid="{00000000-0005-0000-0000-000044290000}"/>
    <cellStyle name="Comma 2 3 3 14 4" xfId="10568" xr:uid="{00000000-0005-0000-0000-000045290000}"/>
    <cellStyle name="Comma 2 3 3 14 4 2" xfId="10569" xr:uid="{00000000-0005-0000-0000-000046290000}"/>
    <cellStyle name="Comma 2 3 3 14 4 3" xfId="10570" xr:uid="{00000000-0005-0000-0000-000047290000}"/>
    <cellStyle name="Comma 2 3 3 14 4 4" xfId="10571" xr:uid="{00000000-0005-0000-0000-000048290000}"/>
    <cellStyle name="Comma 2 3 3 14 5" xfId="10572" xr:uid="{00000000-0005-0000-0000-000049290000}"/>
    <cellStyle name="Comma 2 3 3 14 5 2" xfId="10573" xr:uid="{00000000-0005-0000-0000-00004A290000}"/>
    <cellStyle name="Comma 2 3 3 14 6" xfId="10574" xr:uid="{00000000-0005-0000-0000-00004B290000}"/>
    <cellStyle name="Comma 2 3 3 14 7" xfId="10575" xr:uid="{00000000-0005-0000-0000-00004C290000}"/>
    <cellStyle name="Comma 2 3 3 14 8" xfId="10576" xr:uid="{00000000-0005-0000-0000-00004D290000}"/>
    <cellStyle name="Comma 2 3 3 14 9" xfId="10577" xr:uid="{00000000-0005-0000-0000-00004E290000}"/>
    <cellStyle name="Comma 2 3 3 15" xfId="10578" xr:uid="{00000000-0005-0000-0000-00004F290000}"/>
    <cellStyle name="Comma 2 3 3 15 2" xfId="10579" xr:uid="{00000000-0005-0000-0000-000050290000}"/>
    <cellStyle name="Comma 2 3 3 15 2 2" xfId="10580" xr:uid="{00000000-0005-0000-0000-000051290000}"/>
    <cellStyle name="Comma 2 3 3 15 2 3" xfId="10581" xr:uid="{00000000-0005-0000-0000-000052290000}"/>
    <cellStyle name="Comma 2 3 3 15 3" xfId="10582" xr:uid="{00000000-0005-0000-0000-000053290000}"/>
    <cellStyle name="Comma 2 3 3 15 4" xfId="10583" xr:uid="{00000000-0005-0000-0000-000054290000}"/>
    <cellStyle name="Comma 2 3 3 15 5" xfId="10584" xr:uid="{00000000-0005-0000-0000-000055290000}"/>
    <cellStyle name="Comma 2 3 3 15 6" xfId="10585" xr:uid="{00000000-0005-0000-0000-000056290000}"/>
    <cellStyle name="Comma 2 3 3 16" xfId="10586" xr:uid="{00000000-0005-0000-0000-000057290000}"/>
    <cellStyle name="Comma 2 3 3 16 2" xfId="10587" xr:uid="{00000000-0005-0000-0000-000058290000}"/>
    <cellStyle name="Comma 2 3 3 16 2 2" xfId="10588" xr:uid="{00000000-0005-0000-0000-000059290000}"/>
    <cellStyle name="Comma 2 3 3 16 3" xfId="10589" xr:uid="{00000000-0005-0000-0000-00005A290000}"/>
    <cellStyle name="Comma 2 3 3 16 4" xfId="10590" xr:uid="{00000000-0005-0000-0000-00005B290000}"/>
    <cellStyle name="Comma 2 3 3 16 5" xfId="10591" xr:uid="{00000000-0005-0000-0000-00005C290000}"/>
    <cellStyle name="Comma 2 3 3 17" xfId="10592" xr:uid="{00000000-0005-0000-0000-00005D290000}"/>
    <cellStyle name="Comma 2 3 3 17 2" xfId="10593" xr:uid="{00000000-0005-0000-0000-00005E290000}"/>
    <cellStyle name="Comma 2 3 3 17 2 2" xfId="10594" xr:uid="{00000000-0005-0000-0000-00005F290000}"/>
    <cellStyle name="Comma 2 3 3 17 3" xfId="10595" xr:uid="{00000000-0005-0000-0000-000060290000}"/>
    <cellStyle name="Comma 2 3 3 17 4" xfId="10596" xr:uid="{00000000-0005-0000-0000-000061290000}"/>
    <cellStyle name="Comma 2 3 3 17 5" xfId="10597" xr:uid="{00000000-0005-0000-0000-000062290000}"/>
    <cellStyle name="Comma 2 3 3 18" xfId="10598" xr:uid="{00000000-0005-0000-0000-000063290000}"/>
    <cellStyle name="Comma 2 3 3 18 2" xfId="10599" xr:uid="{00000000-0005-0000-0000-000064290000}"/>
    <cellStyle name="Comma 2 3 3 19" xfId="10600" xr:uid="{00000000-0005-0000-0000-000065290000}"/>
    <cellStyle name="Comma 2 3 3 2" xfId="10601" xr:uid="{00000000-0005-0000-0000-000066290000}"/>
    <cellStyle name="Comma 2 3 3 2 10" xfId="10602" xr:uid="{00000000-0005-0000-0000-000067290000}"/>
    <cellStyle name="Comma 2 3 3 2 11" xfId="10603" xr:uid="{00000000-0005-0000-0000-000068290000}"/>
    <cellStyle name="Comma 2 3 3 2 2" xfId="10604" xr:uid="{00000000-0005-0000-0000-000069290000}"/>
    <cellStyle name="Comma 2 3 3 2 2 2" xfId="10605" xr:uid="{00000000-0005-0000-0000-00006A290000}"/>
    <cellStyle name="Comma 2 3 3 2 2 2 2" xfId="10606" xr:uid="{00000000-0005-0000-0000-00006B290000}"/>
    <cellStyle name="Comma 2 3 3 2 2 2 2 2" xfId="10607" xr:uid="{00000000-0005-0000-0000-00006C290000}"/>
    <cellStyle name="Comma 2 3 3 2 2 2 2 3" xfId="10608" xr:uid="{00000000-0005-0000-0000-00006D290000}"/>
    <cellStyle name="Comma 2 3 3 2 2 2 3" xfId="10609" xr:uid="{00000000-0005-0000-0000-00006E290000}"/>
    <cellStyle name="Comma 2 3 3 2 2 2 4" xfId="10610" xr:uid="{00000000-0005-0000-0000-00006F290000}"/>
    <cellStyle name="Comma 2 3 3 2 2 2 5" xfId="10611" xr:uid="{00000000-0005-0000-0000-000070290000}"/>
    <cellStyle name="Comma 2 3 3 2 2 2 6" xfId="10612" xr:uid="{00000000-0005-0000-0000-000071290000}"/>
    <cellStyle name="Comma 2 3 3 2 2 3" xfId="10613" xr:uid="{00000000-0005-0000-0000-000072290000}"/>
    <cellStyle name="Comma 2 3 3 2 2 3 2" xfId="10614" xr:uid="{00000000-0005-0000-0000-000073290000}"/>
    <cellStyle name="Comma 2 3 3 2 2 3 2 2" xfId="10615" xr:uid="{00000000-0005-0000-0000-000074290000}"/>
    <cellStyle name="Comma 2 3 3 2 2 3 3" xfId="10616" xr:uid="{00000000-0005-0000-0000-000075290000}"/>
    <cellStyle name="Comma 2 3 3 2 2 3 4" xfId="10617" xr:uid="{00000000-0005-0000-0000-000076290000}"/>
    <cellStyle name="Comma 2 3 3 2 2 3 5" xfId="10618" xr:uid="{00000000-0005-0000-0000-000077290000}"/>
    <cellStyle name="Comma 2 3 3 2 2 4" xfId="10619" xr:uid="{00000000-0005-0000-0000-000078290000}"/>
    <cellStyle name="Comma 2 3 3 2 2 4 2" xfId="10620" xr:uid="{00000000-0005-0000-0000-000079290000}"/>
    <cellStyle name="Comma 2 3 3 2 2 4 3" xfId="10621" xr:uid="{00000000-0005-0000-0000-00007A290000}"/>
    <cellStyle name="Comma 2 3 3 2 2 4 4" xfId="10622" xr:uid="{00000000-0005-0000-0000-00007B290000}"/>
    <cellStyle name="Comma 2 3 3 2 2 5" xfId="10623" xr:uid="{00000000-0005-0000-0000-00007C290000}"/>
    <cellStyle name="Comma 2 3 3 2 2 5 2" xfId="10624" xr:uid="{00000000-0005-0000-0000-00007D290000}"/>
    <cellStyle name="Comma 2 3 3 2 2 6" xfId="10625" xr:uid="{00000000-0005-0000-0000-00007E290000}"/>
    <cellStyle name="Comma 2 3 3 2 2 7" xfId="10626" xr:uid="{00000000-0005-0000-0000-00007F290000}"/>
    <cellStyle name="Comma 2 3 3 2 2 8" xfId="10627" xr:uid="{00000000-0005-0000-0000-000080290000}"/>
    <cellStyle name="Comma 2 3 3 2 2 9" xfId="10628" xr:uid="{00000000-0005-0000-0000-000081290000}"/>
    <cellStyle name="Comma 2 3 3 2 3" xfId="10629" xr:uid="{00000000-0005-0000-0000-000082290000}"/>
    <cellStyle name="Comma 2 3 3 2 3 2" xfId="10630" xr:uid="{00000000-0005-0000-0000-000083290000}"/>
    <cellStyle name="Comma 2 3 3 2 3 2 2" xfId="10631" xr:uid="{00000000-0005-0000-0000-000084290000}"/>
    <cellStyle name="Comma 2 3 3 2 3 2 2 2" xfId="10632" xr:uid="{00000000-0005-0000-0000-000085290000}"/>
    <cellStyle name="Comma 2 3 3 2 3 2 2 3" xfId="10633" xr:uid="{00000000-0005-0000-0000-000086290000}"/>
    <cellStyle name="Comma 2 3 3 2 3 2 3" xfId="10634" xr:uid="{00000000-0005-0000-0000-000087290000}"/>
    <cellStyle name="Comma 2 3 3 2 3 2 4" xfId="10635" xr:uid="{00000000-0005-0000-0000-000088290000}"/>
    <cellStyle name="Comma 2 3 3 2 3 2 5" xfId="10636" xr:uid="{00000000-0005-0000-0000-000089290000}"/>
    <cellStyle name="Comma 2 3 3 2 3 2 6" xfId="10637" xr:uid="{00000000-0005-0000-0000-00008A290000}"/>
    <cellStyle name="Comma 2 3 3 2 3 3" xfId="10638" xr:uid="{00000000-0005-0000-0000-00008B290000}"/>
    <cellStyle name="Comma 2 3 3 2 3 3 2" xfId="10639" xr:uid="{00000000-0005-0000-0000-00008C290000}"/>
    <cellStyle name="Comma 2 3 3 2 3 3 2 2" xfId="10640" xr:uid="{00000000-0005-0000-0000-00008D290000}"/>
    <cellStyle name="Comma 2 3 3 2 3 3 3" xfId="10641" xr:uid="{00000000-0005-0000-0000-00008E290000}"/>
    <cellStyle name="Comma 2 3 3 2 3 3 4" xfId="10642" xr:uid="{00000000-0005-0000-0000-00008F290000}"/>
    <cellStyle name="Comma 2 3 3 2 3 3 5" xfId="10643" xr:uid="{00000000-0005-0000-0000-000090290000}"/>
    <cellStyle name="Comma 2 3 3 2 3 4" xfId="10644" xr:uid="{00000000-0005-0000-0000-000091290000}"/>
    <cellStyle name="Comma 2 3 3 2 3 4 2" xfId="10645" xr:uid="{00000000-0005-0000-0000-000092290000}"/>
    <cellStyle name="Comma 2 3 3 2 3 4 3" xfId="10646" xr:uid="{00000000-0005-0000-0000-000093290000}"/>
    <cellStyle name="Comma 2 3 3 2 3 4 4" xfId="10647" xr:uid="{00000000-0005-0000-0000-000094290000}"/>
    <cellStyle name="Comma 2 3 3 2 3 5" xfId="10648" xr:uid="{00000000-0005-0000-0000-000095290000}"/>
    <cellStyle name="Comma 2 3 3 2 3 5 2" xfId="10649" xr:uid="{00000000-0005-0000-0000-000096290000}"/>
    <cellStyle name="Comma 2 3 3 2 3 6" xfId="10650" xr:uid="{00000000-0005-0000-0000-000097290000}"/>
    <cellStyle name="Comma 2 3 3 2 3 7" xfId="10651" xr:uid="{00000000-0005-0000-0000-000098290000}"/>
    <cellStyle name="Comma 2 3 3 2 3 8" xfId="10652" xr:uid="{00000000-0005-0000-0000-000099290000}"/>
    <cellStyle name="Comma 2 3 3 2 3 9" xfId="10653" xr:uid="{00000000-0005-0000-0000-00009A290000}"/>
    <cellStyle name="Comma 2 3 3 2 4" xfId="10654" xr:uid="{00000000-0005-0000-0000-00009B290000}"/>
    <cellStyle name="Comma 2 3 3 2 4 2" xfId="10655" xr:uid="{00000000-0005-0000-0000-00009C290000}"/>
    <cellStyle name="Comma 2 3 3 2 4 2 2" xfId="10656" xr:uid="{00000000-0005-0000-0000-00009D290000}"/>
    <cellStyle name="Comma 2 3 3 2 4 2 3" xfId="10657" xr:uid="{00000000-0005-0000-0000-00009E290000}"/>
    <cellStyle name="Comma 2 3 3 2 4 3" xfId="10658" xr:uid="{00000000-0005-0000-0000-00009F290000}"/>
    <cellStyle name="Comma 2 3 3 2 4 4" xfId="10659" xr:uid="{00000000-0005-0000-0000-0000A0290000}"/>
    <cellStyle name="Comma 2 3 3 2 4 5" xfId="10660" xr:uid="{00000000-0005-0000-0000-0000A1290000}"/>
    <cellStyle name="Comma 2 3 3 2 4 6" xfId="10661" xr:uid="{00000000-0005-0000-0000-0000A2290000}"/>
    <cellStyle name="Comma 2 3 3 2 5" xfId="10662" xr:uid="{00000000-0005-0000-0000-0000A3290000}"/>
    <cellStyle name="Comma 2 3 3 2 5 2" xfId="10663" xr:uid="{00000000-0005-0000-0000-0000A4290000}"/>
    <cellStyle name="Comma 2 3 3 2 5 2 2" xfId="10664" xr:uid="{00000000-0005-0000-0000-0000A5290000}"/>
    <cellStyle name="Comma 2 3 3 2 5 3" xfId="10665" xr:uid="{00000000-0005-0000-0000-0000A6290000}"/>
    <cellStyle name="Comma 2 3 3 2 5 4" xfId="10666" xr:uid="{00000000-0005-0000-0000-0000A7290000}"/>
    <cellStyle name="Comma 2 3 3 2 5 5" xfId="10667" xr:uid="{00000000-0005-0000-0000-0000A8290000}"/>
    <cellStyle name="Comma 2 3 3 2 6" xfId="10668" xr:uid="{00000000-0005-0000-0000-0000A9290000}"/>
    <cellStyle name="Comma 2 3 3 2 6 2" xfId="10669" xr:uid="{00000000-0005-0000-0000-0000AA290000}"/>
    <cellStyle name="Comma 2 3 3 2 6 3" xfId="10670" xr:uid="{00000000-0005-0000-0000-0000AB290000}"/>
    <cellStyle name="Comma 2 3 3 2 6 4" xfId="10671" xr:uid="{00000000-0005-0000-0000-0000AC290000}"/>
    <cellStyle name="Comma 2 3 3 2 7" xfId="10672" xr:uid="{00000000-0005-0000-0000-0000AD290000}"/>
    <cellStyle name="Comma 2 3 3 2 7 2" xfId="10673" xr:uid="{00000000-0005-0000-0000-0000AE290000}"/>
    <cellStyle name="Comma 2 3 3 2 8" xfId="10674" xr:uid="{00000000-0005-0000-0000-0000AF290000}"/>
    <cellStyle name="Comma 2 3 3 2 9" xfId="10675" xr:uid="{00000000-0005-0000-0000-0000B0290000}"/>
    <cellStyle name="Comma 2 3 3 20" xfId="10676" xr:uid="{00000000-0005-0000-0000-0000B1290000}"/>
    <cellStyle name="Comma 2 3 3 21" xfId="10677" xr:uid="{00000000-0005-0000-0000-0000B2290000}"/>
    <cellStyle name="Comma 2 3 3 22" xfId="10678" xr:uid="{00000000-0005-0000-0000-0000B3290000}"/>
    <cellStyle name="Comma 2 3 3 3" xfId="10679" xr:uid="{00000000-0005-0000-0000-0000B4290000}"/>
    <cellStyle name="Comma 2 3 3 3 10" xfId="10680" xr:uid="{00000000-0005-0000-0000-0000B5290000}"/>
    <cellStyle name="Comma 2 3 3 3 11" xfId="10681" xr:uid="{00000000-0005-0000-0000-0000B6290000}"/>
    <cellStyle name="Comma 2 3 3 3 2" xfId="10682" xr:uid="{00000000-0005-0000-0000-0000B7290000}"/>
    <cellStyle name="Comma 2 3 3 3 2 2" xfId="10683" xr:uid="{00000000-0005-0000-0000-0000B8290000}"/>
    <cellStyle name="Comma 2 3 3 3 2 2 2" xfId="10684" xr:uid="{00000000-0005-0000-0000-0000B9290000}"/>
    <cellStyle name="Comma 2 3 3 3 2 2 2 2" xfId="10685" xr:uid="{00000000-0005-0000-0000-0000BA290000}"/>
    <cellStyle name="Comma 2 3 3 3 2 2 2 3" xfId="10686" xr:uid="{00000000-0005-0000-0000-0000BB290000}"/>
    <cellStyle name="Comma 2 3 3 3 2 2 3" xfId="10687" xr:uid="{00000000-0005-0000-0000-0000BC290000}"/>
    <cellStyle name="Comma 2 3 3 3 2 2 4" xfId="10688" xr:uid="{00000000-0005-0000-0000-0000BD290000}"/>
    <cellStyle name="Comma 2 3 3 3 2 2 5" xfId="10689" xr:uid="{00000000-0005-0000-0000-0000BE290000}"/>
    <cellStyle name="Comma 2 3 3 3 2 2 6" xfId="10690" xr:uid="{00000000-0005-0000-0000-0000BF290000}"/>
    <cellStyle name="Comma 2 3 3 3 2 3" xfId="10691" xr:uid="{00000000-0005-0000-0000-0000C0290000}"/>
    <cellStyle name="Comma 2 3 3 3 2 3 2" xfId="10692" xr:uid="{00000000-0005-0000-0000-0000C1290000}"/>
    <cellStyle name="Comma 2 3 3 3 2 3 2 2" xfId="10693" xr:uid="{00000000-0005-0000-0000-0000C2290000}"/>
    <cellStyle name="Comma 2 3 3 3 2 3 3" xfId="10694" xr:uid="{00000000-0005-0000-0000-0000C3290000}"/>
    <cellStyle name="Comma 2 3 3 3 2 3 4" xfId="10695" xr:uid="{00000000-0005-0000-0000-0000C4290000}"/>
    <cellStyle name="Comma 2 3 3 3 2 3 5" xfId="10696" xr:uid="{00000000-0005-0000-0000-0000C5290000}"/>
    <cellStyle name="Comma 2 3 3 3 2 4" xfId="10697" xr:uid="{00000000-0005-0000-0000-0000C6290000}"/>
    <cellStyle name="Comma 2 3 3 3 2 4 2" xfId="10698" xr:uid="{00000000-0005-0000-0000-0000C7290000}"/>
    <cellStyle name="Comma 2 3 3 3 2 4 3" xfId="10699" xr:uid="{00000000-0005-0000-0000-0000C8290000}"/>
    <cellStyle name="Comma 2 3 3 3 2 4 4" xfId="10700" xr:uid="{00000000-0005-0000-0000-0000C9290000}"/>
    <cellStyle name="Comma 2 3 3 3 2 5" xfId="10701" xr:uid="{00000000-0005-0000-0000-0000CA290000}"/>
    <cellStyle name="Comma 2 3 3 3 2 5 2" xfId="10702" xr:uid="{00000000-0005-0000-0000-0000CB290000}"/>
    <cellStyle name="Comma 2 3 3 3 2 6" xfId="10703" xr:uid="{00000000-0005-0000-0000-0000CC290000}"/>
    <cellStyle name="Comma 2 3 3 3 2 7" xfId="10704" xr:uid="{00000000-0005-0000-0000-0000CD290000}"/>
    <cellStyle name="Comma 2 3 3 3 2 8" xfId="10705" xr:uid="{00000000-0005-0000-0000-0000CE290000}"/>
    <cellStyle name="Comma 2 3 3 3 2 9" xfId="10706" xr:uid="{00000000-0005-0000-0000-0000CF290000}"/>
    <cellStyle name="Comma 2 3 3 3 3" xfId="10707" xr:uid="{00000000-0005-0000-0000-0000D0290000}"/>
    <cellStyle name="Comma 2 3 3 3 3 2" xfId="10708" xr:uid="{00000000-0005-0000-0000-0000D1290000}"/>
    <cellStyle name="Comma 2 3 3 3 3 2 2" xfId="10709" xr:uid="{00000000-0005-0000-0000-0000D2290000}"/>
    <cellStyle name="Comma 2 3 3 3 3 2 2 2" xfId="10710" xr:uid="{00000000-0005-0000-0000-0000D3290000}"/>
    <cellStyle name="Comma 2 3 3 3 3 2 2 3" xfId="10711" xr:uid="{00000000-0005-0000-0000-0000D4290000}"/>
    <cellStyle name="Comma 2 3 3 3 3 2 3" xfId="10712" xr:uid="{00000000-0005-0000-0000-0000D5290000}"/>
    <cellStyle name="Comma 2 3 3 3 3 2 4" xfId="10713" xr:uid="{00000000-0005-0000-0000-0000D6290000}"/>
    <cellStyle name="Comma 2 3 3 3 3 2 5" xfId="10714" xr:uid="{00000000-0005-0000-0000-0000D7290000}"/>
    <cellStyle name="Comma 2 3 3 3 3 2 6" xfId="10715" xr:uid="{00000000-0005-0000-0000-0000D8290000}"/>
    <cellStyle name="Comma 2 3 3 3 3 3" xfId="10716" xr:uid="{00000000-0005-0000-0000-0000D9290000}"/>
    <cellStyle name="Comma 2 3 3 3 3 3 2" xfId="10717" xr:uid="{00000000-0005-0000-0000-0000DA290000}"/>
    <cellStyle name="Comma 2 3 3 3 3 3 2 2" xfId="10718" xr:uid="{00000000-0005-0000-0000-0000DB290000}"/>
    <cellStyle name="Comma 2 3 3 3 3 3 3" xfId="10719" xr:uid="{00000000-0005-0000-0000-0000DC290000}"/>
    <cellStyle name="Comma 2 3 3 3 3 3 4" xfId="10720" xr:uid="{00000000-0005-0000-0000-0000DD290000}"/>
    <cellStyle name="Comma 2 3 3 3 3 3 5" xfId="10721" xr:uid="{00000000-0005-0000-0000-0000DE290000}"/>
    <cellStyle name="Comma 2 3 3 3 3 4" xfId="10722" xr:uid="{00000000-0005-0000-0000-0000DF290000}"/>
    <cellStyle name="Comma 2 3 3 3 3 4 2" xfId="10723" xr:uid="{00000000-0005-0000-0000-0000E0290000}"/>
    <cellStyle name="Comma 2 3 3 3 3 4 3" xfId="10724" xr:uid="{00000000-0005-0000-0000-0000E1290000}"/>
    <cellStyle name="Comma 2 3 3 3 3 4 4" xfId="10725" xr:uid="{00000000-0005-0000-0000-0000E2290000}"/>
    <cellStyle name="Comma 2 3 3 3 3 5" xfId="10726" xr:uid="{00000000-0005-0000-0000-0000E3290000}"/>
    <cellStyle name="Comma 2 3 3 3 3 5 2" xfId="10727" xr:uid="{00000000-0005-0000-0000-0000E4290000}"/>
    <cellStyle name="Comma 2 3 3 3 3 6" xfId="10728" xr:uid="{00000000-0005-0000-0000-0000E5290000}"/>
    <cellStyle name="Comma 2 3 3 3 3 7" xfId="10729" xr:uid="{00000000-0005-0000-0000-0000E6290000}"/>
    <cellStyle name="Comma 2 3 3 3 3 8" xfId="10730" xr:uid="{00000000-0005-0000-0000-0000E7290000}"/>
    <cellStyle name="Comma 2 3 3 3 3 9" xfId="10731" xr:uid="{00000000-0005-0000-0000-0000E8290000}"/>
    <cellStyle name="Comma 2 3 3 3 4" xfId="10732" xr:uid="{00000000-0005-0000-0000-0000E9290000}"/>
    <cellStyle name="Comma 2 3 3 3 4 2" xfId="10733" xr:uid="{00000000-0005-0000-0000-0000EA290000}"/>
    <cellStyle name="Comma 2 3 3 3 4 2 2" xfId="10734" xr:uid="{00000000-0005-0000-0000-0000EB290000}"/>
    <cellStyle name="Comma 2 3 3 3 4 2 3" xfId="10735" xr:uid="{00000000-0005-0000-0000-0000EC290000}"/>
    <cellStyle name="Comma 2 3 3 3 4 3" xfId="10736" xr:uid="{00000000-0005-0000-0000-0000ED290000}"/>
    <cellStyle name="Comma 2 3 3 3 4 4" xfId="10737" xr:uid="{00000000-0005-0000-0000-0000EE290000}"/>
    <cellStyle name="Comma 2 3 3 3 4 5" xfId="10738" xr:uid="{00000000-0005-0000-0000-0000EF290000}"/>
    <cellStyle name="Comma 2 3 3 3 4 6" xfId="10739" xr:uid="{00000000-0005-0000-0000-0000F0290000}"/>
    <cellStyle name="Comma 2 3 3 3 5" xfId="10740" xr:uid="{00000000-0005-0000-0000-0000F1290000}"/>
    <cellStyle name="Comma 2 3 3 3 5 2" xfId="10741" xr:uid="{00000000-0005-0000-0000-0000F2290000}"/>
    <cellStyle name="Comma 2 3 3 3 5 2 2" xfId="10742" xr:uid="{00000000-0005-0000-0000-0000F3290000}"/>
    <cellStyle name="Comma 2 3 3 3 5 3" xfId="10743" xr:uid="{00000000-0005-0000-0000-0000F4290000}"/>
    <cellStyle name="Comma 2 3 3 3 5 4" xfId="10744" xr:uid="{00000000-0005-0000-0000-0000F5290000}"/>
    <cellStyle name="Comma 2 3 3 3 5 5" xfId="10745" xr:uid="{00000000-0005-0000-0000-0000F6290000}"/>
    <cellStyle name="Comma 2 3 3 3 6" xfId="10746" xr:uid="{00000000-0005-0000-0000-0000F7290000}"/>
    <cellStyle name="Comma 2 3 3 3 6 2" xfId="10747" xr:uid="{00000000-0005-0000-0000-0000F8290000}"/>
    <cellStyle name="Comma 2 3 3 3 6 3" xfId="10748" xr:uid="{00000000-0005-0000-0000-0000F9290000}"/>
    <cellStyle name="Comma 2 3 3 3 6 4" xfId="10749" xr:uid="{00000000-0005-0000-0000-0000FA290000}"/>
    <cellStyle name="Comma 2 3 3 3 7" xfId="10750" xr:uid="{00000000-0005-0000-0000-0000FB290000}"/>
    <cellStyle name="Comma 2 3 3 3 7 2" xfId="10751" xr:uid="{00000000-0005-0000-0000-0000FC290000}"/>
    <cellStyle name="Comma 2 3 3 3 8" xfId="10752" xr:uid="{00000000-0005-0000-0000-0000FD290000}"/>
    <cellStyle name="Comma 2 3 3 3 9" xfId="10753" xr:uid="{00000000-0005-0000-0000-0000FE290000}"/>
    <cellStyle name="Comma 2 3 3 4" xfId="10754" xr:uid="{00000000-0005-0000-0000-0000FF290000}"/>
    <cellStyle name="Comma 2 3 3 4 10" xfId="10755" xr:uid="{00000000-0005-0000-0000-0000002A0000}"/>
    <cellStyle name="Comma 2 3 3 4 11" xfId="10756" xr:uid="{00000000-0005-0000-0000-0000012A0000}"/>
    <cellStyle name="Comma 2 3 3 4 2" xfId="10757" xr:uid="{00000000-0005-0000-0000-0000022A0000}"/>
    <cellStyle name="Comma 2 3 3 4 2 2" xfId="10758" xr:uid="{00000000-0005-0000-0000-0000032A0000}"/>
    <cellStyle name="Comma 2 3 3 4 2 2 2" xfId="10759" xr:uid="{00000000-0005-0000-0000-0000042A0000}"/>
    <cellStyle name="Comma 2 3 3 4 2 2 2 2" xfId="10760" xr:uid="{00000000-0005-0000-0000-0000052A0000}"/>
    <cellStyle name="Comma 2 3 3 4 2 2 2 3" xfId="10761" xr:uid="{00000000-0005-0000-0000-0000062A0000}"/>
    <cellStyle name="Comma 2 3 3 4 2 2 3" xfId="10762" xr:uid="{00000000-0005-0000-0000-0000072A0000}"/>
    <cellStyle name="Comma 2 3 3 4 2 2 4" xfId="10763" xr:uid="{00000000-0005-0000-0000-0000082A0000}"/>
    <cellStyle name="Comma 2 3 3 4 2 2 5" xfId="10764" xr:uid="{00000000-0005-0000-0000-0000092A0000}"/>
    <cellStyle name="Comma 2 3 3 4 2 2 6" xfId="10765" xr:uid="{00000000-0005-0000-0000-00000A2A0000}"/>
    <cellStyle name="Comma 2 3 3 4 2 3" xfId="10766" xr:uid="{00000000-0005-0000-0000-00000B2A0000}"/>
    <cellStyle name="Comma 2 3 3 4 2 3 2" xfId="10767" xr:uid="{00000000-0005-0000-0000-00000C2A0000}"/>
    <cellStyle name="Comma 2 3 3 4 2 3 2 2" xfId="10768" xr:uid="{00000000-0005-0000-0000-00000D2A0000}"/>
    <cellStyle name="Comma 2 3 3 4 2 3 3" xfId="10769" xr:uid="{00000000-0005-0000-0000-00000E2A0000}"/>
    <cellStyle name="Comma 2 3 3 4 2 3 4" xfId="10770" xr:uid="{00000000-0005-0000-0000-00000F2A0000}"/>
    <cellStyle name="Comma 2 3 3 4 2 3 5" xfId="10771" xr:uid="{00000000-0005-0000-0000-0000102A0000}"/>
    <cellStyle name="Comma 2 3 3 4 2 4" xfId="10772" xr:uid="{00000000-0005-0000-0000-0000112A0000}"/>
    <cellStyle name="Comma 2 3 3 4 2 4 2" xfId="10773" xr:uid="{00000000-0005-0000-0000-0000122A0000}"/>
    <cellStyle name="Comma 2 3 3 4 2 4 3" xfId="10774" xr:uid="{00000000-0005-0000-0000-0000132A0000}"/>
    <cellStyle name="Comma 2 3 3 4 2 4 4" xfId="10775" xr:uid="{00000000-0005-0000-0000-0000142A0000}"/>
    <cellStyle name="Comma 2 3 3 4 2 5" xfId="10776" xr:uid="{00000000-0005-0000-0000-0000152A0000}"/>
    <cellStyle name="Comma 2 3 3 4 2 5 2" xfId="10777" xr:uid="{00000000-0005-0000-0000-0000162A0000}"/>
    <cellStyle name="Comma 2 3 3 4 2 6" xfId="10778" xr:uid="{00000000-0005-0000-0000-0000172A0000}"/>
    <cellStyle name="Comma 2 3 3 4 2 7" xfId="10779" xr:uid="{00000000-0005-0000-0000-0000182A0000}"/>
    <cellStyle name="Comma 2 3 3 4 2 8" xfId="10780" xr:uid="{00000000-0005-0000-0000-0000192A0000}"/>
    <cellStyle name="Comma 2 3 3 4 2 9" xfId="10781" xr:uid="{00000000-0005-0000-0000-00001A2A0000}"/>
    <cellStyle name="Comma 2 3 3 4 3" xfId="10782" xr:uid="{00000000-0005-0000-0000-00001B2A0000}"/>
    <cellStyle name="Comma 2 3 3 4 3 2" xfId="10783" xr:uid="{00000000-0005-0000-0000-00001C2A0000}"/>
    <cellStyle name="Comma 2 3 3 4 3 2 2" xfId="10784" xr:uid="{00000000-0005-0000-0000-00001D2A0000}"/>
    <cellStyle name="Comma 2 3 3 4 3 2 2 2" xfId="10785" xr:uid="{00000000-0005-0000-0000-00001E2A0000}"/>
    <cellStyle name="Comma 2 3 3 4 3 2 2 3" xfId="10786" xr:uid="{00000000-0005-0000-0000-00001F2A0000}"/>
    <cellStyle name="Comma 2 3 3 4 3 2 3" xfId="10787" xr:uid="{00000000-0005-0000-0000-0000202A0000}"/>
    <cellStyle name="Comma 2 3 3 4 3 2 4" xfId="10788" xr:uid="{00000000-0005-0000-0000-0000212A0000}"/>
    <cellStyle name="Comma 2 3 3 4 3 2 5" xfId="10789" xr:uid="{00000000-0005-0000-0000-0000222A0000}"/>
    <cellStyle name="Comma 2 3 3 4 3 2 6" xfId="10790" xr:uid="{00000000-0005-0000-0000-0000232A0000}"/>
    <cellStyle name="Comma 2 3 3 4 3 3" xfId="10791" xr:uid="{00000000-0005-0000-0000-0000242A0000}"/>
    <cellStyle name="Comma 2 3 3 4 3 3 2" xfId="10792" xr:uid="{00000000-0005-0000-0000-0000252A0000}"/>
    <cellStyle name="Comma 2 3 3 4 3 3 2 2" xfId="10793" xr:uid="{00000000-0005-0000-0000-0000262A0000}"/>
    <cellStyle name="Comma 2 3 3 4 3 3 3" xfId="10794" xr:uid="{00000000-0005-0000-0000-0000272A0000}"/>
    <cellStyle name="Comma 2 3 3 4 3 3 4" xfId="10795" xr:uid="{00000000-0005-0000-0000-0000282A0000}"/>
    <cellStyle name="Comma 2 3 3 4 3 3 5" xfId="10796" xr:uid="{00000000-0005-0000-0000-0000292A0000}"/>
    <cellStyle name="Comma 2 3 3 4 3 4" xfId="10797" xr:uid="{00000000-0005-0000-0000-00002A2A0000}"/>
    <cellStyle name="Comma 2 3 3 4 3 4 2" xfId="10798" xr:uid="{00000000-0005-0000-0000-00002B2A0000}"/>
    <cellStyle name="Comma 2 3 3 4 3 4 3" xfId="10799" xr:uid="{00000000-0005-0000-0000-00002C2A0000}"/>
    <cellStyle name="Comma 2 3 3 4 3 4 4" xfId="10800" xr:uid="{00000000-0005-0000-0000-00002D2A0000}"/>
    <cellStyle name="Comma 2 3 3 4 3 5" xfId="10801" xr:uid="{00000000-0005-0000-0000-00002E2A0000}"/>
    <cellStyle name="Comma 2 3 3 4 3 5 2" xfId="10802" xr:uid="{00000000-0005-0000-0000-00002F2A0000}"/>
    <cellStyle name="Comma 2 3 3 4 3 6" xfId="10803" xr:uid="{00000000-0005-0000-0000-0000302A0000}"/>
    <cellStyle name="Comma 2 3 3 4 3 7" xfId="10804" xr:uid="{00000000-0005-0000-0000-0000312A0000}"/>
    <cellStyle name="Comma 2 3 3 4 3 8" xfId="10805" xr:uid="{00000000-0005-0000-0000-0000322A0000}"/>
    <cellStyle name="Comma 2 3 3 4 3 9" xfId="10806" xr:uid="{00000000-0005-0000-0000-0000332A0000}"/>
    <cellStyle name="Comma 2 3 3 4 4" xfId="10807" xr:uid="{00000000-0005-0000-0000-0000342A0000}"/>
    <cellStyle name="Comma 2 3 3 4 4 2" xfId="10808" xr:uid="{00000000-0005-0000-0000-0000352A0000}"/>
    <cellStyle name="Comma 2 3 3 4 4 2 2" xfId="10809" xr:uid="{00000000-0005-0000-0000-0000362A0000}"/>
    <cellStyle name="Comma 2 3 3 4 4 2 3" xfId="10810" xr:uid="{00000000-0005-0000-0000-0000372A0000}"/>
    <cellStyle name="Comma 2 3 3 4 4 3" xfId="10811" xr:uid="{00000000-0005-0000-0000-0000382A0000}"/>
    <cellStyle name="Comma 2 3 3 4 4 4" xfId="10812" xr:uid="{00000000-0005-0000-0000-0000392A0000}"/>
    <cellStyle name="Comma 2 3 3 4 4 5" xfId="10813" xr:uid="{00000000-0005-0000-0000-00003A2A0000}"/>
    <cellStyle name="Comma 2 3 3 4 4 6" xfId="10814" xr:uid="{00000000-0005-0000-0000-00003B2A0000}"/>
    <cellStyle name="Comma 2 3 3 4 5" xfId="10815" xr:uid="{00000000-0005-0000-0000-00003C2A0000}"/>
    <cellStyle name="Comma 2 3 3 4 5 2" xfId="10816" xr:uid="{00000000-0005-0000-0000-00003D2A0000}"/>
    <cellStyle name="Comma 2 3 3 4 5 2 2" xfId="10817" xr:uid="{00000000-0005-0000-0000-00003E2A0000}"/>
    <cellStyle name="Comma 2 3 3 4 5 3" xfId="10818" xr:uid="{00000000-0005-0000-0000-00003F2A0000}"/>
    <cellStyle name="Comma 2 3 3 4 5 4" xfId="10819" xr:uid="{00000000-0005-0000-0000-0000402A0000}"/>
    <cellStyle name="Comma 2 3 3 4 5 5" xfId="10820" xr:uid="{00000000-0005-0000-0000-0000412A0000}"/>
    <cellStyle name="Comma 2 3 3 4 6" xfId="10821" xr:uid="{00000000-0005-0000-0000-0000422A0000}"/>
    <cellStyle name="Comma 2 3 3 4 6 2" xfId="10822" xr:uid="{00000000-0005-0000-0000-0000432A0000}"/>
    <cellStyle name="Comma 2 3 3 4 6 3" xfId="10823" xr:uid="{00000000-0005-0000-0000-0000442A0000}"/>
    <cellStyle name="Comma 2 3 3 4 6 4" xfId="10824" xr:uid="{00000000-0005-0000-0000-0000452A0000}"/>
    <cellStyle name="Comma 2 3 3 4 7" xfId="10825" xr:uid="{00000000-0005-0000-0000-0000462A0000}"/>
    <cellStyle name="Comma 2 3 3 4 7 2" xfId="10826" xr:uid="{00000000-0005-0000-0000-0000472A0000}"/>
    <cellStyle name="Comma 2 3 3 4 8" xfId="10827" xr:uid="{00000000-0005-0000-0000-0000482A0000}"/>
    <cellStyle name="Comma 2 3 3 4 9" xfId="10828" xr:uid="{00000000-0005-0000-0000-0000492A0000}"/>
    <cellStyle name="Comma 2 3 3 5" xfId="10829" xr:uid="{00000000-0005-0000-0000-00004A2A0000}"/>
    <cellStyle name="Comma 2 3 3 5 10" xfId="10830" xr:uid="{00000000-0005-0000-0000-00004B2A0000}"/>
    <cellStyle name="Comma 2 3 3 5 11" xfId="10831" xr:uid="{00000000-0005-0000-0000-00004C2A0000}"/>
    <cellStyle name="Comma 2 3 3 5 2" xfId="10832" xr:uid="{00000000-0005-0000-0000-00004D2A0000}"/>
    <cellStyle name="Comma 2 3 3 5 2 2" xfId="10833" xr:uid="{00000000-0005-0000-0000-00004E2A0000}"/>
    <cellStyle name="Comma 2 3 3 5 2 2 2" xfId="10834" xr:uid="{00000000-0005-0000-0000-00004F2A0000}"/>
    <cellStyle name="Comma 2 3 3 5 2 2 2 2" xfId="10835" xr:uid="{00000000-0005-0000-0000-0000502A0000}"/>
    <cellStyle name="Comma 2 3 3 5 2 2 2 3" xfId="10836" xr:uid="{00000000-0005-0000-0000-0000512A0000}"/>
    <cellStyle name="Comma 2 3 3 5 2 2 3" xfId="10837" xr:uid="{00000000-0005-0000-0000-0000522A0000}"/>
    <cellStyle name="Comma 2 3 3 5 2 2 4" xfId="10838" xr:uid="{00000000-0005-0000-0000-0000532A0000}"/>
    <cellStyle name="Comma 2 3 3 5 2 2 5" xfId="10839" xr:uid="{00000000-0005-0000-0000-0000542A0000}"/>
    <cellStyle name="Comma 2 3 3 5 2 2 6" xfId="10840" xr:uid="{00000000-0005-0000-0000-0000552A0000}"/>
    <cellStyle name="Comma 2 3 3 5 2 3" xfId="10841" xr:uid="{00000000-0005-0000-0000-0000562A0000}"/>
    <cellStyle name="Comma 2 3 3 5 2 3 2" xfId="10842" xr:uid="{00000000-0005-0000-0000-0000572A0000}"/>
    <cellStyle name="Comma 2 3 3 5 2 3 2 2" xfId="10843" xr:uid="{00000000-0005-0000-0000-0000582A0000}"/>
    <cellStyle name="Comma 2 3 3 5 2 3 3" xfId="10844" xr:uid="{00000000-0005-0000-0000-0000592A0000}"/>
    <cellStyle name="Comma 2 3 3 5 2 3 4" xfId="10845" xr:uid="{00000000-0005-0000-0000-00005A2A0000}"/>
    <cellStyle name="Comma 2 3 3 5 2 3 5" xfId="10846" xr:uid="{00000000-0005-0000-0000-00005B2A0000}"/>
    <cellStyle name="Comma 2 3 3 5 2 4" xfId="10847" xr:uid="{00000000-0005-0000-0000-00005C2A0000}"/>
    <cellStyle name="Comma 2 3 3 5 2 4 2" xfId="10848" xr:uid="{00000000-0005-0000-0000-00005D2A0000}"/>
    <cellStyle name="Comma 2 3 3 5 2 4 3" xfId="10849" xr:uid="{00000000-0005-0000-0000-00005E2A0000}"/>
    <cellStyle name="Comma 2 3 3 5 2 4 4" xfId="10850" xr:uid="{00000000-0005-0000-0000-00005F2A0000}"/>
    <cellStyle name="Comma 2 3 3 5 2 5" xfId="10851" xr:uid="{00000000-0005-0000-0000-0000602A0000}"/>
    <cellStyle name="Comma 2 3 3 5 2 5 2" xfId="10852" xr:uid="{00000000-0005-0000-0000-0000612A0000}"/>
    <cellStyle name="Comma 2 3 3 5 2 6" xfId="10853" xr:uid="{00000000-0005-0000-0000-0000622A0000}"/>
    <cellStyle name="Comma 2 3 3 5 2 7" xfId="10854" xr:uid="{00000000-0005-0000-0000-0000632A0000}"/>
    <cellStyle name="Comma 2 3 3 5 2 8" xfId="10855" xr:uid="{00000000-0005-0000-0000-0000642A0000}"/>
    <cellStyle name="Comma 2 3 3 5 2 9" xfId="10856" xr:uid="{00000000-0005-0000-0000-0000652A0000}"/>
    <cellStyle name="Comma 2 3 3 5 3" xfId="10857" xr:uid="{00000000-0005-0000-0000-0000662A0000}"/>
    <cellStyle name="Comma 2 3 3 5 3 2" xfId="10858" xr:uid="{00000000-0005-0000-0000-0000672A0000}"/>
    <cellStyle name="Comma 2 3 3 5 3 2 2" xfId="10859" xr:uid="{00000000-0005-0000-0000-0000682A0000}"/>
    <cellStyle name="Comma 2 3 3 5 3 2 2 2" xfId="10860" xr:uid="{00000000-0005-0000-0000-0000692A0000}"/>
    <cellStyle name="Comma 2 3 3 5 3 2 2 3" xfId="10861" xr:uid="{00000000-0005-0000-0000-00006A2A0000}"/>
    <cellStyle name="Comma 2 3 3 5 3 2 3" xfId="10862" xr:uid="{00000000-0005-0000-0000-00006B2A0000}"/>
    <cellStyle name="Comma 2 3 3 5 3 2 4" xfId="10863" xr:uid="{00000000-0005-0000-0000-00006C2A0000}"/>
    <cellStyle name="Comma 2 3 3 5 3 2 5" xfId="10864" xr:uid="{00000000-0005-0000-0000-00006D2A0000}"/>
    <cellStyle name="Comma 2 3 3 5 3 2 6" xfId="10865" xr:uid="{00000000-0005-0000-0000-00006E2A0000}"/>
    <cellStyle name="Comma 2 3 3 5 3 3" xfId="10866" xr:uid="{00000000-0005-0000-0000-00006F2A0000}"/>
    <cellStyle name="Comma 2 3 3 5 3 3 2" xfId="10867" xr:uid="{00000000-0005-0000-0000-0000702A0000}"/>
    <cellStyle name="Comma 2 3 3 5 3 3 2 2" xfId="10868" xr:uid="{00000000-0005-0000-0000-0000712A0000}"/>
    <cellStyle name="Comma 2 3 3 5 3 3 3" xfId="10869" xr:uid="{00000000-0005-0000-0000-0000722A0000}"/>
    <cellStyle name="Comma 2 3 3 5 3 3 4" xfId="10870" xr:uid="{00000000-0005-0000-0000-0000732A0000}"/>
    <cellStyle name="Comma 2 3 3 5 3 3 5" xfId="10871" xr:uid="{00000000-0005-0000-0000-0000742A0000}"/>
    <cellStyle name="Comma 2 3 3 5 3 4" xfId="10872" xr:uid="{00000000-0005-0000-0000-0000752A0000}"/>
    <cellStyle name="Comma 2 3 3 5 3 4 2" xfId="10873" xr:uid="{00000000-0005-0000-0000-0000762A0000}"/>
    <cellStyle name="Comma 2 3 3 5 3 4 3" xfId="10874" xr:uid="{00000000-0005-0000-0000-0000772A0000}"/>
    <cellStyle name="Comma 2 3 3 5 3 4 4" xfId="10875" xr:uid="{00000000-0005-0000-0000-0000782A0000}"/>
    <cellStyle name="Comma 2 3 3 5 3 5" xfId="10876" xr:uid="{00000000-0005-0000-0000-0000792A0000}"/>
    <cellStyle name="Comma 2 3 3 5 3 5 2" xfId="10877" xr:uid="{00000000-0005-0000-0000-00007A2A0000}"/>
    <cellStyle name="Comma 2 3 3 5 3 6" xfId="10878" xr:uid="{00000000-0005-0000-0000-00007B2A0000}"/>
    <cellStyle name="Comma 2 3 3 5 3 7" xfId="10879" xr:uid="{00000000-0005-0000-0000-00007C2A0000}"/>
    <cellStyle name="Comma 2 3 3 5 3 8" xfId="10880" xr:uid="{00000000-0005-0000-0000-00007D2A0000}"/>
    <cellStyle name="Comma 2 3 3 5 3 9" xfId="10881" xr:uid="{00000000-0005-0000-0000-00007E2A0000}"/>
    <cellStyle name="Comma 2 3 3 5 4" xfId="10882" xr:uid="{00000000-0005-0000-0000-00007F2A0000}"/>
    <cellStyle name="Comma 2 3 3 5 4 2" xfId="10883" xr:uid="{00000000-0005-0000-0000-0000802A0000}"/>
    <cellStyle name="Comma 2 3 3 5 4 2 2" xfId="10884" xr:uid="{00000000-0005-0000-0000-0000812A0000}"/>
    <cellStyle name="Comma 2 3 3 5 4 2 3" xfId="10885" xr:uid="{00000000-0005-0000-0000-0000822A0000}"/>
    <cellStyle name="Comma 2 3 3 5 4 3" xfId="10886" xr:uid="{00000000-0005-0000-0000-0000832A0000}"/>
    <cellStyle name="Comma 2 3 3 5 4 4" xfId="10887" xr:uid="{00000000-0005-0000-0000-0000842A0000}"/>
    <cellStyle name="Comma 2 3 3 5 4 5" xfId="10888" xr:uid="{00000000-0005-0000-0000-0000852A0000}"/>
    <cellStyle name="Comma 2 3 3 5 4 6" xfId="10889" xr:uid="{00000000-0005-0000-0000-0000862A0000}"/>
    <cellStyle name="Comma 2 3 3 5 5" xfId="10890" xr:uid="{00000000-0005-0000-0000-0000872A0000}"/>
    <cellStyle name="Comma 2 3 3 5 5 2" xfId="10891" xr:uid="{00000000-0005-0000-0000-0000882A0000}"/>
    <cellStyle name="Comma 2 3 3 5 5 2 2" xfId="10892" xr:uid="{00000000-0005-0000-0000-0000892A0000}"/>
    <cellStyle name="Comma 2 3 3 5 5 3" xfId="10893" xr:uid="{00000000-0005-0000-0000-00008A2A0000}"/>
    <cellStyle name="Comma 2 3 3 5 5 4" xfId="10894" xr:uid="{00000000-0005-0000-0000-00008B2A0000}"/>
    <cellStyle name="Comma 2 3 3 5 5 5" xfId="10895" xr:uid="{00000000-0005-0000-0000-00008C2A0000}"/>
    <cellStyle name="Comma 2 3 3 5 6" xfId="10896" xr:uid="{00000000-0005-0000-0000-00008D2A0000}"/>
    <cellStyle name="Comma 2 3 3 5 6 2" xfId="10897" xr:uid="{00000000-0005-0000-0000-00008E2A0000}"/>
    <cellStyle name="Comma 2 3 3 5 6 3" xfId="10898" xr:uid="{00000000-0005-0000-0000-00008F2A0000}"/>
    <cellStyle name="Comma 2 3 3 5 6 4" xfId="10899" xr:uid="{00000000-0005-0000-0000-0000902A0000}"/>
    <cellStyle name="Comma 2 3 3 5 7" xfId="10900" xr:uid="{00000000-0005-0000-0000-0000912A0000}"/>
    <cellStyle name="Comma 2 3 3 5 7 2" xfId="10901" xr:uid="{00000000-0005-0000-0000-0000922A0000}"/>
    <cellStyle name="Comma 2 3 3 5 8" xfId="10902" xr:uid="{00000000-0005-0000-0000-0000932A0000}"/>
    <cellStyle name="Comma 2 3 3 5 9" xfId="10903" xr:uid="{00000000-0005-0000-0000-0000942A0000}"/>
    <cellStyle name="Comma 2 3 3 6" xfId="10904" xr:uid="{00000000-0005-0000-0000-0000952A0000}"/>
    <cellStyle name="Comma 2 3 3 6 10" xfId="10905" xr:uid="{00000000-0005-0000-0000-0000962A0000}"/>
    <cellStyle name="Comma 2 3 3 6 11" xfId="10906" xr:uid="{00000000-0005-0000-0000-0000972A0000}"/>
    <cellStyle name="Comma 2 3 3 6 2" xfId="10907" xr:uid="{00000000-0005-0000-0000-0000982A0000}"/>
    <cellStyle name="Comma 2 3 3 6 2 2" xfId="10908" xr:uid="{00000000-0005-0000-0000-0000992A0000}"/>
    <cellStyle name="Comma 2 3 3 6 2 2 2" xfId="10909" xr:uid="{00000000-0005-0000-0000-00009A2A0000}"/>
    <cellStyle name="Comma 2 3 3 6 2 2 2 2" xfId="10910" xr:uid="{00000000-0005-0000-0000-00009B2A0000}"/>
    <cellStyle name="Comma 2 3 3 6 2 2 2 3" xfId="10911" xr:uid="{00000000-0005-0000-0000-00009C2A0000}"/>
    <cellStyle name="Comma 2 3 3 6 2 2 3" xfId="10912" xr:uid="{00000000-0005-0000-0000-00009D2A0000}"/>
    <cellStyle name="Comma 2 3 3 6 2 2 4" xfId="10913" xr:uid="{00000000-0005-0000-0000-00009E2A0000}"/>
    <cellStyle name="Comma 2 3 3 6 2 2 5" xfId="10914" xr:uid="{00000000-0005-0000-0000-00009F2A0000}"/>
    <cellStyle name="Comma 2 3 3 6 2 2 6" xfId="10915" xr:uid="{00000000-0005-0000-0000-0000A02A0000}"/>
    <cellStyle name="Comma 2 3 3 6 2 3" xfId="10916" xr:uid="{00000000-0005-0000-0000-0000A12A0000}"/>
    <cellStyle name="Comma 2 3 3 6 2 3 2" xfId="10917" xr:uid="{00000000-0005-0000-0000-0000A22A0000}"/>
    <cellStyle name="Comma 2 3 3 6 2 3 2 2" xfId="10918" xr:uid="{00000000-0005-0000-0000-0000A32A0000}"/>
    <cellStyle name="Comma 2 3 3 6 2 3 3" xfId="10919" xr:uid="{00000000-0005-0000-0000-0000A42A0000}"/>
    <cellStyle name="Comma 2 3 3 6 2 3 4" xfId="10920" xr:uid="{00000000-0005-0000-0000-0000A52A0000}"/>
    <cellStyle name="Comma 2 3 3 6 2 3 5" xfId="10921" xr:uid="{00000000-0005-0000-0000-0000A62A0000}"/>
    <cellStyle name="Comma 2 3 3 6 2 4" xfId="10922" xr:uid="{00000000-0005-0000-0000-0000A72A0000}"/>
    <cellStyle name="Comma 2 3 3 6 2 4 2" xfId="10923" xr:uid="{00000000-0005-0000-0000-0000A82A0000}"/>
    <cellStyle name="Comma 2 3 3 6 2 4 3" xfId="10924" xr:uid="{00000000-0005-0000-0000-0000A92A0000}"/>
    <cellStyle name="Comma 2 3 3 6 2 4 4" xfId="10925" xr:uid="{00000000-0005-0000-0000-0000AA2A0000}"/>
    <cellStyle name="Comma 2 3 3 6 2 5" xfId="10926" xr:uid="{00000000-0005-0000-0000-0000AB2A0000}"/>
    <cellStyle name="Comma 2 3 3 6 2 5 2" xfId="10927" xr:uid="{00000000-0005-0000-0000-0000AC2A0000}"/>
    <cellStyle name="Comma 2 3 3 6 2 6" xfId="10928" xr:uid="{00000000-0005-0000-0000-0000AD2A0000}"/>
    <cellStyle name="Comma 2 3 3 6 2 7" xfId="10929" xr:uid="{00000000-0005-0000-0000-0000AE2A0000}"/>
    <cellStyle name="Comma 2 3 3 6 2 8" xfId="10930" xr:uid="{00000000-0005-0000-0000-0000AF2A0000}"/>
    <cellStyle name="Comma 2 3 3 6 2 9" xfId="10931" xr:uid="{00000000-0005-0000-0000-0000B02A0000}"/>
    <cellStyle name="Comma 2 3 3 6 3" xfId="10932" xr:uid="{00000000-0005-0000-0000-0000B12A0000}"/>
    <cellStyle name="Comma 2 3 3 6 3 2" xfId="10933" xr:uid="{00000000-0005-0000-0000-0000B22A0000}"/>
    <cellStyle name="Comma 2 3 3 6 3 2 2" xfId="10934" xr:uid="{00000000-0005-0000-0000-0000B32A0000}"/>
    <cellStyle name="Comma 2 3 3 6 3 2 2 2" xfId="10935" xr:uid="{00000000-0005-0000-0000-0000B42A0000}"/>
    <cellStyle name="Comma 2 3 3 6 3 2 2 3" xfId="10936" xr:uid="{00000000-0005-0000-0000-0000B52A0000}"/>
    <cellStyle name="Comma 2 3 3 6 3 2 3" xfId="10937" xr:uid="{00000000-0005-0000-0000-0000B62A0000}"/>
    <cellStyle name="Comma 2 3 3 6 3 2 4" xfId="10938" xr:uid="{00000000-0005-0000-0000-0000B72A0000}"/>
    <cellStyle name="Comma 2 3 3 6 3 2 5" xfId="10939" xr:uid="{00000000-0005-0000-0000-0000B82A0000}"/>
    <cellStyle name="Comma 2 3 3 6 3 2 6" xfId="10940" xr:uid="{00000000-0005-0000-0000-0000B92A0000}"/>
    <cellStyle name="Comma 2 3 3 6 3 3" xfId="10941" xr:uid="{00000000-0005-0000-0000-0000BA2A0000}"/>
    <cellStyle name="Comma 2 3 3 6 3 3 2" xfId="10942" xr:uid="{00000000-0005-0000-0000-0000BB2A0000}"/>
    <cellStyle name="Comma 2 3 3 6 3 3 2 2" xfId="10943" xr:uid="{00000000-0005-0000-0000-0000BC2A0000}"/>
    <cellStyle name="Comma 2 3 3 6 3 3 3" xfId="10944" xr:uid="{00000000-0005-0000-0000-0000BD2A0000}"/>
    <cellStyle name="Comma 2 3 3 6 3 3 4" xfId="10945" xr:uid="{00000000-0005-0000-0000-0000BE2A0000}"/>
    <cellStyle name="Comma 2 3 3 6 3 3 5" xfId="10946" xr:uid="{00000000-0005-0000-0000-0000BF2A0000}"/>
    <cellStyle name="Comma 2 3 3 6 3 4" xfId="10947" xr:uid="{00000000-0005-0000-0000-0000C02A0000}"/>
    <cellStyle name="Comma 2 3 3 6 3 4 2" xfId="10948" xr:uid="{00000000-0005-0000-0000-0000C12A0000}"/>
    <cellStyle name="Comma 2 3 3 6 3 4 3" xfId="10949" xr:uid="{00000000-0005-0000-0000-0000C22A0000}"/>
    <cellStyle name="Comma 2 3 3 6 3 4 4" xfId="10950" xr:uid="{00000000-0005-0000-0000-0000C32A0000}"/>
    <cellStyle name="Comma 2 3 3 6 3 5" xfId="10951" xr:uid="{00000000-0005-0000-0000-0000C42A0000}"/>
    <cellStyle name="Comma 2 3 3 6 3 5 2" xfId="10952" xr:uid="{00000000-0005-0000-0000-0000C52A0000}"/>
    <cellStyle name="Comma 2 3 3 6 3 6" xfId="10953" xr:uid="{00000000-0005-0000-0000-0000C62A0000}"/>
    <cellStyle name="Comma 2 3 3 6 3 7" xfId="10954" xr:uid="{00000000-0005-0000-0000-0000C72A0000}"/>
    <cellStyle name="Comma 2 3 3 6 3 8" xfId="10955" xr:uid="{00000000-0005-0000-0000-0000C82A0000}"/>
    <cellStyle name="Comma 2 3 3 6 3 9" xfId="10956" xr:uid="{00000000-0005-0000-0000-0000C92A0000}"/>
    <cellStyle name="Comma 2 3 3 6 4" xfId="10957" xr:uid="{00000000-0005-0000-0000-0000CA2A0000}"/>
    <cellStyle name="Comma 2 3 3 6 4 2" xfId="10958" xr:uid="{00000000-0005-0000-0000-0000CB2A0000}"/>
    <cellStyle name="Comma 2 3 3 6 4 2 2" xfId="10959" xr:uid="{00000000-0005-0000-0000-0000CC2A0000}"/>
    <cellStyle name="Comma 2 3 3 6 4 2 3" xfId="10960" xr:uid="{00000000-0005-0000-0000-0000CD2A0000}"/>
    <cellStyle name="Comma 2 3 3 6 4 3" xfId="10961" xr:uid="{00000000-0005-0000-0000-0000CE2A0000}"/>
    <cellStyle name="Comma 2 3 3 6 4 4" xfId="10962" xr:uid="{00000000-0005-0000-0000-0000CF2A0000}"/>
    <cellStyle name="Comma 2 3 3 6 4 5" xfId="10963" xr:uid="{00000000-0005-0000-0000-0000D02A0000}"/>
    <cellStyle name="Comma 2 3 3 6 4 6" xfId="10964" xr:uid="{00000000-0005-0000-0000-0000D12A0000}"/>
    <cellStyle name="Comma 2 3 3 6 5" xfId="10965" xr:uid="{00000000-0005-0000-0000-0000D22A0000}"/>
    <cellStyle name="Comma 2 3 3 6 5 2" xfId="10966" xr:uid="{00000000-0005-0000-0000-0000D32A0000}"/>
    <cellStyle name="Comma 2 3 3 6 5 2 2" xfId="10967" xr:uid="{00000000-0005-0000-0000-0000D42A0000}"/>
    <cellStyle name="Comma 2 3 3 6 5 3" xfId="10968" xr:uid="{00000000-0005-0000-0000-0000D52A0000}"/>
    <cellStyle name="Comma 2 3 3 6 5 4" xfId="10969" xr:uid="{00000000-0005-0000-0000-0000D62A0000}"/>
    <cellStyle name="Comma 2 3 3 6 5 5" xfId="10970" xr:uid="{00000000-0005-0000-0000-0000D72A0000}"/>
    <cellStyle name="Comma 2 3 3 6 6" xfId="10971" xr:uid="{00000000-0005-0000-0000-0000D82A0000}"/>
    <cellStyle name="Comma 2 3 3 6 6 2" xfId="10972" xr:uid="{00000000-0005-0000-0000-0000D92A0000}"/>
    <cellStyle name="Comma 2 3 3 6 6 3" xfId="10973" xr:uid="{00000000-0005-0000-0000-0000DA2A0000}"/>
    <cellStyle name="Comma 2 3 3 6 6 4" xfId="10974" xr:uid="{00000000-0005-0000-0000-0000DB2A0000}"/>
    <cellStyle name="Comma 2 3 3 6 7" xfId="10975" xr:uid="{00000000-0005-0000-0000-0000DC2A0000}"/>
    <cellStyle name="Comma 2 3 3 6 7 2" xfId="10976" xr:uid="{00000000-0005-0000-0000-0000DD2A0000}"/>
    <cellStyle name="Comma 2 3 3 6 8" xfId="10977" xr:uid="{00000000-0005-0000-0000-0000DE2A0000}"/>
    <cellStyle name="Comma 2 3 3 6 9" xfId="10978" xr:uid="{00000000-0005-0000-0000-0000DF2A0000}"/>
    <cellStyle name="Comma 2 3 3 7" xfId="10979" xr:uid="{00000000-0005-0000-0000-0000E02A0000}"/>
    <cellStyle name="Comma 2 3 3 7 10" xfId="10980" xr:uid="{00000000-0005-0000-0000-0000E12A0000}"/>
    <cellStyle name="Comma 2 3 3 7 11" xfId="10981" xr:uid="{00000000-0005-0000-0000-0000E22A0000}"/>
    <cellStyle name="Comma 2 3 3 7 2" xfId="10982" xr:uid="{00000000-0005-0000-0000-0000E32A0000}"/>
    <cellStyle name="Comma 2 3 3 7 2 2" xfId="10983" xr:uid="{00000000-0005-0000-0000-0000E42A0000}"/>
    <cellStyle name="Comma 2 3 3 7 2 2 2" xfId="10984" xr:uid="{00000000-0005-0000-0000-0000E52A0000}"/>
    <cellStyle name="Comma 2 3 3 7 2 2 2 2" xfId="10985" xr:uid="{00000000-0005-0000-0000-0000E62A0000}"/>
    <cellStyle name="Comma 2 3 3 7 2 2 2 3" xfId="10986" xr:uid="{00000000-0005-0000-0000-0000E72A0000}"/>
    <cellStyle name="Comma 2 3 3 7 2 2 3" xfId="10987" xr:uid="{00000000-0005-0000-0000-0000E82A0000}"/>
    <cellStyle name="Comma 2 3 3 7 2 2 4" xfId="10988" xr:uid="{00000000-0005-0000-0000-0000E92A0000}"/>
    <cellStyle name="Comma 2 3 3 7 2 2 5" xfId="10989" xr:uid="{00000000-0005-0000-0000-0000EA2A0000}"/>
    <cellStyle name="Comma 2 3 3 7 2 2 6" xfId="10990" xr:uid="{00000000-0005-0000-0000-0000EB2A0000}"/>
    <cellStyle name="Comma 2 3 3 7 2 3" xfId="10991" xr:uid="{00000000-0005-0000-0000-0000EC2A0000}"/>
    <cellStyle name="Comma 2 3 3 7 2 3 2" xfId="10992" xr:uid="{00000000-0005-0000-0000-0000ED2A0000}"/>
    <cellStyle name="Comma 2 3 3 7 2 3 2 2" xfId="10993" xr:uid="{00000000-0005-0000-0000-0000EE2A0000}"/>
    <cellStyle name="Comma 2 3 3 7 2 3 3" xfId="10994" xr:uid="{00000000-0005-0000-0000-0000EF2A0000}"/>
    <cellStyle name="Comma 2 3 3 7 2 3 4" xfId="10995" xr:uid="{00000000-0005-0000-0000-0000F02A0000}"/>
    <cellStyle name="Comma 2 3 3 7 2 3 5" xfId="10996" xr:uid="{00000000-0005-0000-0000-0000F12A0000}"/>
    <cellStyle name="Comma 2 3 3 7 2 4" xfId="10997" xr:uid="{00000000-0005-0000-0000-0000F22A0000}"/>
    <cellStyle name="Comma 2 3 3 7 2 4 2" xfId="10998" xr:uid="{00000000-0005-0000-0000-0000F32A0000}"/>
    <cellStyle name="Comma 2 3 3 7 2 4 3" xfId="10999" xr:uid="{00000000-0005-0000-0000-0000F42A0000}"/>
    <cellStyle name="Comma 2 3 3 7 2 4 4" xfId="11000" xr:uid="{00000000-0005-0000-0000-0000F52A0000}"/>
    <cellStyle name="Comma 2 3 3 7 2 5" xfId="11001" xr:uid="{00000000-0005-0000-0000-0000F62A0000}"/>
    <cellStyle name="Comma 2 3 3 7 2 5 2" xfId="11002" xr:uid="{00000000-0005-0000-0000-0000F72A0000}"/>
    <cellStyle name="Comma 2 3 3 7 2 6" xfId="11003" xr:uid="{00000000-0005-0000-0000-0000F82A0000}"/>
    <cellStyle name="Comma 2 3 3 7 2 7" xfId="11004" xr:uid="{00000000-0005-0000-0000-0000F92A0000}"/>
    <cellStyle name="Comma 2 3 3 7 2 8" xfId="11005" xr:uid="{00000000-0005-0000-0000-0000FA2A0000}"/>
    <cellStyle name="Comma 2 3 3 7 2 9" xfId="11006" xr:uid="{00000000-0005-0000-0000-0000FB2A0000}"/>
    <cellStyle name="Comma 2 3 3 7 3" xfId="11007" xr:uid="{00000000-0005-0000-0000-0000FC2A0000}"/>
    <cellStyle name="Comma 2 3 3 7 3 2" xfId="11008" xr:uid="{00000000-0005-0000-0000-0000FD2A0000}"/>
    <cellStyle name="Comma 2 3 3 7 3 2 2" xfId="11009" xr:uid="{00000000-0005-0000-0000-0000FE2A0000}"/>
    <cellStyle name="Comma 2 3 3 7 3 2 2 2" xfId="11010" xr:uid="{00000000-0005-0000-0000-0000FF2A0000}"/>
    <cellStyle name="Comma 2 3 3 7 3 2 2 3" xfId="11011" xr:uid="{00000000-0005-0000-0000-0000002B0000}"/>
    <cellStyle name="Comma 2 3 3 7 3 2 3" xfId="11012" xr:uid="{00000000-0005-0000-0000-0000012B0000}"/>
    <cellStyle name="Comma 2 3 3 7 3 2 4" xfId="11013" xr:uid="{00000000-0005-0000-0000-0000022B0000}"/>
    <cellStyle name="Comma 2 3 3 7 3 2 5" xfId="11014" xr:uid="{00000000-0005-0000-0000-0000032B0000}"/>
    <cellStyle name="Comma 2 3 3 7 3 2 6" xfId="11015" xr:uid="{00000000-0005-0000-0000-0000042B0000}"/>
    <cellStyle name="Comma 2 3 3 7 3 3" xfId="11016" xr:uid="{00000000-0005-0000-0000-0000052B0000}"/>
    <cellStyle name="Comma 2 3 3 7 3 3 2" xfId="11017" xr:uid="{00000000-0005-0000-0000-0000062B0000}"/>
    <cellStyle name="Comma 2 3 3 7 3 3 2 2" xfId="11018" xr:uid="{00000000-0005-0000-0000-0000072B0000}"/>
    <cellStyle name="Comma 2 3 3 7 3 3 3" xfId="11019" xr:uid="{00000000-0005-0000-0000-0000082B0000}"/>
    <cellStyle name="Comma 2 3 3 7 3 3 4" xfId="11020" xr:uid="{00000000-0005-0000-0000-0000092B0000}"/>
    <cellStyle name="Comma 2 3 3 7 3 3 5" xfId="11021" xr:uid="{00000000-0005-0000-0000-00000A2B0000}"/>
    <cellStyle name="Comma 2 3 3 7 3 4" xfId="11022" xr:uid="{00000000-0005-0000-0000-00000B2B0000}"/>
    <cellStyle name="Comma 2 3 3 7 3 4 2" xfId="11023" xr:uid="{00000000-0005-0000-0000-00000C2B0000}"/>
    <cellStyle name="Comma 2 3 3 7 3 4 3" xfId="11024" xr:uid="{00000000-0005-0000-0000-00000D2B0000}"/>
    <cellStyle name="Comma 2 3 3 7 3 4 4" xfId="11025" xr:uid="{00000000-0005-0000-0000-00000E2B0000}"/>
    <cellStyle name="Comma 2 3 3 7 3 5" xfId="11026" xr:uid="{00000000-0005-0000-0000-00000F2B0000}"/>
    <cellStyle name="Comma 2 3 3 7 3 5 2" xfId="11027" xr:uid="{00000000-0005-0000-0000-0000102B0000}"/>
    <cellStyle name="Comma 2 3 3 7 3 6" xfId="11028" xr:uid="{00000000-0005-0000-0000-0000112B0000}"/>
    <cellStyle name="Comma 2 3 3 7 3 7" xfId="11029" xr:uid="{00000000-0005-0000-0000-0000122B0000}"/>
    <cellStyle name="Comma 2 3 3 7 3 8" xfId="11030" xr:uid="{00000000-0005-0000-0000-0000132B0000}"/>
    <cellStyle name="Comma 2 3 3 7 3 9" xfId="11031" xr:uid="{00000000-0005-0000-0000-0000142B0000}"/>
    <cellStyle name="Comma 2 3 3 7 4" xfId="11032" xr:uid="{00000000-0005-0000-0000-0000152B0000}"/>
    <cellStyle name="Comma 2 3 3 7 4 2" xfId="11033" xr:uid="{00000000-0005-0000-0000-0000162B0000}"/>
    <cellStyle name="Comma 2 3 3 7 4 2 2" xfId="11034" xr:uid="{00000000-0005-0000-0000-0000172B0000}"/>
    <cellStyle name="Comma 2 3 3 7 4 2 3" xfId="11035" xr:uid="{00000000-0005-0000-0000-0000182B0000}"/>
    <cellStyle name="Comma 2 3 3 7 4 3" xfId="11036" xr:uid="{00000000-0005-0000-0000-0000192B0000}"/>
    <cellStyle name="Comma 2 3 3 7 4 4" xfId="11037" xr:uid="{00000000-0005-0000-0000-00001A2B0000}"/>
    <cellStyle name="Comma 2 3 3 7 4 5" xfId="11038" xr:uid="{00000000-0005-0000-0000-00001B2B0000}"/>
    <cellStyle name="Comma 2 3 3 7 4 6" xfId="11039" xr:uid="{00000000-0005-0000-0000-00001C2B0000}"/>
    <cellStyle name="Comma 2 3 3 7 5" xfId="11040" xr:uid="{00000000-0005-0000-0000-00001D2B0000}"/>
    <cellStyle name="Comma 2 3 3 7 5 2" xfId="11041" xr:uid="{00000000-0005-0000-0000-00001E2B0000}"/>
    <cellStyle name="Comma 2 3 3 7 5 2 2" xfId="11042" xr:uid="{00000000-0005-0000-0000-00001F2B0000}"/>
    <cellStyle name="Comma 2 3 3 7 5 3" xfId="11043" xr:uid="{00000000-0005-0000-0000-0000202B0000}"/>
    <cellStyle name="Comma 2 3 3 7 5 4" xfId="11044" xr:uid="{00000000-0005-0000-0000-0000212B0000}"/>
    <cellStyle name="Comma 2 3 3 7 5 5" xfId="11045" xr:uid="{00000000-0005-0000-0000-0000222B0000}"/>
    <cellStyle name="Comma 2 3 3 7 6" xfId="11046" xr:uid="{00000000-0005-0000-0000-0000232B0000}"/>
    <cellStyle name="Comma 2 3 3 7 6 2" xfId="11047" xr:uid="{00000000-0005-0000-0000-0000242B0000}"/>
    <cellStyle name="Comma 2 3 3 7 6 3" xfId="11048" xr:uid="{00000000-0005-0000-0000-0000252B0000}"/>
    <cellStyle name="Comma 2 3 3 7 6 4" xfId="11049" xr:uid="{00000000-0005-0000-0000-0000262B0000}"/>
    <cellStyle name="Comma 2 3 3 7 7" xfId="11050" xr:uid="{00000000-0005-0000-0000-0000272B0000}"/>
    <cellStyle name="Comma 2 3 3 7 7 2" xfId="11051" xr:uid="{00000000-0005-0000-0000-0000282B0000}"/>
    <cellStyle name="Comma 2 3 3 7 8" xfId="11052" xr:uid="{00000000-0005-0000-0000-0000292B0000}"/>
    <cellStyle name="Comma 2 3 3 7 9" xfId="11053" xr:uid="{00000000-0005-0000-0000-00002A2B0000}"/>
    <cellStyle name="Comma 2 3 3 8" xfId="11054" xr:uid="{00000000-0005-0000-0000-00002B2B0000}"/>
    <cellStyle name="Comma 2 3 3 8 10" xfId="11055" xr:uid="{00000000-0005-0000-0000-00002C2B0000}"/>
    <cellStyle name="Comma 2 3 3 8 2" xfId="11056" xr:uid="{00000000-0005-0000-0000-00002D2B0000}"/>
    <cellStyle name="Comma 2 3 3 8 2 2" xfId="11057" xr:uid="{00000000-0005-0000-0000-00002E2B0000}"/>
    <cellStyle name="Comma 2 3 3 8 2 2 2" xfId="11058" xr:uid="{00000000-0005-0000-0000-00002F2B0000}"/>
    <cellStyle name="Comma 2 3 3 8 2 2 3" xfId="11059" xr:uid="{00000000-0005-0000-0000-0000302B0000}"/>
    <cellStyle name="Comma 2 3 3 8 2 3" xfId="11060" xr:uid="{00000000-0005-0000-0000-0000312B0000}"/>
    <cellStyle name="Comma 2 3 3 8 2 4" xfId="11061" xr:uid="{00000000-0005-0000-0000-0000322B0000}"/>
    <cellStyle name="Comma 2 3 3 8 2 5" xfId="11062" xr:uid="{00000000-0005-0000-0000-0000332B0000}"/>
    <cellStyle name="Comma 2 3 3 8 2 6" xfId="11063" xr:uid="{00000000-0005-0000-0000-0000342B0000}"/>
    <cellStyle name="Comma 2 3 3 8 3" xfId="11064" xr:uid="{00000000-0005-0000-0000-0000352B0000}"/>
    <cellStyle name="Comma 2 3 3 8 3 2" xfId="11065" xr:uid="{00000000-0005-0000-0000-0000362B0000}"/>
    <cellStyle name="Comma 2 3 3 8 3 2 2" xfId="11066" xr:uid="{00000000-0005-0000-0000-0000372B0000}"/>
    <cellStyle name="Comma 2 3 3 8 3 2 3" xfId="11067" xr:uid="{00000000-0005-0000-0000-0000382B0000}"/>
    <cellStyle name="Comma 2 3 3 8 3 3" xfId="11068" xr:uid="{00000000-0005-0000-0000-0000392B0000}"/>
    <cellStyle name="Comma 2 3 3 8 3 4" xfId="11069" xr:uid="{00000000-0005-0000-0000-00003A2B0000}"/>
    <cellStyle name="Comma 2 3 3 8 3 5" xfId="11070" xr:uid="{00000000-0005-0000-0000-00003B2B0000}"/>
    <cellStyle name="Comma 2 3 3 8 3 6" xfId="11071" xr:uid="{00000000-0005-0000-0000-00003C2B0000}"/>
    <cellStyle name="Comma 2 3 3 8 4" xfId="11072" xr:uid="{00000000-0005-0000-0000-00003D2B0000}"/>
    <cellStyle name="Comma 2 3 3 8 4 2" xfId="11073" xr:uid="{00000000-0005-0000-0000-00003E2B0000}"/>
    <cellStyle name="Comma 2 3 3 8 4 2 2" xfId="11074" xr:uid="{00000000-0005-0000-0000-00003F2B0000}"/>
    <cellStyle name="Comma 2 3 3 8 4 3" xfId="11075" xr:uid="{00000000-0005-0000-0000-0000402B0000}"/>
    <cellStyle name="Comma 2 3 3 8 4 4" xfId="11076" xr:uid="{00000000-0005-0000-0000-0000412B0000}"/>
    <cellStyle name="Comma 2 3 3 8 4 5" xfId="11077" xr:uid="{00000000-0005-0000-0000-0000422B0000}"/>
    <cellStyle name="Comma 2 3 3 8 5" xfId="11078" xr:uid="{00000000-0005-0000-0000-0000432B0000}"/>
    <cellStyle name="Comma 2 3 3 8 5 2" xfId="11079" xr:uid="{00000000-0005-0000-0000-0000442B0000}"/>
    <cellStyle name="Comma 2 3 3 8 5 3" xfId="11080" xr:uid="{00000000-0005-0000-0000-0000452B0000}"/>
    <cellStyle name="Comma 2 3 3 8 5 4" xfId="11081" xr:uid="{00000000-0005-0000-0000-0000462B0000}"/>
    <cellStyle name="Comma 2 3 3 8 6" xfId="11082" xr:uid="{00000000-0005-0000-0000-0000472B0000}"/>
    <cellStyle name="Comma 2 3 3 8 6 2" xfId="11083" xr:uid="{00000000-0005-0000-0000-0000482B0000}"/>
    <cellStyle name="Comma 2 3 3 8 7" xfId="11084" xr:uid="{00000000-0005-0000-0000-0000492B0000}"/>
    <cellStyle name="Comma 2 3 3 8 8" xfId="11085" xr:uid="{00000000-0005-0000-0000-00004A2B0000}"/>
    <cellStyle name="Comma 2 3 3 8 9" xfId="11086" xr:uid="{00000000-0005-0000-0000-00004B2B0000}"/>
    <cellStyle name="Comma 2 3 3 9" xfId="11087" xr:uid="{00000000-0005-0000-0000-00004C2B0000}"/>
    <cellStyle name="Comma 2 3 3 9 10" xfId="11088" xr:uid="{00000000-0005-0000-0000-00004D2B0000}"/>
    <cellStyle name="Comma 2 3 3 9 2" xfId="11089" xr:uid="{00000000-0005-0000-0000-00004E2B0000}"/>
    <cellStyle name="Comma 2 3 3 9 2 2" xfId="11090" xr:uid="{00000000-0005-0000-0000-00004F2B0000}"/>
    <cellStyle name="Comma 2 3 3 9 2 2 2" xfId="11091" xr:uid="{00000000-0005-0000-0000-0000502B0000}"/>
    <cellStyle name="Comma 2 3 3 9 2 2 3" xfId="11092" xr:uid="{00000000-0005-0000-0000-0000512B0000}"/>
    <cellStyle name="Comma 2 3 3 9 2 3" xfId="11093" xr:uid="{00000000-0005-0000-0000-0000522B0000}"/>
    <cellStyle name="Comma 2 3 3 9 2 4" xfId="11094" xr:uid="{00000000-0005-0000-0000-0000532B0000}"/>
    <cellStyle name="Comma 2 3 3 9 2 5" xfId="11095" xr:uid="{00000000-0005-0000-0000-0000542B0000}"/>
    <cellStyle name="Comma 2 3 3 9 2 6" xfId="11096" xr:uid="{00000000-0005-0000-0000-0000552B0000}"/>
    <cellStyle name="Comma 2 3 3 9 3" xfId="11097" xr:uid="{00000000-0005-0000-0000-0000562B0000}"/>
    <cellStyle name="Comma 2 3 3 9 3 2" xfId="11098" xr:uid="{00000000-0005-0000-0000-0000572B0000}"/>
    <cellStyle name="Comma 2 3 3 9 3 2 2" xfId="11099" xr:uid="{00000000-0005-0000-0000-0000582B0000}"/>
    <cellStyle name="Comma 2 3 3 9 3 2 3" xfId="11100" xr:uid="{00000000-0005-0000-0000-0000592B0000}"/>
    <cellStyle name="Comma 2 3 3 9 3 3" xfId="11101" xr:uid="{00000000-0005-0000-0000-00005A2B0000}"/>
    <cellStyle name="Comma 2 3 3 9 3 4" xfId="11102" xr:uid="{00000000-0005-0000-0000-00005B2B0000}"/>
    <cellStyle name="Comma 2 3 3 9 3 5" xfId="11103" xr:uid="{00000000-0005-0000-0000-00005C2B0000}"/>
    <cellStyle name="Comma 2 3 3 9 3 6" xfId="11104" xr:uid="{00000000-0005-0000-0000-00005D2B0000}"/>
    <cellStyle name="Comma 2 3 3 9 4" xfId="11105" xr:uid="{00000000-0005-0000-0000-00005E2B0000}"/>
    <cellStyle name="Comma 2 3 3 9 4 2" xfId="11106" xr:uid="{00000000-0005-0000-0000-00005F2B0000}"/>
    <cellStyle name="Comma 2 3 3 9 4 2 2" xfId="11107" xr:uid="{00000000-0005-0000-0000-0000602B0000}"/>
    <cellStyle name="Comma 2 3 3 9 4 3" xfId="11108" xr:uid="{00000000-0005-0000-0000-0000612B0000}"/>
    <cellStyle name="Comma 2 3 3 9 4 4" xfId="11109" xr:uid="{00000000-0005-0000-0000-0000622B0000}"/>
    <cellStyle name="Comma 2 3 3 9 4 5" xfId="11110" xr:uid="{00000000-0005-0000-0000-0000632B0000}"/>
    <cellStyle name="Comma 2 3 3 9 5" xfId="11111" xr:uid="{00000000-0005-0000-0000-0000642B0000}"/>
    <cellStyle name="Comma 2 3 3 9 5 2" xfId="11112" xr:uid="{00000000-0005-0000-0000-0000652B0000}"/>
    <cellStyle name="Comma 2 3 3 9 5 3" xfId="11113" xr:uid="{00000000-0005-0000-0000-0000662B0000}"/>
    <cellStyle name="Comma 2 3 3 9 5 4" xfId="11114" xr:uid="{00000000-0005-0000-0000-0000672B0000}"/>
    <cellStyle name="Comma 2 3 3 9 6" xfId="11115" xr:uid="{00000000-0005-0000-0000-0000682B0000}"/>
    <cellStyle name="Comma 2 3 3 9 6 2" xfId="11116" xr:uid="{00000000-0005-0000-0000-0000692B0000}"/>
    <cellStyle name="Comma 2 3 3 9 7" xfId="11117" xr:uid="{00000000-0005-0000-0000-00006A2B0000}"/>
    <cellStyle name="Comma 2 3 3 9 8" xfId="11118" xr:uid="{00000000-0005-0000-0000-00006B2B0000}"/>
    <cellStyle name="Comma 2 3 3 9 9" xfId="11119" xr:uid="{00000000-0005-0000-0000-00006C2B0000}"/>
    <cellStyle name="Comma 2 3 30" xfId="11120" xr:uid="{00000000-0005-0000-0000-00006D2B0000}"/>
    <cellStyle name="Comma 2 3 30 2" xfId="11121" xr:uid="{00000000-0005-0000-0000-00006E2B0000}"/>
    <cellStyle name="Comma 2 3 30 2 2" xfId="11122" xr:uid="{00000000-0005-0000-0000-00006F2B0000}"/>
    <cellStyle name="Comma 2 3 30 2 2 2" xfId="11123" xr:uid="{00000000-0005-0000-0000-0000702B0000}"/>
    <cellStyle name="Comma 2 3 30 2 2 3" xfId="11124" xr:uid="{00000000-0005-0000-0000-0000712B0000}"/>
    <cellStyle name="Comma 2 3 30 2 3" xfId="11125" xr:uid="{00000000-0005-0000-0000-0000722B0000}"/>
    <cellStyle name="Comma 2 3 30 2 4" xfId="11126" xr:uid="{00000000-0005-0000-0000-0000732B0000}"/>
    <cellStyle name="Comma 2 3 30 2 5" xfId="11127" xr:uid="{00000000-0005-0000-0000-0000742B0000}"/>
    <cellStyle name="Comma 2 3 30 2 6" xfId="11128" xr:uid="{00000000-0005-0000-0000-0000752B0000}"/>
    <cellStyle name="Comma 2 3 30 3" xfId="11129" xr:uid="{00000000-0005-0000-0000-0000762B0000}"/>
    <cellStyle name="Comma 2 3 30 3 2" xfId="11130" xr:uid="{00000000-0005-0000-0000-0000772B0000}"/>
    <cellStyle name="Comma 2 3 30 3 2 2" xfId="11131" xr:uid="{00000000-0005-0000-0000-0000782B0000}"/>
    <cellStyle name="Comma 2 3 30 3 3" xfId="11132" xr:uid="{00000000-0005-0000-0000-0000792B0000}"/>
    <cellStyle name="Comma 2 3 30 3 4" xfId="11133" xr:uid="{00000000-0005-0000-0000-00007A2B0000}"/>
    <cellStyle name="Comma 2 3 30 3 5" xfId="11134" xr:uid="{00000000-0005-0000-0000-00007B2B0000}"/>
    <cellStyle name="Comma 2 3 30 4" xfId="11135" xr:uid="{00000000-0005-0000-0000-00007C2B0000}"/>
    <cellStyle name="Comma 2 3 30 4 2" xfId="11136" xr:uid="{00000000-0005-0000-0000-00007D2B0000}"/>
    <cellStyle name="Comma 2 3 30 4 3" xfId="11137" xr:uid="{00000000-0005-0000-0000-00007E2B0000}"/>
    <cellStyle name="Comma 2 3 30 4 4" xfId="11138" xr:uid="{00000000-0005-0000-0000-00007F2B0000}"/>
    <cellStyle name="Comma 2 3 30 5" xfId="11139" xr:uid="{00000000-0005-0000-0000-0000802B0000}"/>
    <cellStyle name="Comma 2 3 30 5 2" xfId="11140" xr:uid="{00000000-0005-0000-0000-0000812B0000}"/>
    <cellStyle name="Comma 2 3 30 6" xfId="11141" xr:uid="{00000000-0005-0000-0000-0000822B0000}"/>
    <cellStyle name="Comma 2 3 30 7" xfId="11142" xr:uid="{00000000-0005-0000-0000-0000832B0000}"/>
    <cellStyle name="Comma 2 3 30 8" xfId="11143" xr:uid="{00000000-0005-0000-0000-0000842B0000}"/>
    <cellStyle name="Comma 2 3 30 9" xfId="11144" xr:uid="{00000000-0005-0000-0000-0000852B0000}"/>
    <cellStyle name="Comma 2 3 31" xfId="11145" xr:uid="{00000000-0005-0000-0000-0000862B0000}"/>
    <cellStyle name="Comma 2 3 31 2" xfId="11146" xr:uid="{00000000-0005-0000-0000-0000872B0000}"/>
    <cellStyle name="Comma 2 3 31 2 2" xfId="11147" xr:uid="{00000000-0005-0000-0000-0000882B0000}"/>
    <cellStyle name="Comma 2 3 31 2 3" xfId="11148" xr:uid="{00000000-0005-0000-0000-0000892B0000}"/>
    <cellStyle name="Comma 2 3 31 3" xfId="11149" xr:uid="{00000000-0005-0000-0000-00008A2B0000}"/>
    <cellStyle name="Comma 2 3 31 4" xfId="11150" xr:uid="{00000000-0005-0000-0000-00008B2B0000}"/>
    <cellStyle name="Comma 2 3 31 5" xfId="11151" xr:uid="{00000000-0005-0000-0000-00008C2B0000}"/>
    <cellStyle name="Comma 2 3 31 6" xfId="11152" xr:uid="{00000000-0005-0000-0000-00008D2B0000}"/>
    <cellStyle name="Comma 2 3 32" xfId="11153" xr:uid="{00000000-0005-0000-0000-00008E2B0000}"/>
    <cellStyle name="Comma 2 3 32 2" xfId="11154" xr:uid="{00000000-0005-0000-0000-00008F2B0000}"/>
    <cellStyle name="Comma 2 3 32 2 2" xfId="11155" xr:uid="{00000000-0005-0000-0000-0000902B0000}"/>
    <cellStyle name="Comma 2 3 32 3" xfId="11156" xr:uid="{00000000-0005-0000-0000-0000912B0000}"/>
    <cellStyle name="Comma 2 3 32 4" xfId="11157" xr:uid="{00000000-0005-0000-0000-0000922B0000}"/>
    <cellStyle name="Comma 2 3 32 5" xfId="11158" xr:uid="{00000000-0005-0000-0000-0000932B0000}"/>
    <cellStyle name="Comma 2 3 33" xfId="11159" xr:uid="{00000000-0005-0000-0000-0000942B0000}"/>
    <cellStyle name="Comma 2 3 33 2" xfId="11160" xr:uid="{00000000-0005-0000-0000-0000952B0000}"/>
    <cellStyle name="Comma 2 3 33 2 2" xfId="11161" xr:uid="{00000000-0005-0000-0000-0000962B0000}"/>
    <cellStyle name="Comma 2 3 33 3" xfId="11162" xr:uid="{00000000-0005-0000-0000-0000972B0000}"/>
    <cellStyle name="Comma 2 3 33 4" xfId="11163" xr:uid="{00000000-0005-0000-0000-0000982B0000}"/>
    <cellStyle name="Comma 2 3 33 5" xfId="11164" xr:uid="{00000000-0005-0000-0000-0000992B0000}"/>
    <cellStyle name="Comma 2 3 34" xfId="11165" xr:uid="{00000000-0005-0000-0000-00009A2B0000}"/>
    <cellStyle name="Comma 2 3 34 2" xfId="11166" xr:uid="{00000000-0005-0000-0000-00009B2B0000}"/>
    <cellStyle name="Comma 2 3 35" xfId="11167" xr:uid="{00000000-0005-0000-0000-00009C2B0000}"/>
    <cellStyle name="Comma 2 3 36" xfId="11168" xr:uid="{00000000-0005-0000-0000-00009D2B0000}"/>
    <cellStyle name="Comma 2 3 37" xfId="11169" xr:uid="{00000000-0005-0000-0000-00009E2B0000}"/>
    <cellStyle name="Comma 2 3 38" xfId="11170" xr:uid="{00000000-0005-0000-0000-00009F2B0000}"/>
    <cellStyle name="Comma 2 3 4" xfId="11171" xr:uid="{00000000-0005-0000-0000-0000A02B0000}"/>
    <cellStyle name="Comma 2 3 4 10" xfId="11172" xr:uid="{00000000-0005-0000-0000-0000A12B0000}"/>
    <cellStyle name="Comma 2 3 4 11" xfId="11173" xr:uid="{00000000-0005-0000-0000-0000A22B0000}"/>
    <cellStyle name="Comma 2 3 4 2" xfId="11174" xr:uid="{00000000-0005-0000-0000-0000A32B0000}"/>
    <cellStyle name="Comma 2 3 4 2 2" xfId="11175" xr:uid="{00000000-0005-0000-0000-0000A42B0000}"/>
    <cellStyle name="Comma 2 3 4 2 2 2" xfId="11176" xr:uid="{00000000-0005-0000-0000-0000A52B0000}"/>
    <cellStyle name="Comma 2 3 4 2 2 2 2" xfId="11177" xr:uid="{00000000-0005-0000-0000-0000A62B0000}"/>
    <cellStyle name="Comma 2 3 4 2 2 2 3" xfId="11178" xr:uid="{00000000-0005-0000-0000-0000A72B0000}"/>
    <cellStyle name="Comma 2 3 4 2 2 3" xfId="11179" xr:uid="{00000000-0005-0000-0000-0000A82B0000}"/>
    <cellStyle name="Comma 2 3 4 2 2 4" xfId="11180" xr:uid="{00000000-0005-0000-0000-0000A92B0000}"/>
    <cellStyle name="Comma 2 3 4 2 2 5" xfId="11181" xr:uid="{00000000-0005-0000-0000-0000AA2B0000}"/>
    <cellStyle name="Comma 2 3 4 2 2 6" xfId="11182" xr:uid="{00000000-0005-0000-0000-0000AB2B0000}"/>
    <cellStyle name="Comma 2 3 4 2 3" xfId="11183" xr:uid="{00000000-0005-0000-0000-0000AC2B0000}"/>
    <cellStyle name="Comma 2 3 4 2 3 2" xfId="11184" xr:uid="{00000000-0005-0000-0000-0000AD2B0000}"/>
    <cellStyle name="Comma 2 3 4 2 3 2 2" xfId="11185" xr:uid="{00000000-0005-0000-0000-0000AE2B0000}"/>
    <cellStyle name="Comma 2 3 4 2 3 3" xfId="11186" xr:uid="{00000000-0005-0000-0000-0000AF2B0000}"/>
    <cellStyle name="Comma 2 3 4 2 3 4" xfId="11187" xr:uid="{00000000-0005-0000-0000-0000B02B0000}"/>
    <cellStyle name="Comma 2 3 4 2 3 5" xfId="11188" xr:uid="{00000000-0005-0000-0000-0000B12B0000}"/>
    <cellStyle name="Comma 2 3 4 2 4" xfId="11189" xr:uid="{00000000-0005-0000-0000-0000B22B0000}"/>
    <cellStyle name="Comma 2 3 4 2 4 2" xfId="11190" xr:uid="{00000000-0005-0000-0000-0000B32B0000}"/>
    <cellStyle name="Comma 2 3 4 2 4 3" xfId="11191" xr:uid="{00000000-0005-0000-0000-0000B42B0000}"/>
    <cellStyle name="Comma 2 3 4 2 4 4" xfId="11192" xr:uid="{00000000-0005-0000-0000-0000B52B0000}"/>
    <cellStyle name="Comma 2 3 4 2 5" xfId="11193" xr:uid="{00000000-0005-0000-0000-0000B62B0000}"/>
    <cellStyle name="Comma 2 3 4 2 5 2" xfId="11194" xr:uid="{00000000-0005-0000-0000-0000B72B0000}"/>
    <cellStyle name="Comma 2 3 4 2 6" xfId="11195" xr:uid="{00000000-0005-0000-0000-0000B82B0000}"/>
    <cellStyle name="Comma 2 3 4 2 7" xfId="11196" xr:uid="{00000000-0005-0000-0000-0000B92B0000}"/>
    <cellStyle name="Comma 2 3 4 2 8" xfId="11197" xr:uid="{00000000-0005-0000-0000-0000BA2B0000}"/>
    <cellStyle name="Comma 2 3 4 2 9" xfId="11198" xr:uid="{00000000-0005-0000-0000-0000BB2B0000}"/>
    <cellStyle name="Comma 2 3 4 3" xfId="11199" xr:uid="{00000000-0005-0000-0000-0000BC2B0000}"/>
    <cellStyle name="Comma 2 3 4 3 2" xfId="11200" xr:uid="{00000000-0005-0000-0000-0000BD2B0000}"/>
    <cellStyle name="Comma 2 3 4 3 2 2" xfId="11201" xr:uid="{00000000-0005-0000-0000-0000BE2B0000}"/>
    <cellStyle name="Comma 2 3 4 3 2 2 2" xfId="11202" xr:uid="{00000000-0005-0000-0000-0000BF2B0000}"/>
    <cellStyle name="Comma 2 3 4 3 2 2 3" xfId="11203" xr:uid="{00000000-0005-0000-0000-0000C02B0000}"/>
    <cellStyle name="Comma 2 3 4 3 2 3" xfId="11204" xr:uid="{00000000-0005-0000-0000-0000C12B0000}"/>
    <cellStyle name="Comma 2 3 4 3 2 4" xfId="11205" xr:uid="{00000000-0005-0000-0000-0000C22B0000}"/>
    <cellStyle name="Comma 2 3 4 3 2 5" xfId="11206" xr:uid="{00000000-0005-0000-0000-0000C32B0000}"/>
    <cellStyle name="Comma 2 3 4 3 2 6" xfId="11207" xr:uid="{00000000-0005-0000-0000-0000C42B0000}"/>
    <cellStyle name="Comma 2 3 4 3 3" xfId="11208" xr:uid="{00000000-0005-0000-0000-0000C52B0000}"/>
    <cellStyle name="Comma 2 3 4 3 3 2" xfId="11209" xr:uid="{00000000-0005-0000-0000-0000C62B0000}"/>
    <cellStyle name="Comma 2 3 4 3 3 2 2" xfId="11210" xr:uid="{00000000-0005-0000-0000-0000C72B0000}"/>
    <cellStyle name="Comma 2 3 4 3 3 3" xfId="11211" xr:uid="{00000000-0005-0000-0000-0000C82B0000}"/>
    <cellStyle name="Comma 2 3 4 3 3 4" xfId="11212" xr:uid="{00000000-0005-0000-0000-0000C92B0000}"/>
    <cellStyle name="Comma 2 3 4 3 3 5" xfId="11213" xr:uid="{00000000-0005-0000-0000-0000CA2B0000}"/>
    <cellStyle name="Comma 2 3 4 3 4" xfId="11214" xr:uid="{00000000-0005-0000-0000-0000CB2B0000}"/>
    <cellStyle name="Comma 2 3 4 3 4 2" xfId="11215" xr:uid="{00000000-0005-0000-0000-0000CC2B0000}"/>
    <cellStyle name="Comma 2 3 4 3 4 3" xfId="11216" xr:uid="{00000000-0005-0000-0000-0000CD2B0000}"/>
    <cellStyle name="Comma 2 3 4 3 4 4" xfId="11217" xr:uid="{00000000-0005-0000-0000-0000CE2B0000}"/>
    <cellStyle name="Comma 2 3 4 3 5" xfId="11218" xr:uid="{00000000-0005-0000-0000-0000CF2B0000}"/>
    <cellStyle name="Comma 2 3 4 3 5 2" xfId="11219" xr:uid="{00000000-0005-0000-0000-0000D02B0000}"/>
    <cellStyle name="Comma 2 3 4 3 6" xfId="11220" xr:uid="{00000000-0005-0000-0000-0000D12B0000}"/>
    <cellStyle name="Comma 2 3 4 3 7" xfId="11221" xr:uid="{00000000-0005-0000-0000-0000D22B0000}"/>
    <cellStyle name="Comma 2 3 4 3 8" xfId="11222" xr:uid="{00000000-0005-0000-0000-0000D32B0000}"/>
    <cellStyle name="Comma 2 3 4 3 9" xfId="11223" xr:uid="{00000000-0005-0000-0000-0000D42B0000}"/>
    <cellStyle name="Comma 2 3 4 4" xfId="11224" xr:uid="{00000000-0005-0000-0000-0000D52B0000}"/>
    <cellStyle name="Comma 2 3 4 4 2" xfId="11225" xr:uid="{00000000-0005-0000-0000-0000D62B0000}"/>
    <cellStyle name="Comma 2 3 4 4 2 2" xfId="11226" xr:uid="{00000000-0005-0000-0000-0000D72B0000}"/>
    <cellStyle name="Comma 2 3 4 4 2 3" xfId="11227" xr:uid="{00000000-0005-0000-0000-0000D82B0000}"/>
    <cellStyle name="Comma 2 3 4 4 3" xfId="11228" xr:uid="{00000000-0005-0000-0000-0000D92B0000}"/>
    <cellStyle name="Comma 2 3 4 4 4" xfId="11229" xr:uid="{00000000-0005-0000-0000-0000DA2B0000}"/>
    <cellStyle name="Comma 2 3 4 4 5" xfId="11230" xr:uid="{00000000-0005-0000-0000-0000DB2B0000}"/>
    <cellStyle name="Comma 2 3 4 4 6" xfId="11231" xr:uid="{00000000-0005-0000-0000-0000DC2B0000}"/>
    <cellStyle name="Comma 2 3 4 5" xfId="11232" xr:uid="{00000000-0005-0000-0000-0000DD2B0000}"/>
    <cellStyle name="Comma 2 3 4 5 2" xfId="11233" xr:uid="{00000000-0005-0000-0000-0000DE2B0000}"/>
    <cellStyle name="Comma 2 3 4 5 2 2" xfId="11234" xr:uid="{00000000-0005-0000-0000-0000DF2B0000}"/>
    <cellStyle name="Comma 2 3 4 5 3" xfId="11235" xr:uid="{00000000-0005-0000-0000-0000E02B0000}"/>
    <cellStyle name="Comma 2 3 4 5 4" xfId="11236" xr:uid="{00000000-0005-0000-0000-0000E12B0000}"/>
    <cellStyle name="Comma 2 3 4 5 5" xfId="11237" xr:uid="{00000000-0005-0000-0000-0000E22B0000}"/>
    <cellStyle name="Comma 2 3 4 6" xfId="11238" xr:uid="{00000000-0005-0000-0000-0000E32B0000}"/>
    <cellStyle name="Comma 2 3 4 6 2" xfId="11239" xr:uid="{00000000-0005-0000-0000-0000E42B0000}"/>
    <cellStyle name="Comma 2 3 4 6 3" xfId="11240" xr:uid="{00000000-0005-0000-0000-0000E52B0000}"/>
    <cellStyle name="Comma 2 3 4 6 4" xfId="11241" xr:uid="{00000000-0005-0000-0000-0000E62B0000}"/>
    <cellStyle name="Comma 2 3 4 7" xfId="11242" xr:uid="{00000000-0005-0000-0000-0000E72B0000}"/>
    <cellStyle name="Comma 2 3 4 7 2" xfId="11243" xr:uid="{00000000-0005-0000-0000-0000E82B0000}"/>
    <cellStyle name="Comma 2 3 4 8" xfId="11244" xr:uid="{00000000-0005-0000-0000-0000E92B0000}"/>
    <cellStyle name="Comma 2 3 4 9" xfId="11245" xr:uid="{00000000-0005-0000-0000-0000EA2B0000}"/>
    <cellStyle name="Comma 2 3 5" xfId="11246" xr:uid="{00000000-0005-0000-0000-0000EB2B0000}"/>
    <cellStyle name="Comma 2 3 5 10" xfId="11247" xr:uid="{00000000-0005-0000-0000-0000EC2B0000}"/>
    <cellStyle name="Comma 2 3 5 11" xfId="11248" xr:uid="{00000000-0005-0000-0000-0000ED2B0000}"/>
    <cellStyle name="Comma 2 3 5 2" xfId="11249" xr:uid="{00000000-0005-0000-0000-0000EE2B0000}"/>
    <cellStyle name="Comma 2 3 5 2 2" xfId="11250" xr:uid="{00000000-0005-0000-0000-0000EF2B0000}"/>
    <cellStyle name="Comma 2 3 5 2 2 2" xfId="11251" xr:uid="{00000000-0005-0000-0000-0000F02B0000}"/>
    <cellStyle name="Comma 2 3 5 2 2 2 2" xfId="11252" xr:uid="{00000000-0005-0000-0000-0000F12B0000}"/>
    <cellStyle name="Comma 2 3 5 2 2 2 3" xfId="11253" xr:uid="{00000000-0005-0000-0000-0000F22B0000}"/>
    <cellStyle name="Comma 2 3 5 2 2 3" xfId="11254" xr:uid="{00000000-0005-0000-0000-0000F32B0000}"/>
    <cellStyle name="Comma 2 3 5 2 2 4" xfId="11255" xr:uid="{00000000-0005-0000-0000-0000F42B0000}"/>
    <cellStyle name="Comma 2 3 5 2 2 5" xfId="11256" xr:uid="{00000000-0005-0000-0000-0000F52B0000}"/>
    <cellStyle name="Comma 2 3 5 2 2 6" xfId="11257" xr:uid="{00000000-0005-0000-0000-0000F62B0000}"/>
    <cellStyle name="Comma 2 3 5 2 3" xfId="11258" xr:uid="{00000000-0005-0000-0000-0000F72B0000}"/>
    <cellStyle name="Comma 2 3 5 2 3 2" xfId="11259" xr:uid="{00000000-0005-0000-0000-0000F82B0000}"/>
    <cellStyle name="Comma 2 3 5 2 3 2 2" xfId="11260" xr:uid="{00000000-0005-0000-0000-0000F92B0000}"/>
    <cellStyle name="Comma 2 3 5 2 3 3" xfId="11261" xr:uid="{00000000-0005-0000-0000-0000FA2B0000}"/>
    <cellStyle name="Comma 2 3 5 2 3 4" xfId="11262" xr:uid="{00000000-0005-0000-0000-0000FB2B0000}"/>
    <cellStyle name="Comma 2 3 5 2 3 5" xfId="11263" xr:uid="{00000000-0005-0000-0000-0000FC2B0000}"/>
    <cellStyle name="Comma 2 3 5 2 4" xfId="11264" xr:uid="{00000000-0005-0000-0000-0000FD2B0000}"/>
    <cellStyle name="Comma 2 3 5 2 4 2" xfId="11265" xr:uid="{00000000-0005-0000-0000-0000FE2B0000}"/>
    <cellStyle name="Comma 2 3 5 2 4 3" xfId="11266" xr:uid="{00000000-0005-0000-0000-0000FF2B0000}"/>
    <cellStyle name="Comma 2 3 5 2 4 4" xfId="11267" xr:uid="{00000000-0005-0000-0000-0000002C0000}"/>
    <cellStyle name="Comma 2 3 5 2 5" xfId="11268" xr:uid="{00000000-0005-0000-0000-0000012C0000}"/>
    <cellStyle name="Comma 2 3 5 2 5 2" xfId="11269" xr:uid="{00000000-0005-0000-0000-0000022C0000}"/>
    <cellStyle name="Comma 2 3 5 2 6" xfId="11270" xr:uid="{00000000-0005-0000-0000-0000032C0000}"/>
    <cellStyle name="Comma 2 3 5 2 7" xfId="11271" xr:uid="{00000000-0005-0000-0000-0000042C0000}"/>
    <cellStyle name="Comma 2 3 5 2 8" xfId="11272" xr:uid="{00000000-0005-0000-0000-0000052C0000}"/>
    <cellStyle name="Comma 2 3 5 2 9" xfId="11273" xr:uid="{00000000-0005-0000-0000-0000062C0000}"/>
    <cellStyle name="Comma 2 3 5 3" xfId="11274" xr:uid="{00000000-0005-0000-0000-0000072C0000}"/>
    <cellStyle name="Comma 2 3 5 3 2" xfId="11275" xr:uid="{00000000-0005-0000-0000-0000082C0000}"/>
    <cellStyle name="Comma 2 3 5 3 2 2" xfId="11276" xr:uid="{00000000-0005-0000-0000-0000092C0000}"/>
    <cellStyle name="Comma 2 3 5 3 2 2 2" xfId="11277" xr:uid="{00000000-0005-0000-0000-00000A2C0000}"/>
    <cellStyle name="Comma 2 3 5 3 2 2 3" xfId="11278" xr:uid="{00000000-0005-0000-0000-00000B2C0000}"/>
    <cellStyle name="Comma 2 3 5 3 2 3" xfId="11279" xr:uid="{00000000-0005-0000-0000-00000C2C0000}"/>
    <cellStyle name="Comma 2 3 5 3 2 4" xfId="11280" xr:uid="{00000000-0005-0000-0000-00000D2C0000}"/>
    <cellStyle name="Comma 2 3 5 3 2 5" xfId="11281" xr:uid="{00000000-0005-0000-0000-00000E2C0000}"/>
    <cellStyle name="Comma 2 3 5 3 2 6" xfId="11282" xr:uid="{00000000-0005-0000-0000-00000F2C0000}"/>
    <cellStyle name="Comma 2 3 5 3 3" xfId="11283" xr:uid="{00000000-0005-0000-0000-0000102C0000}"/>
    <cellStyle name="Comma 2 3 5 3 3 2" xfId="11284" xr:uid="{00000000-0005-0000-0000-0000112C0000}"/>
    <cellStyle name="Comma 2 3 5 3 3 2 2" xfId="11285" xr:uid="{00000000-0005-0000-0000-0000122C0000}"/>
    <cellStyle name="Comma 2 3 5 3 3 3" xfId="11286" xr:uid="{00000000-0005-0000-0000-0000132C0000}"/>
    <cellStyle name="Comma 2 3 5 3 3 4" xfId="11287" xr:uid="{00000000-0005-0000-0000-0000142C0000}"/>
    <cellStyle name="Comma 2 3 5 3 3 5" xfId="11288" xr:uid="{00000000-0005-0000-0000-0000152C0000}"/>
    <cellStyle name="Comma 2 3 5 3 4" xfId="11289" xr:uid="{00000000-0005-0000-0000-0000162C0000}"/>
    <cellStyle name="Comma 2 3 5 3 4 2" xfId="11290" xr:uid="{00000000-0005-0000-0000-0000172C0000}"/>
    <cellStyle name="Comma 2 3 5 3 4 3" xfId="11291" xr:uid="{00000000-0005-0000-0000-0000182C0000}"/>
    <cellStyle name="Comma 2 3 5 3 4 4" xfId="11292" xr:uid="{00000000-0005-0000-0000-0000192C0000}"/>
    <cellStyle name="Comma 2 3 5 3 5" xfId="11293" xr:uid="{00000000-0005-0000-0000-00001A2C0000}"/>
    <cellStyle name="Comma 2 3 5 3 5 2" xfId="11294" xr:uid="{00000000-0005-0000-0000-00001B2C0000}"/>
    <cellStyle name="Comma 2 3 5 3 6" xfId="11295" xr:uid="{00000000-0005-0000-0000-00001C2C0000}"/>
    <cellStyle name="Comma 2 3 5 3 7" xfId="11296" xr:uid="{00000000-0005-0000-0000-00001D2C0000}"/>
    <cellStyle name="Comma 2 3 5 3 8" xfId="11297" xr:uid="{00000000-0005-0000-0000-00001E2C0000}"/>
    <cellStyle name="Comma 2 3 5 3 9" xfId="11298" xr:uid="{00000000-0005-0000-0000-00001F2C0000}"/>
    <cellStyle name="Comma 2 3 5 4" xfId="11299" xr:uid="{00000000-0005-0000-0000-0000202C0000}"/>
    <cellStyle name="Comma 2 3 5 4 2" xfId="11300" xr:uid="{00000000-0005-0000-0000-0000212C0000}"/>
    <cellStyle name="Comma 2 3 5 4 2 2" xfId="11301" xr:uid="{00000000-0005-0000-0000-0000222C0000}"/>
    <cellStyle name="Comma 2 3 5 4 2 3" xfId="11302" xr:uid="{00000000-0005-0000-0000-0000232C0000}"/>
    <cellStyle name="Comma 2 3 5 4 3" xfId="11303" xr:uid="{00000000-0005-0000-0000-0000242C0000}"/>
    <cellStyle name="Comma 2 3 5 4 4" xfId="11304" xr:uid="{00000000-0005-0000-0000-0000252C0000}"/>
    <cellStyle name="Comma 2 3 5 4 5" xfId="11305" xr:uid="{00000000-0005-0000-0000-0000262C0000}"/>
    <cellStyle name="Comma 2 3 5 4 6" xfId="11306" xr:uid="{00000000-0005-0000-0000-0000272C0000}"/>
    <cellStyle name="Comma 2 3 5 5" xfId="11307" xr:uid="{00000000-0005-0000-0000-0000282C0000}"/>
    <cellStyle name="Comma 2 3 5 5 2" xfId="11308" xr:uid="{00000000-0005-0000-0000-0000292C0000}"/>
    <cellStyle name="Comma 2 3 5 5 2 2" xfId="11309" xr:uid="{00000000-0005-0000-0000-00002A2C0000}"/>
    <cellStyle name="Comma 2 3 5 5 3" xfId="11310" xr:uid="{00000000-0005-0000-0000-00002B2C0000}"/>
    <cellStyle name="Comma 2 3 5 5 4" xfId="11311" xr:uid="{00000000-0005-0000-0000-00002C2C0000}"/>
    <cellStyle name="Comma 2 3 5 5 5" xfId="11312" xr:uid="{00000000-0005-0000-0000-00002D2C0000}"/>
    <cellStyle name="Comma 2 3 5 6" xfId="11313" xr:uid="{00000000-0005-0000-0000-00002E2C0000}"/>
    <cellStyle name="Comma 2 3 5 6 2" xfId="11314" xr:uid="{00000000-0005-0000-0000-00002F2C0000}"/>
    <cellStyle name="Comma 2 3 5 6 3" xfId="11315" xr:uid="{00000000-0005-0000-0000-0000302C0000}"/>
    <cellStyle name="Comma 2 3 5 6 4" xfId="11316" xr:uid="{00000000-0005-0000-0000-0000312C0000}"/>
    <cellStyle name="Comma 2 3 5 7" xfId="11317" xr:uid="{00000000-0005-0000-0000-0000322C0000}"/>
    <cellStyle name="Comma 2 3 5 7 2" xfId="11318" xr:uid="{00000000-0005-0000-0000-0000332C0000}"/>
    <cellStyle name="Comma 2 3 5 8" xfId="11319" xr:uid="{00000000-0005-0000-0000-0000342C0000}"/>
    <cellStyle name="Comma 2 3 5 9" xfId="11320" xr:uid="{00000000-0005-0000-0000-0000352C0000}"/>
    <cellStyle name="Comma 2 3 6" xfId="11321" xr:uid="{00000000-0005-0000-0000-0000362C0000}"/>
    <cellStyle name="Comma 2 3 6 10" xfId="11322" xr:uid="{00000000-0005-0000-0000-0000372C0000}"/>
    <cellStyle name="Comma 2 3 6 11" xfId="11323" xr:uid="{00000000-0005-0000-0000-0000382C0000}"/>
    <cellStyle name="Comma 2 3 6 2" xfId="11324" xr:uid="{00000000-0005-0000-0000-0000392C0000}"/>
    <cellStyle name="Comma 2 3 6 2 2" xfId="11325" xr:uid="{00000000-0005-0000-0000-00003A2C0000}"/>
    <cellStyle name="Comma 2 3 6 2 2 2" xfId="11326" xr:uid="{00000000-0005-0000-0000-00003B2C0000}"/>
    <cellStyle name="Comma 2 3 6 2 2 2 2" xfId="11327" xr:uid="{00000000-0005-0000-0000-00003C2C0000}"/>
    <cellStyle name="Comma 2 3 6 2 2 2 3" xfId="11328" xr:uid="{00000000-0005-0000-0000-00003D2C0000}"/>
    <cellStyle name="Comma 2 3 6 2 2 3" xfId="11329" xr:uid="{00000000-0005-0000-0000-00003E2C0000}"/>
    <cellStyle name="Comma 2 3 6 2 2 4" xfId="11330" xr:uid="{00000000-0005-0000-0000-00003F2C0000}"/>
    <cellStyle name="Comma 2 3 6 2 2 5" xfId="11331" xr:uid="{00000000-0005-0000-0000-0000402C0000}"/>
    <cellStyle name="Comma 2 3 6 2 2 6" xfId="11332" xr:uid="{00000000-0005-0000-0000-0000412C0000}"/>
    <cellStyle name="Comma 2 3 6 2 3" xfId="11333" xr:uid="{00000000-0005-0000-0000-0000422C0000}"/>
    <cellStyle name="Comma 2 3 6 2 3 2" xfId="11334" xr:uid="{00000000-0005-0000-0000-0000432C0000}"/>
    <cellStyle name="Comma 2 3 6 2 3 2 2" xfId="11335" xr:uid="{00000000-0005-0000-0000-0000442C0000}"/>
    <cellStyle name="Comma 2 3 6 2 3 3" xfId="11336" xr:uid="{00000000-0005-0000-0000-0000452C0000}"/>
    <cellStyle name="Comma 2 3 6 2 3 4" xfId="11337" xr:uid="{00000000-0005-0000-0000-0000462C0000}"/>
    <cellStyle name="Comma 2 3 6 2 3 5" xfId="11338" xr:uid="{00000000-0005-0000-0000-0000472C0000}"/>
    <cellStyle name="Comma 2 3 6 2 4" xfId="11339" xr:uid="{00000000-0005-0000-0000-0000482C0000}"/>
    <cellStyle name="Comma 2 3 6 2 4 2" xfId="11340" xr:uid="{00000000-0005-0000-0000-0000492C0000}"/>
    <cellStyle name="Comma 2 3 6 2 4 3" xfId="11341" xr:uid="{00000000-0005-0000-0000-00004A2C0000}"/>
    <cellStyle name="Comma 2 3 6 2 4 4" xfId="11342" xr:uid="{00000000-0005-0000-0000-00004B2C0000}"/>
    <cellStyle name="Comma 2 3 6 2 5" xfId="11343" xr:uid="{00000000-0005-0000-0000-00004C2C0000}"/>
    <cellStyle name="Comma 2 3 6 2 5 2" xfId="11344" xr:uid="{00000000-0005-0000-0000-00004D2C0000}"/>
    <cellStyle name="Comma 2 3 6 2 6" xfId="11345" xr:uid="{00000000-0005-0000-0000-00004E2C0000}"/>
    <cellStyle name="Comma 2 3 6 2 7" xfId="11346" xr:uid="{00000000-0005-0000-0000-00004F2C0000}"/>
    <cellStyle name="Comma 2 3 6 2 8" xfId="11347" xr:uid="{00000000-0005-0000-0000-0000502C0000}"/>
    <cellStyle name="Comma 2 3 6 2 9" xfId="11348" xr:uid="{00000000-0005-0000-0000-0000512C0000}"/>
    <cellStyle name="Comma 2 3 6 3" xfId="11349" xr:uid="{00000000-0005-0000-0000-0000522C0000}"/>
    <cellStyle name="Comma 2 3 6 3 2" xfId="11350" xr:uid="{00000000-0005-0000-0000-0000532C0000}"/>
    <cellStyle name="Comma 2 3 6 3 2 2" xfId="11351" xr:uid="{00000000-0005-0000-0000-0000542C0000}"/>
    <cellStyle name="Comma 2 3 6 3 2 2 2" xfId="11352" xr:uid="{00000000-0005-0000-0000-0000552C0000}"/>
    <cellStyle name="Comma 2 3 6 3 2 2 3" xfId="11353" xr:uid="{00000000-0005-0000-0000-0000562C0000}"/>
    <cellStyle name="Comma 2 3 6 3 2 3" xfId="11354" xr:uid="{00000000-0005-0000-0000-0000572C0000}"/>
    <cellStyle name="Comma 2 3 6 3 2 4" xfId="11355" xr:uid="{00000000-0005-0000-0000-0000582C0000}"/>
    <cellStyle name="Comma 2 3 6 3 2 5" xfId="11356" xr:uid="{00000000-0005-0000-0000-0000592C0000}"/>
    <cellStyle name="Comma 2 3 6 3 2 6" xfId="11357" xr:uid="{00000000-0005-0000-0000-00005A2C0000}"/>
    <cellStyle name="Comma 2 3 6 3 3" xfId="11358" xr:uid="{00000000-0005-0000-0000-00005B2C0000}"/>
    <cellStyle name="Comma 2 3 6 3 3 2" xfId="11359" xr:uid="{00000000-0005-0000-0000-00005C2C0000}"/>
    <cellStyle name="Comma 2 3 6 3 3 2 2" xfId="11360" xr:uid="{00000000-0005-0000-0000-00005D2C0000}"/>
    <cellStyle name="Comma 2 3 6 3 3 3" xfId="11361" xr:uid="{00000000-0005-0000-0000-00005E2C0000}"/>
    <cellStyle name="Comma 2 3 6 3 3 4" xfId="11362" xr:uid="{00000000-0005-0000-0000-00005F2C0000}"/>
    <cellStyle name="Comma 2 3 6 3 3 5" xfId="11363" xr:uid="{00000000-0005-0000-0000-0000602C0000}"/>
    <cellStyle name="Comma 2 3 6 3 4" xfId="11364" xr:uid="{00000000-0005-0000-0000-0000612C0000}"/>
    <cellStyle name="Comma 2 3 6 3 4 2" xfId="11365" xr:uid="{00000000-0005-0000-0000-0000622C0000}"/>
    <cellStyle name="Comma 2 3 6 3 4 3" xfId="11366" xr:uid="{00000000-0005-0000-0000-0000632C0000}"/>
    <cellStyle name="Comma 2 3 6 3 4 4" xfId="11367" xr:uid="{00000000-0005-0000-0000-0000642C0000}"/>
    <cellStyle name="Comma 2 3 6 3 5" xfId="11368" xr:uid="{00000000-0005-0000-0000-0000652C0000}"/>
    <cellStyle name="Comma 2 3 6 3 5 2" xfId="11369" xr:uid="{00000000-0005-0000-0000-0000662C0000}"/>
    <cellStyle name="Comma 2 3 6 3 6" xfId="11370" xr:uid="{00000000-0005-0000-0000-0000672C0000}"/>
    <cellStyle name="Comma 2 3 6 3 7" xfId="11371" xr:uid="{00000000-0005-0000-0000-0000682C0000}"/>
    <cellStyle name="Comma 2 3 6 3 8" xfId="11372" xr:uid="{00000000-0005-0000-0000-0000692C0000}"/>
    <cellStyle name="Comma 2 3 6 3 9" xfId="11373" xr:uid="{00000000-0005-0000-0000-00006A2C0000}"/>
    <cellStyle name="Comma 2 3 6 4" xfId="11374" xr:uid="{00000000-0005-0000-0000-00006B2C0000}"/>
    <cellStyle name="Comma 2 3 6 4 2" xfId="11375" xr:uid="{00000000-0005-0000-0000-00006C2C0000}"/>
    <cellStyle name="Comma 2 3 6 4 2 2" xfId="11376" xr:uid="{00000000-0005-0000-0000-00006D2C0000}"/>
    <cellStyle name="Comma 2 3 6 4 2 3" xfId="11377" xr:uid="{00000000-0005-0000-0000-00006E2C0000}"/>
    <cellStyle name="Comma 2 3 6 4 3" xfId="11378" xr:uid="{00000000-0005-0000-0000-00006F2C0000}"/>
    <cellStyle name="Comma 2 3 6 4 4" xfId="11379" xr:uid="{00000000-0005-0000-0000-0000702C0000}"/>
    <cellStyle name="Comma 2 3 6 4 5" xfId="11380" xr:uid="{00000000-0005-0000-0000-0000712C0000}"/>
    <cellStyle name="Comma 2 3 6 4 6" xfId="11381" xr:uid="{00000000-0005-0000-0000-0000722C0000}"/>
    <cellStyle name="Comma 2 3 6 5" xfId="11382" xr:uid="{00000000-0005-0000-0000-0000732C0000}"/>
    <cellStyle name="Comma 2 3 6 5 2" xfId="11383" xr:uid="{00000000-0005-0000-0000-0000742C0000}"/>
    <cellStyle name="Comma 2 3 6 5 2 2" xfId="11384" xr:uid="{00000000-0005-0000-0000-0000752C0000}"/>
    <cellStyle name="Comma 2 3 6 5 3" xfId="11385" xr:uid="{00000000-0005-0000-0000-0000762C0000}"/>
    <cellStyle name="Comma 2 3 6 5 4" xfId="11386" xr:uid="{00000000-0005-0000-0000-0000772C0000}"/>
    <cellStyle name="Comma 2 3 6 5 5" xfId="11387" xr:uid="{00000000-0005-0000-0000-0000782C0000}"/>
    <cellStyle name="Comma 2 3 6 6" xfId="11388" xr:uid="{00000000-0005-0000-0000-0000792C0000}"/>
    <cellStyle name="Comma 2 3 6 6 2" xfId="11389" xr:uid="{00000000-0005-0000-0000-00007A2C0000}"/>
    <cellStyle name="Comma 2 3 6 6 3" xfId="11390" xr:uid="{00000000-0005-0000-0000-00007B2C0000}"/>
    <cellStyle name="Comma 2 3 6 6 4" xfId="11391" xr:uid="{00000000-0005-0000-0000-00007C2C0000}"/>
    <cellStyle name="Comma 2 3 6 7" xfId="11392" xr:uid="{00000000-0005-0000-0000-00007D2C0000}"/>
    <cellStyle name="Comma 2 3 6 7 2" xfId="11393" xr:uid="{00000000-0005-0000-0000-00007E2C0000}"/>
    <cellStyle name="Comma 2 3 6 8" xfId="11394" xr:uid="{00000000-0005-0000-0000-00007F2C0000}"/>
    <cellStyle name="Comma 2 3 6 9" xfId="11395" xr:uid="{00000000-0005-0000-0000-0000802C0000}"/>
    <cellStyle name="Comma 2 3 7" xfId="11396" xr:uid="{00000000-0005-0000-0000-0000812C0000}"/>
    <cellStyle name="Comma 2 3 7 10" xfId="11397" xr:uid="{00000000-0005-0000-0000-0000822C0000}"/>
    <cellStyle name="Comma 2 3 7 11" xfId="11398" xr:uid="{00000000-0005-0000-0000-0000832C0000}"/>
    <cellStyle name="Comma 2 3 7 2" xfId="11399" xr:uid="{00000000-0005-0000-0000-0000842C0000}"/>
    <cellStyle name="Comma 2 3 7 2 2" xfId="11400" xr:uid="{00000000-0005-0000-0000-0000852C0000}"/>
    <cellStyle name="Comma 2 3 7 2 2 2" xfId="11401" xr:uid="{00000000-0005-0000-0000-0000862C0000}"/>
    <cellStyle name="Comma 2 3 7 2 2 2 2" xfId="11402" xr:uid="{00000000-0005-0000-0000-0000872C0000}"/>
    <cellStyle name="Comma 2 3 7 2 2 2 3" xfId="11403" xr:uid="{00000000-0005-0000-0000-0000882C0000}"/>
    <cellStyle name="Comma 2 3 7 2 2 3" xfId="11404" xr:uid="{00000000-0005-0000-0000-0000892C0000}"/>
    <cellStyle name="Comma 2 3 7 2 2 4" xfId="11405" xr:uid="{00000000-0005-0000-0000-00008A2C0000}"/>
    <cellStyle name="Comma 2 3 7 2 2 5" xfId="11406" xr:uid="{00000000-0005-0000-0000-00008B2C0000}"/>
    <cellStyle name="Comma 2 3 7 2 2 6" xfId="11407" xr:uid="{00000000-0005-0000-0000-00008C2C0000}"/>
    <cellStyle name="Comma 2 3 7 2 3" xfId="11408" xr:uid="{00000000-0005-0000-0000-00008D2C0000}"/>
    <cellStyle name="Comma 2 3 7 2 3 2" xfId="11409" xr:uid="{00000000-0005-0000-0000-00008E2C0000}"/>
    <cellStyle name="Comma 2 3 7 2 3 2 2" xfId="11410" xr:uid="{00000000-0005-0000-0000-00008F2C0000}"/>
    <cellStyle name="Comma 2 3 7 2 3 3" xfId="11411" xr:uid="{00000000-0005-0000-0000-0000902C0000}"/>
    <cellStyle name="Comma 2 3 7 2 3 4" xfId="11412" xr:uid="{00000000-0005-0000-0000-0000912C0000}"/>
    <cellStyle name="Comma 2 3 7 2 3 5" xfId="11413" xr:uid="{00000000-0005-0000-0000-0000922C0000}"/>
    <cellStyle name="Comma 2 3 7 2 4" xfId="11414" xr:uid="{00000000-0005-0000-0000-0000932C0000}"/>
    <cellStyle name="Comma 2 3 7 2 4 2" xfId="11415" xr:uid="{00000000-0005-0000-0000-0000942C0000}"/>
    <cellStyle name="Comma 2 3 7 2 4 3" xfId="11416" xr:uid="{00000000-0005-0000-0000-0000952C0000}"/>
    <cellStyle name="Comma 2 3 7 2 4 4" xfId="11417" xr:uid="{00000000-0005-0000-0000-0000962C0000}"/>
    <cellStyle name="Comma 2 3 7 2 5" xfId="11418" xr:uid="{00000000-0005-0000-0000-0000972C0000}"/>
    <cellStyle name="Comma 2 3 7 2 5 2" xfId="11419" xr:uid="{00000000-0005-0000-0000-0000982C0000}"/>
    <cellStyle name="Comma 2 3 7 2 6" xfId="11420" xr:uid="{00000000-0005-0000-0000-0000992C0000}"/>
    <cellStyle name="Comma 2 3 7 2 7" xfId="11421" xr:uid="{00000000-0005-0000-0000-00009A2C0000}"/>
    <cellStyle name="Comma 2 3 7 2 8" xfId="11422" xr:uid="{00000000-0005-0000-0000-00009B2C0000}"/>
    <cellStyle name="Comma 2 3 7 2 9" xfId="11423" xr:uid="{00000000-0005-0000-0000-00009C2C0000}"/>
    <cellStyle name="Comma 2 3 7 3" xfId="11424" xr:uid="{00000000-0005-0000-0000-00009D2C0000}"/>
    <cellStyle name="Comma 2 3 7 3 2" xfId="11425" xr:uid="{00000000-0005-0000-0000-00009E2C0000}"/>
    <cellStyle name="Comma 2 3 7 3 2 2" xfId="11426" xr:uid="{00000000-0005-0000-0000-00009F2C0000}"/>
    <cellStyle name="Comma 2 3 7 3 2 2 2" xfId="11427" xr:uid="{00000000-0005-0000-0000-0000A02C0000}"/>
    <cellStyle name="Comma 2 3 7 3 2 2 3" xfId="11428" xr:uid="{00000000-0005-0000-0000-0000A12C0000}"/>
    <cellStyle name="Comma 2 3 7 3 2 3" xfId="11429" xr:uid="{00000000-0005-0000-0000-0000A22C0000}"/>
    <cellStyle name="Comma 2 3 7 3 2 4" xfId="11430" xr:uid="{00000000-0005-0000-0000-0000A32C0000}"/>
    <cellStyle name="Comma 2 3 7 3 2 5" xfId="11431" xr:uid="{00000000-0005-0000-0000-0000A42C0000}"/>
    <cellStyle name="Comma 2 3 7 3 2 6" xfId="11432" xr:uid="{00000000-0005-0000-0000-0000A52C0000}"/>
    <cellStyle name="Comma 2 3 7 3 3" xfId="11433" xr:uid="{00000000-0005-0000-0000-0000A62C0000}"/>
    <cellStyle name="Comma 2 3 7 3 3 2" xfId="11434" xr:uid="{00000000-0005-0000-0000-0000A72C0000}"/>
    <cellStyle name="Comma 2 3 7 3 3 2 2" xfId="11435" xr:uid="{00000000-0005-0000-0000-0000A82C0000}"/>
    <cellStyle name="Comma 2 3 7 3 3 3" xfId="11436" xr:uid="{00000000-0005-0000-0000-0000A92C0000}"/>
    <cellStyle name="Comma 2 3 7 3 3 4" xfId="11437" xr:uid="{00000000-0005-0000-0000-0000AA2C0000}"/>
    <cellStyle name="Comma 2 3 7 3 3 5" xfId="11438" xr:uid="{00000000-0005-0000-0000-0000AB2C0000}"/>
    <cellStyle name="Comma 2 3 7 3 4" xfId="11439" xr:uid="{00000000-0005-0000-0000-0000AC2C0000}"/>
    <cellStyle name="Comma 2 3 7 3 4 2" xfId="11440" xr:uid="{00000000-0005-0000-0000-0000AD2C0000}"/>
    <cellStyle name="Comma 2 3 7 3 4 3" xfId="11441" xr:uid="{00000000-0005-0000-0000-0000AE2C0000}"/>
    <cellStyle name="Comma 2 3 7 3 4 4" xfId="11442" xr:uid="{00000000-0005-0000-0000-0000AF2C0000}"/>
    <cellStyle name="Comma 2 3 7 3 5" xfId="11443" xr:uid="{00000000-0005-0000-0000-0000B02C0000}"/>
    <cellStyle name="Comma 2 3 7 3 5 2" xfId="11444" xr:uid="{00000000-0005-0000-0000-0000B12C0000}"/>
    <cellStyle name="Comma 2 3 7 3 6" xfId="11445" xr:uid="{00000000-0005-0000-0000-0000B22C0000}"/>
    <cellStyle name="Comma 2 3 7 3 7" xfId="11446" xr:uid="{00000000-0005-0000-0000-0000B32C0000}"/>
    <cellStyle name="Comma 2 3 7 3 8" xfId="11447" xr:uid="{00000000-0005-0000-0000-0000B42C0000}"/>
    <cellStyle name="Comma 2 3 7 3 9" xfId="11448" xr:uid="{00000000-0005-0000-0000-0000B52C0000}"/>
    <cellStyle name="Comma 2 3 7 4" xfId="11449" xr:uid="{00000000-0005-0000-0000-0000B62C0000}"/>
    <cellStyle name="Comma 2 3 7 4 2" xfId="11450" xr:uid="{00000000-0005-0000-0000-0000B72C0000}"/>
    <cellStyle name="Comma 2 3 7 4 2 2" xfId="11451" xr:uid="{00000000-0005-0000-0000-0000B82C0000}"/>
    <cellStyle name="Comma 2 3 7 4 2 3" xfId="11452" xr:uid="{00000000-0005-0000-0000-0000B92C0000}"/>
    <cellStyle name="Comma 2 3 7 4 3" xfId="11453" xr:uid="{00000000-0005-0000-0000-0000BA2C0000}"/>
    <cellStyle name="Comma 2 3 7 4 4" xfId="11454" xr:uid="{00000000-0005-0000-0000-0000BB2C0000}"/>
    <cellStyle name="Comma 2 3 7 4 5" xfId="11455" xr:uid="{00000000-0005-0000-0000-0000BC2C0000}"/>
    <cellStyle name="Comma 2 3 7 4 6" xfId="11456" xr:uid="{00000000-0005-0000-0000-0000BD2C0000}"/>
    <cellStyle name="Comma 2 3 7 5" xfId="11457" xr:uid="{00000000-0005-0000-0000-0000BE2C0000}"/>
    <cellStyle name="Comma 2 3 7 5 2" xfId="11458" xr:uid="{00000000-0005-0000-0000-0000BF2C0000}"/>
    <cellStyle name="Comma 2 3 7 5 2 2" xfId="11459" xr:uid="{00000000-0005-0000-0000-0000C02C0000}"/>
    <cellStyle name="Comma 2 3 7 5 3" xfId="11460" xr:uid="{00000000-0005-0000-0000-0000C12C0000}"/>
    <cellStyle name="Comma 2 3 7 5 4" xfId="11461" xr:uid="{00000000-0005-0000-0000-0000C22C0000}"/>
    <cellStyle name="Comma 2 3 7 5 5" xfId="11462" xr:uid="{00000000-0005-0000-0000-0000C32C0000}"/>
    <cellStyle name="Comma 2 3 7 6" xfId="11463" xr:uid="{00000000-0005-0000-0000-0000C42C0000}"/>
    <cellStyle name="Comma 2 3 7 6 2" xfId="11464" xr:uid="{00000000-0005-0000-0000-0000C52C0000}"/>
    <cellStyle name="Comma 2 3 7 6 3" xfId="11465" xr:uid="{00000000-0005-0000-0000-0000C62C0000}"/>
    <cellStyle name="Comma 2 3 7 6 4" xfId="11466" xr:uid="{00000000-0005-0000-0000-0000C72C0000}"/>
    <cellStyle name="Comma 2 3 7 7" xfId="11467" xr:uid="{00000000-0005-0000-0000-0000C82C0000}"/>
    <cellStyle name="Comma 2 3 7 7 2" xfId="11468" xr:uid="{00000000-0005-0000-0000-0000C92C0000}"/>
    <cellStyle name="Comma 2 3 7 8" xfId="11469" xr:uid="{00000000-0005-0000-0000-0000CA2C0000}"/>
    <cellStyle name="Comma 2 3 7 9" xfId="11470" xr:uid="{00000000-0005-0000-0000-0000CB2C0000}"/>
    <cellStyle name="Comma 2 3 8" xfId="11471" xr:uid="{00000000-0005-0000-0000-0000CC2C0000}"/>
    <cellStyle name="Comma 2 3 8 10" xfId="11472" xr:uid="{00000000-0005-0000-0000-0000CD2C0000}"/>
    <cellStyle name="Comma 2 3 8 11" xfId="11473" xr:uid="{00000000-0005-0000-0000-0000CE2C0000}"/>
    <cellStyle name="Comma 2 3 8 2" xfId="11474" xr:uid="{00000000-0005-0000-0000-0000CF2C0000}"/>
    <cellStyle name="Comma 2 3 8 2 2" xfId="11475" xr:uid="{00000000-0005-0000-0000-0000D02C0000}"/>
    <cellStyle name="Comma 2 3 8 2 2 2" xfId="11476" xr:uid="{00000000-0005-0000-0000-0000D12C0000}"/>
    <cellStyle name="Comma 2 3 8 2 2 2 2" xfId="11477" xr:uid="{00000000-0005-0000-0000-0000D22C0000}"/>
    <cellStyle name="Comma 2 3 8 2 2 2 3" xfId="11478" xr:uid="{00000000-0005-0000-0000-0000D32C0000}"/>
    <cellStyle name="Comma 2 3 8 2 2 3" xfId="11479" xr:uid="{00000000-0005-0000-0000-0000D42C0000}"/>
    <cellStyle name="Comma 2 3 8 2 2 4" xfId="11480" xr:uid="{00000000-0005-0000-0000-0000D52C0000}"/>
    <cellStyle name="Comma 2 3 8 2 2 5" xfId="11481" xr:uid="{00000000-0005-0000-0000-0000D62C0000}"/>
    <cellStyle name="Comma 2 3 8 2 2 6" xfId="11482" xr:uid="{00000000-0005-0000-0000-0000D72C0000}"/>
    <cellStyle name="Comma 2 3 8 2 3" xfId="11483" xr:uid="{00000000-0005-0000-0000-0000D82C0000}"/>
    <cellStyle name="Comma 2 3 8 2 3 2" xfId="11484" xr:uid="{00000000-0005-0000-0000-0000D92C0000}"/>
    <cellStyle name="Comma 2 3 8 2 3 2 2" xfId="11485" xr:uid="{00000000-0005-0000-0000-0000DA2C0000}"/>
    <cellStyle name="Comma 2 3 8 2 3 3" xfId="11486" xr:uid="{00000000-0005-0000-0000-0000DB2C0000}"/>
    <cellStyle name="Comma 2 3 8 2 3 4" xfId="11487" xr:uid="{00000000-0005-0000-0000-0000DC2C0000}"/>
    <cellStyle name="Comma 2 3 8 2 3 5" xfId="11488" xr:uid="{00000000-0005-0000-0000-0000DD2C0000}"/>
    <cellStyle name="Comma 2 3 8 2 4" xfId="11489" xr:uid="{00000000-0005-0000-0000-0000DE2C0000}"/>
    <cellStyle name="Comma 2 3 8 2 4 2" xfId="11490" xr:uid="{00000000-0005-0000-0000-0000DF2C0000}"/>
    <cellStyle name="Comma 2 3 8 2 4 3" xfId="11491" xr:uid="{00000000-0005-0000-0000-0000E02C0000}"/>
    <cellStyle name="Comma 2 3 8 2 4 4" xfId="11492" xr:uid="{00000000-0005-0000-0000-0000E12C0000}"/>
    <cellStyle name="Comma 2 3 8 2 5" xfId="11493" xr:uid="{00000000-0005-0000-0000-0000E22C0000}"/>
    <cellStyle name="Comma 2 3 8 2 5 2" xfId="11494" xr:uid="{00000000-0005-0000-0000-0000E32C0000}"/>
    <cellStyle name="Comma 2 3 8 2 6" xfId="11495" xr:uid="{00000000-0005-0000-0000-0000E42C0000}"/>
    <cellStyle name="Comma 2 3 8 2 7" xfId="11496" xr:uid="{00000000-0005-0000-0000-0000E52C0000}"/>
    <cellStyle name="Comma 2 3 8 2 8" xfId="11497" xr:uid="{00000000-0005-0000-0000-0000E62C0000}"/>
    <cellStyle name="Comma 2 3 8 2 9" xfId="11498" xr:uid="{00000000-0005-0000-0000-0000E72C0000}"/>
    <cellStyle name="Comma 2 3 8 3" xfId="11499" xr:uid="{00000000-0005-0000-0000-0000E82C0000}"/>
    <cellStyle name="Comma 2 3 8 3 2" xfId="11500" xr:uid="{00000000-0005-0000-0000-0000E92C0000}"/>
    <cellStyle name="Comma 2 3 8 3 2 2" xfId="11501" xr:uid="{00000000-0005-0000-0000-0000EA2C0000}"/>
    <cellStyle name="Comma 2 3 8 3 2 2 2" xfId="11502" xr:uid="{00000000-0005-0000-0000-0000EB2C0000}"/>
    <cellStyle name="Comma 2 3 8 3 2 2 3" xfId="11503" xr:uid="{00000000-0005-0000-0000-0000EC2C0000}"/>
    <cellStyle name="Comma 2 3 8 3 2 3" xfId="11504" xr:uid="{00000000-0005-0000-0000-0000ED2C0000}"/>
    <cellStyle name="Comma 2 3 8 3 2 4" xfId="11505" xr:uid="{00000000-0005-0000-0000-0000EE2C0000}"/>
    <cellStyle name="Comma 2 3 8 3 2 5" xfId="11506" xr:uid="{00000000-0005-0000-0000-0000EF2C0000}"/>
    <cellStyle name="Comma 2 3 8 3 2 6" xfId="11507" xr:uid="{00000000-0005-0000-0000-0000F02C0000}"/>
    <cellStyle name="Comma 2 3 8 3 3" xfId="11508" xr:uid="{00000000-0005-0000-0000-0000F12C0000}"/>
    <cellStyle name="Comma 2 3 8 3 3 2" xfId="11509" xr:uid="{00000000-0005-0000-0000-0000F22C0000}"/>
    <cellStyle name="Comma 2 3 8 3 3 2 2" xfId="11510" xr:uid="{00000000-0005-0000-0000-0000F32C0000}"/>
    <cellStyle name="Comma 2 3 8 3 3 3" xfId="11511" xr:uid="{00000000-0005-0000-0000-0000F42C0000}"/>
    <cellStyle name="Comma 2 3 8 3 3 4" xfId="11512" xr:uid="{00000000-0005-0000-0000-0000F52C0000}"/>
    <cellStyle name="Comma 2 3 8 3 3 5" xfId="11513" xr:uid="{00000000-0005-0000-0000-0000F62C0000}"/>
    <cellStyle name="Comma 2 3 8 3 4" xfId="11514" xr:uid="{00000000-0005-0000-0000-0000F72C0000}"/>
    <cellStyle name="Comma 2 3 8 3 4 2" xfId="11515" xr:uid="{00000000-0005-0000-0000-0000F82C0000}"/>
    <cellStyle name="Comma 2 3 8 3 4 3" xfId="11516" xr:uid="{00000000-0005-0000-0000-0000F92C0000}"/>
    <cellStyle name="Comma 2 3 8 3 4 4" xfId="11517" xr:uid="{00000000-0005-0000-0000-0000FA2C0000}"/>
    <cellStyle name="Comma 2 3 8 3 5" xfId="11518" xr:uid="{00000000-0005-0000-0000-0000FB2C0000}"/>
    <cellStyle name="Comma 2 3 8 3 5 2" xfId="11519" xr:uid="{00000000-0005-0000-0000-0000FC2C0000}"/>
    <cellStyle name="Comma 2 3 8 3 6" xfId="11520" xr:uid="{00000000-0005-0000-0000-0000FD2C0000}"/>
    <cellStyle name="Comma 2 3 8 3 7" xfId="11521" xr:uid="{00000000-0005-0000-0000-0000FE2C0000}"/>
    <cellStyle name="Comma 2 3 8 3 8" xfId="11522" xr:uid="{00000000-0005-0000-0000-0000FF2C0000}"/>
    <cellStyle name="Comma 2 3 8 3 9" xfId="11523" xr:uid="{00000000-0005-0000-0000-0000002D0000}"/>
    <cellStyle name="Comma 2 3 8 4" xfId="11524" xr:uid="{00000000-0005-0000-0000-0000012D0000}"/>
    <cellStyle name="Comma 2 3 8 4 2" xfId="11525" xr:uid="{00000000-0005-0000-0000-0000022D0000}"/>
    <cellStyle name="Comma 2 3 8 4 2 2" xfId="11526" xr:uid="{00000000-0005-0000-0000-0000032D0000}"/>
    <cellStyle name="Comma 2 3 8 4 2 3" xfId="11527" xr:uid="{00000000-0005-0000-0000-0000042D0000}"/>
    <cellStyle name="Comma 2 3 8 4 3" xfId="11528" xr:uid="{00000000-0005-0000-0000-0000052D0000}"/>
    <cellStyle name="Comma 2 3 8 4 4" xfId="11529" xr:uid="{00000000-0005-0000-0000-0000062D0000}"/>
    <cellStyle name="Comma 2 3 8 4 5" xfId="11530" xr:uid="{00000000-0005-0000-0000-0000072D0000}"/>
    <cellStyle name="Comma 2 3 8 4 6" xfId="11531" xr:uid="{00000000-0005-0000-0000-0000082D0000}"/>
    <cellStyle name="Comma 2 3 8 5" xfId="11532" xr:uid="{00000000-0005-0000-0000-0000092D0000}"/>
    <cellStyle name="Comma 2 3 8 5 2" xfId="11533" xr:uid="{00000000-0005-0000-0000-00000A2D0000}"/>
    <cellStyle name="Comma 2 3 8 5 2 2" xfId="11534" xr:uid="{00000000-0005-0000-0000-00000B2D0000}"/>
    <cellStyle name="Comma 2 3 8 5 3" xfId="11535" xr:uid="{00000000-0005-0000-0000-00000C2D0000}"/>
    <cellStyle name="Comma 2 3 8 5 4" xfId="11536" xr:uid="{00000000-0005-0000-0000-00000D2D0000}"/>
    <cellStyle name="Comma 2 3 8 5 5" xfId="11537" xr:uid="{00000000-0005-0000-0000-00000E2D0000}"/>
    <cellStyle name="Comma 2 3 8 6" xfId="11538" xr:uid="{00000000-0005-0000-0000-00000F2D0000}"/>
    <cellStyle name="Comma 2 3 8 6 2" xfId="11539" xr:uid="{00000000-0005-0000-0000-0000102D0000}"/>
    <cellStyle name="Comma 2 3 8 6 3" xfId="11540" xr:uid="{00000000-0005-0000-0000-0000112D0000}"/>
    <cellStyle name="Comma 2 3 8 6 4" xfId="11541" xr:uid="{00000000-0005-0000-0000-0000122D0000}"/>
    <cellStyle name="Comma 2 3 8 7" xfId="11542" xr:uid="{00000000-0005-0000-0000-0000132D0000}"/>
    <cellStyle name="Comma 2 3 8 7 2" xfId="11543" xr:uid="{00000000-0005-0000-0000-0000142D0000}"/>
    <cellStyle name="Comma 2 3 8 8" xfId="11544" xr:uid="{00000000-0005-0000-0000-0000152D0000}"/>
    <cellStyle name="Comma 2 3 8 9" xfId="11545" xr:uid="{00000000-0005-0000-0000-0000162D0000}"/>
    <cellStyle name="Comma 2 3 9" xfId="11546" xr:uid="{00000000-0005-0000-0000-0000172D0000}"/>
    <cellStyle name="Comma 2 3 9 10" xfId="11547" xr:uid="{00000000-0005-0000-0000-0000182D0000}"/>
    <cellStyle name="Comma 2 3 9 11" xfId="11548" xr:uid="{00000000-0005-0000-0000-0000192D0000}"/>
    <cellStyle name="Comma 2 3 9 2" xfId="11549" xr:uid="{00000000-0005-0000-0000-00001A2D0000}"/>
    <cellStyle name="Comma 2 3 9 2 2" xfId="11550" xr:uid="{00000000-0005-0000-0000-00001B2D0000}"/>
    <cellStyle name="Comma 2 3 9 2 2 2" xfId="11551" xr:uid="{00000000-0005-0000-0000-00001C2D0000}"/>
    <cellStyle name="Comma 2 3 9 2 2 2 2" xfId="11552" xr:uid="{00000000-0005-0000-0000-00001D2D0000}"/>
    <cellStyle name="Comma 2 3 9 2 2 2 3" xfId="11553" xr:uid="{00000000-0005-0000-0000-00001E2D0000}"/>
    <cellStyle name="Comma 2 3 9 2 2 3" xfId="11554" xr:uid="{00000000-0005-0000-0000-00001F2D0000}"/>
    <cellStyle name="Comma 2 3 9 2 2 4" xfId="11555" xr:uid="{00000000-0005-0000-0000-0000202D0000}"/>
    <cellStyle name="Comma 2 3 9 2 2 5" xfId="11556" xr:uid="{00000000-0005-0000-0000-0000212D0000}"/>
    <cellStyle name="Comma 2 3 9 2 2 6" xfId="11557" xr:uid="{00000000-0005-0000-0000-0000222D0000}"/>
    <cellStyle name="Comma 2 3 9 2 3" xfId="11558" xr:uid="{00000000-0005-0000-0000-0000232D0000}"/>
    <cellStyle name="Comma 2 3 9 2 3 2" xfId="11559" xr:uid="{00000000-0005-0000-0000-0000242D0000}"/>
    <cellStyle name="Comma 2 3 9 2 3 2 2" xfId="11560" xr:uid="{00000000-0005-0000-0000-0000252D0000}"/>
    <cellStyle name="Comma 2 3 9 2 3 3" xfId="11561" xr:uid="{00000000-0005-0000-0000-0000262D0000}"/>
    <cellStyle name="Comma 2 3 9 2 3 4" xfId="11562" xr:uid="{00000000-0005-0000-0000-0000272D0000}"/>
    <cellStyle name="Comma 2 3 9 2 3 5" xfId="11563" xr:uid="{00000000-0005-0000-0000-0000282D0000}"/>
    <cellStyle name="Comma 2 3 9 2 4" xfId="11564" xr:uid="{00000000-0005-0000-0000-0000292D0000}"/>
    <cellStyle name="Comma 2 3 9 2 4 2" xfId="11565" xr:uid="{00000000-0005-0000-0000-00002A2D0000}"/>
    <cellStyle name="Comma 2 3 9 2 4 3" xfId="11566" xr:uid="{00000000-0005-0000-0000-00002B2D0000}"/>
    <cellStyle name="Comma 2 3 9 2 4 4" xfId="11567" xr:uid="{00000000-0005-0000-0000-00002C2D0000}"/>
    <cellStyle name="Comma 2 3 9 2 5" xfId="11568" xr:uid="{00000000-0005-0000-0000-00002D2D0000}"/>
    <cellStyle name="Comma 2 3 9 2 5 2" xfId="11569" xr:uid="{00000000-0005-0000-0000-00002E2D0000}"/>
    <cellStyle name="Comma 2 3 9 2 6" xfId="11570" xr:uid="{00000000-0005-0000-0000-00002F2D0000}"/>
    <cellStyle name="Comma 2 3 9 2 7" xfId="11571" xr:uid="{00000000-0005-0000-0000-0000302D0000}"/>
    <cellStyle name="Comma 2 3 9 2 8" xfId="11572" xr:uid="{00000000-0005-0000-0000-0000312D0000}"/>
    <cellStyle name="Comma 2 3 9 2 9" xfId="11573" xr:uid="{00000000-0005-0000-0000-0000322D0000}"/>
    <cellStyle name="Comma 2 3 9 3" xfId="11574" xr:uid="{00000000-0005-0000-0000-0000332D0000}"/>
    <cellStyle name="Comma 2 3 9 3 2" xfId="11575" xr:uid="{00000000-0005-0000-0000-0000342D0000}"/>
    <cellStyle name="Comma 2 3 9 3 2 2" xfId="11576" xr:uid="{00000000-0005-0000-0000-0000352D0000}"/>
    <cellStyle name="Comma 2 3 9 3 2 2 2" xfId="11577" xr:uid="{00000000-0005-0000-0000-0000362D0000}"/>
    <cellStyle name="Comma 2 3 9 3 2 2 3" xfId="11578" xr:uid="{00000000-0005-0000-0000-0000372D0000}"/>
    <cellStyle name="Comma 2 3 9 3 2 3" xfId="11579" xr:uid="{00000000-0005-0000-0000-0000382D0000}"/>
    <cellStyle name="Comma 2 3 9 3 2 4" xfId="11580" xr:uid="{00000000-0005-0000-0000-0000392D0000}"/>
    <cellStyle name="Comma 2 3 9 3 2 5" xfId="11581" xr:uid="{00000000-0005-0000-0000-00003A2D0000}"/>
    <cellStyle name="Comma 2 3 9 3 2 6" xfId="11582" xr:uid="{00000000-0005-0000-0000-00003B2D0000}"/>
    <cellStyle name="Comma 2 3 9 3 3" xfId="11583" xr:uid="{00000000-0005-0000-0000-00003C2D0000}"/>
    <cellStyle name="Comma 2 3 9 3 3 2" xfId="11584" xr:uid="{00000000-0005-0000-0000-00003D2D0000}"/>
    <cellStyle name="Comma 2 3 9 3 3 2 2" xfId="11585" xr:uid="{00000000-0005-0000-0000-00003E2D0000}"/>
    <cellStyle name="Comma 2 3 9 3 3 3" xfId="11586" xr:uid="{00000000-0005-0000-0000-00003F2D0000}"/>
    <cellStyle name="Comma 2 3 9 3 3 4" xfId="11587" xr:uid="{00000000-0005-0000-0000-0000402D0000}"/>
    <cellStyle name="Comma 2 3 9 3 3 5" xfId="11588" xr:uid="{00000000-0005-0000-0000-0000412D0000}"/>
    <cellStyle name="Comma 2 3 9 3 4" xfId="11589" xr:uid="{00000000-0005-0000-0000-0000422D0000}"/>
    <cellStyle name="Comma 2 3 9 3 4 2" xfId="11590" xr:uid="{00000000-0005-0000-0000-0000432D0000}"/>
    <cellStyle name="Comma 2 3 9 3 4 3" xfId="11591" xr:uid="{00000000-0005-0000-0000-0000442D0000}"/>
    <cellStyle name="Comma 2 3 9 3 4 4" xfId="11592" xr:uid="{00000000-0005-0000-0000-0000452D0000}"/>
    <cellStyle name="Comma 2 3 9 3 5" xfId="11593" xr:uid="{00000000-0005-0000-0000-0000462D0000}"/>
    <cellStyle name="Comma 2 3 9 3 5 2" xfId="11594" xr:uid="{00000000-0005-0000-0000-0000472D0000}"/>
    <cellStyle name="Comma 2 3 9 3 6" xfId="11595" xr:uid="{00000000-0005-0000-0000-0000482D0000}"/>
    <cellStyle name="Comma 2 3 9 3 7" xfId="11596" xr:uid="{00000000-0005-0000-0000-0000492D0000}"/>
    <cellStyle name="Comma 2 3 9 3 8" xfId="11597" xr:uid="{00000000-0005-0000-0000-00004A2D0000}"/>
    <cellStyle name="Comma 2 3 9 3 9" xfId="11598" xr:uid="{00000000-0005-0000-0000-00004B2D0000}"/>
    <cellStyle name="Comma 2 3 9 4" xfId="11599" xr:uid="{00000000-0005-0000-0000-00004C2D0000}"/>
    <cellStyle name="Comma 2 3 9 4 2" xfId="11600" xr:uid="{00000000-0005-0000-0000-00004D2D0000}"/>
    <cellStyle name="Comma 2 3 9 4 2 2" xfId="11601" xr:uid="{00000000-0005-0000-0000-00004E2D0000}"/>
    <cellStyle name="Comma 2 3 9 4 2 3" xfId="11602" xr:uid="{00000000-0005-0000-0000-00004F2D0000}"/>
    <cellStyle name="Comma 2 3 9 4 3" xfId="11603" xr:uid="{00000000-0005-0000-0000-0000502D0000}"/>
    <cellStyle name="Comma 2 3 9 4 4" xfId="11604" xr:uid="{00000000-0005-0000-0000-0000512D0000}"/>
    <cellStyle name="Comma 2 3 9 4 5" xfId="11605" xr:uid="{00000000-0005-0000-0000-0000522D0000}"/>
    <cellStyle name="Comma 2 3 9 4 6" xfId="11606" xr:uid="{00000000-0005-0000-0000-0000532D0000}"/>
    <cellStyle name="Comma 2 3 9 5" xfId="11607" xr:uid="{00000000-0005-0000-0000-0000542D0000}"/>
    <cellStyle name="Comma 2 3 9 5 2" xfId="11608" xr:uid="{00000000-0005-0000-0000-0000552D0000}"/>
    <cellStyle name="Comma 2 3 9 5 2 2" xfId="11609" xr:uid="{00000000-0005-0000-0000-0000562D0000}"/>
    <cellStyle name="Comma 2 3 9 5 3" xfId="11610" xr:uid="{00000000-0005-0000-0000-0000572D0000}"/>
    <cellStyle name="Comma 2 3 9 5 4" xfId="11611" xr:uid="{00000000-0005-0000-0000-0000582D0000}"/>
    <cellStyle name="Comma 2 3 9 5 5" xfId="11612" xr:uid="{00000000-0005-0000-0000-0000592D0000}"/>
    <cellStyle name="Comma 2 3 9 6" xfId="11613" xr:uid="{00000000-0005-0000-0000-00005A2D0000}"/>
    <cellStyle name="Comma 2 3 9 6 2" xfId="11614" xr:uid="{00000000-0005-0000-0000-00005B2D0000}"/>
    <cellStyle name="Comma 2 3 9 6 3" xfId="11615" xr:uid="{00000000-0005-0000-0000-00005C2D0000}"/>
    <cellStyle name="Comma 2 3 9 6 4" xfId="11616" xr:uid="{00000000-0005-0000-0000-00005D2D0000}"/>
    <cellStyle name="Comma 2 3 9 7" xfId="11617" xr:uid="{00000000-0005-0000-0000-00005E2D0000}"/>
    <cellStyle name="Comma 2 3 9 7 2" xfId="11618" xr:uid="{00000000-0005-0000-0000-00005F2D0000}"/>
    <cellStyle name="Comma 2 3 9 8" xfId="11619" xr:uid="{00000000-0005-0000-0000-0000602D0000}"/>
    <cellStyle name="Comma 2 3 9 9" xfId="11620" xr:uid="{00000000-0005-0000-0000-0000612D0000}"/>
    <cellStyle name="Comma 2 30" xfId="11621" xr:uid="{00000000-0005-0000-0000-0000622D0000}"/>
    <cellStyle name="Comma 2 30 10" xfId="11622" xr:uid="{00000000-0005-0000-0000-0000632D0000}"/>
    <cellStyle name="Comma 2 30 2" xfId="11623" xr:uid="{00000000-0005-0000-0000-0000642D0000}"/>
    <cellStyle name="Comma 2 30 2 2" xfId="11624" xr:uid="{00000000-0005-0000-0000-0000652D0000}"/>
    <cellStyle name="Comma 2 30 2 2 2" xfId="11625" xr:uid="{00000000-0005-0000-0000-0000662D0000}"/>
    <cellStyle name="Comma 2 30 2 2 3" xfId="11626" xr:uid="{00000000-0005-0000-0000-0000672D0000}"/>
    <cellStyle name="Comma 2 30 2 3" xfId="11627" xr:uid="{00000000-0005-0000-0000-0000682D0000}"/>
    <cellStyle name="Comma 2 30 2 4" xfId="11628" xr:uid="{00000000-0005-0000-0000-0000692D0000}"/>
    <cellStyle name="Comma 2 30 2 5" xfId="11629" xr:uid="{00000000-0005-0000-0000-00006A2D0000}"/>
    <cellStyle name="Comma 2 30 2 6" xfId="11630" xr:uid="{00000000-0005-0000-0000-00006B2D0000}"/>
    <cellStyle name="Comma 2 30 3" xfId="11631" xr:uid="{00000000-0005-0000-0000-00006C2D0000}"/>
    <cellStyle name="Comma 2 30 3 2" xfId="11632" xr:uid="{00000000-0005-0000-0000-00006D2D0000}"/>
    <cellStyle name="Comma 2 30 3 2 2" xfId="11633" xr:uid="{00000000-0005-0000-0000-00006E2D0000}"/>
    <cellStyle name="Comma 2 30 3 2 3" xfId="11634" xr:uid="{00000000-0005-0000-0000-00006F2D0000}"/>
    <cellStyle name="Comma 2 30 3 3" xfId="11635" xr:uid="{00000000-0005-0000-0000-0000702D0000}"/>
    <cellStyle name="Comma 2 30 3 4" xfId="11636" xr:uid="{00000000-0005-0000-0000-0000712D0000}"/>
    <cellStyle name="Comma 2 30 3 5" xfId="11637" xr:uid="{00000000-0005-0000-0000-0000722D0000}"/>
    <cellStyle name="Comma 2 30 3 6" xfId="11638" xr:uid="{00000000-0005-0000-0000-0000732D0000}"/>
    <cellStyle name="Comma 2 30 4" xfId="11639" xr:uid="{00000000-0005-0000-0000-0000742D0000}"/>
    <cellStyle name="Comma 2 30 4 2" xfId="11640" xr:uid="{00000000-0005-0000-0000-0000752D0000}"/>
    <cellStyle name="Comma 2 30 4 2 2" xfId="11641" xr:uid="{00000000-0005-0000-0000-0000762D0000}"/>
    <cellStyle name="Comma 2 30 4 3" xfId="11642" xr:uid="{00000000-0005-0000-0000-0000772D0000}"/>
    <cellStyle name="Comma 2 30 4 4" xfId="11643" xr:uid="{00000000-0005-0000-0000-0000782D0000}"/>
    <cellStyle name="Comma 2 30 4 5" xfId="11644" xr:uid="{00000000-0005-0000-0000-0000792D0000}"/>
    <cellStyle name="Comma 2 30 4 6" xfId="11645" xr:uid="{00000000-0005-0000-0000-00007A2D0000}"/>
    <cellStyle name="Comma 2 30 5" xfId="11646" xr:uid="{00000000-0005-0000-0000-00007B2D0000}"/>
    <cellStyle name="Comma 2 30 5 2" xfId="11647" xr:uid="{00000000-0005-0000-0000-00007C2D0000}"/>
    <cellStyle name="Comma 2 30 5 3" xfId="11648" xr:uid="{00000000-0005-0000-0000-00007D2D0000}"/>
    <cellStyle name="Comma 2 30 5 4" xfId="11649" xr:uid="{00000000-0005-0000-0000-00007E2D0000}"/>
    <cellStyle name="Comma 2 30 5 5" xfId="11650" xr:uid="{00000000-0005-0000-0000-00007F2D0000}"/>
    <cellStyle name="Comma 2 30 6" xfId="11651" xr:uid="{00000000-0005-0000-0000-0000802D0000}"/>
    <cellStyle name="Comma 2 30 6 2" xfId="11652" xr:uid="{00000000-0005-0000-0000-0000812D0000}"/>
    <cellStyle name="Comma 2 30 6 3" xfId="11653" xr:uid="{00000000-0005-0000-0000-0000822D0000}"/>
    <cellStyle name="Comma 2 30 7" xfId="11654" xr:uid="{00000000-0005-0000-0000-0000832D0000}"/>
    <cellStyle name="Comma 2 30 7 2" xfId="11655" xr:uid="{00000000-0005-0000-0000-0000842D0000}"/>
    <cellStyle name="Comma 2 30 8" xfId="11656" xr:uid="{00000000-0005-0000-0000-0000852D0000}"/>
    <cellStyle name="Comma 2 30 9" xfId="11657" xr:uid="{00000000-0005-0000-0000-0000862D0000}"/>
    <cellStyle name="Comma 2 31" xfId="11658" xr:uid="{00000000-0005-0000-0000-0000872D0000}"/>
    <cellStyle name="Comma 2 31 10" xfId="11659" xr:uid="{00000000-0005-0000-0000-0000882D0000}"/>
    <cellStyle name="Comma 2 31 2" xfId="11660" xr:uid="{00000000-0005-0000-0000-0000892D0000}"/>
    <cellStyle name="Comma 2 31 2 2" xfId="11661" xr:uid="{00000000-0005-0000-0000-00008A2D0000}"/>
    <cellStyle name="Comma 2 31 2 2 2" xfId="11662" xr:uid="{00000000-0005-0000-0000-00008B2D0000}"/>
    <cellStyle name="Comma 2 31 2 2 3" xfId="11663" xr:uid="{00000000-0005-0000-0000-00008C2D0000}"/>
    <cellStyle name="Comma 2 31 2 3" xfId="11664" xr:uid="{00000000-0005-0000-0000-00008D2D0000}"/>
    <cellStyle name="Comma 2 31 2 4" xfId="11665" xr:uid="{00000000-0005-0000-0000-00008E2D0000}"/>
    <cellStyle name="Comma 2 31 2 5" xfId="11666" xr:uid="{00000000-0005-0000-0000-00008F2D0000}"/>
    <cellStyle name="Comma 2 31 2 6" xfId="11667" xr:uid="{00000000-0005-0000-0000-0000902D0000}"/>
    <cellStyle name="Comma 2 31 3" xfId="11668" xr:uid="{00000000-0005-0000-0000-0000912D0000}"/>
    <cellStyle name="Comma 2 31 3 2" xfId="11669" xr:uid="{00000000-0005-0000-0000-0000922D0000}"/>
    <cellStyle name="Comma 2 31 3 2 2" xfId="11670" xr:uid="{00000000-0005-0000-0000-0000932D0000}"/>
    <cellStyle name="Comma 2 31 3 2 3" xfId="11671" xr:uid="{00000000-0005-0000-0000-0000942D0000}"/>
    <cellStyle name="Comma 2 31 3 3" xfId="11672" xr:uid="{00000000-0005-0000-0000-0000952D0000}"/>
    <cellStyle name="Comma 2 31 3 4" xfId="11673" xr:uid="{00000000-0005-0000-0000-0000962D0000}"/>
    <cellStyle name="Comma 2 31 3 5" xfId="11674" xr:uid="{00000000-0005-0000-0000-0000972D0000}"/>
    <cellStyle name="Comma 2 31 3 6" xfId="11675" xr:uid="{00000000-0005-0000-0000-0000982D0000}"/>
    <cellStyle name="Comma 2 31 4" xfId="11676" xr:uid="{00000000-0005-0000-0000-0000992D0000}"/>
    <cellStyle name="Comma 2 31 4 2" xfId="11677" xr:uid="{00000000-0005-0000-0000-00009A2D0000}"/>
    <cellStyle name="Comma 2 31 4 2 2" xfId="11678" xr:uid="{00000000-0005-0000-0000-00009B2D0000}"/>
    <cellStyle name="Comma 2 31 4 3" xfId="11679" xr:uid="{00000000-0005-0000-0000-00009C2D0000}"/>
    <cellStyle name="Comma 2 31 4 4" xfId="11680" xr:uid="{00000000-0005-0000-0000-00009D2D0000}"/>
    <cellStyle name="Comma 2 31 4 5" xfId="11681" xr:uid="{00000000-0005-0000-0000-00009E2D0000}"/>
    <cellStyle name="Comma 2 31 4 6" xfId="11682" xr:uid="{00000000-0005-0000-0000-00009F2D0000}"/>
    <cellStyle name="Comma 2 31 5" xfId="11683" xr:uid="{00000000-0005-0000-0000-0000A02D0000}"/>
    <cellStyle name="Comma 2 31 5 2" xfId="11684" xr:uid="{00000000-0005-0000-0000-0000A12D0000}"/>
    <cellStyle name="Comma 2 31 5 3" xfId="11685" xr:uid="{00000000-0005-0000-0000-0000A22D0000}"/>
    <cellStyle name="Comma 2 31 5 4" xfId="11686" xr:uid="{00000000-0005-0000-0000-0000A32D0000}"/>
    <cellStyle name="Comma 2 31 5 5" xfId="11687" xr:uid="{00000000-0005-0000-0000-0000A42D0000}"/>
    <cellStyle name="Comma 2 31 6" xfId="11688" xr:uid="{00000000-0005-0000-0000-0000A52D0000}"/>
    <cellStyle name="Comma 2 31 6 2" xfId="11689" xr:uid="{00000000-0005-0000-0000-0000A62D0000}"/>
    <cellStyle name="Comma 2 31 6 3" xfId="11690" xr:uid="{00000000-0005-0000-0000-0000A72D0000}"/>
    <cellStyle name="Comma 2 31 7" xfId="11691" xr:uid="{00000000-0005-0000-0000-0000A82D0000}"/>
    <cellStyle name="Comma 2 31 7 2" xfId="11692" xr:uid="{00000000-0005-0000-0000-0000A92D0000}"/>
    <cellStyle name="Comma 2 31 8" xfId="11693" xr:uid="{00000000-0005-0000-0000-0000AA2D0000}"/>
    <cellStyle name="Comma 2 31 9" xfId="11694" xr:uid="{00000000-0005-0000-0000-0000AB2D0000}"/>
    <cellStyle name="Comma 2 32" xfId="11695" xr:uid="{00000000-0005-0000-0000-0000AC2D0000}"/>
    <cellStyle name="Comma 2 32 10" xfId="11696" xr:uid="{00000000-0005-0000-0000-0000AD2D0000}"/>
    <cellStyle name="Comma 2 32 2" xfId="11697" xr:uid="{00000000-0005-0000-0000-0000AE2D0000}"/>
    <cellStyle name="Comma 2 32 2 2" xfId="11698" xr:uid="{00000000-0005-0000-0000-0000AF2D0000}"/>
    <cellStyle name="Comma 2 32 2 2 2" xfId="11699" xr:uid="{00000000-0005-0000-0000-0000B02D0000}"/>
    <cellStyle name="Comma 2 32 2 2 3" xfId="11700" xr:uid="{00000000-0005-0000-0000-0000B12D0000}"/>
    <cellStyle name="Comma 2 32 2 3" xfId="11701" xr:uid="{00000000-0005-0000-0000-0000B22D0000}"/>
    <cellStyle name="Comma 2 32 2 4" xfId="11702" xr:uid="{00000000-0005-0000-0000-0000B32D0000}"/>
    <cellStyle name="Comma 2 32 2 5" xfId="11703" xr:uid="{00000000-0005-0000-0000-0000B42D0000}"/>
    <cellStyle name="Comma 2 32 2 6" xfId="11704" xr:uid="{00000000-0005-0000-0000-0000B52D0000}"/>
    <cellStyle name="Comma 2 32 3" xfId="11705" xr:uid="{00000000-0005-0000-0000-0000B62D0000}"/>
    <cellStyle name="Comma 2 32 3 2" xfId="11706" xr:uid="{00000000-0005-0000-0000-0000B72D0000}"/>
    <cellStyle name="Comma 2 32 3 2 2" xfId="11707" xr:uid="{00000000-0005-0000-0000-0000B82D0000}"/>
    <cellStyle name="Comma 2 32 3 2 3" xfId="11708" xr:uid="{00000000-0005-0000-0000-0000B92D0000}"/>
    <cellStyle name="Comma 2 32 3 3" xfId="11709" xr:uid="{00000000-0005-0000-0000-0000BA2D0000}"/>
    <cellStyle name="Comma 2 32 3 4" xfId="11710" xr:uid="{00000000-0005-0000-0000-0000BB2D0000}"/>
    <cellStyle name="Comma 2 32 3 5" xfId="11711" xr:uid="{00000000-0005-0000-0000-0000BC2D0000}"/>
    <cellStyle name="Comma 2 32 3 6" xfId="11712" xr:uid="{00000000-0005-0000-0000-0000BD2D0000}"/>
    <cellStyle name="Comma 2 32 4" xfId="11713" xr:uid="{00000000-0005-0000-0000-0000BE2D0000}"/>
    <cellStyle name="Comma 2 32 4 2" xfId="11714" xr:uid="{00000000-0005-0000-0000-0000BF2D0000}"/>
    <cellStyle name="Comma 2 32 4 2 2" xfId="11715" xr:uid="{00000000-0005-0000-0000-0000C02D0000}"/>
    <cellStyle name="Comma 2 32 4 3" xfId="11716" xr:uid="{00000000-0005-0000-0000-0000C12D0000}"/>
    <cellStyle name="Comma 2 32 4 4" xfId="11717" xr:uid="{00000000-0005-0000-0000-0000C22D0000}"/>
    <cellStyle name="Comma 2 32 4 5" xfId="11718" xr:uid="{00000000-0005-0000-0000-0000C32D0000}"/>
    <cellStyle name="Comma 2 32 4 6" xfId="11719" xr:uid="{00000000-0005-0000-0000-0000C42D0000}"/>
    <cellStyle name="Comma 2 32 5" xfId="11720" xr:uid="{00000000-0005-0000-0000-0000C52D0000}"/>
    <cellStyle name="Comma 2 32 5 2" xfId="11721" xr:uid="{00000000-0005-0000-0000-0000C62D0000}"/>
    <cellStyle name="Comma 2 32 5 3" xfId="11722" xr:uid="{00000000-0005-0000-0000-0000C72D0000}"/>
    <cellStyle name="Comma 2 32 5 4" xfId="11723" xr:uid="{00000000-0005-0000-0000-0000C82D0000}"/>
    <cellStyle name="Comma 2 32 5 5" xfId="11724" xr:uid="{00000000-0005-0000-0000-0000C92D0000}"/>
    <cellStyle name="Comma 2 32 6" xfId="11725" xr:uid="{00000000-0005-0000-0000-0000CA2D0000}"/>
    <cellStyle name="Comma 2 32 6 2" xfId="11726" xr:uid="{00000000-0005-0000-0000-0000CB2D0000}"/>
    <cellStyle name="Comma 2 32 6 3" xfId="11727" xr:uid="{00000000-0005-0000-0000-0000CC2D0000}"/>
    <cellStyle name="Comma 2 32 7" xfId="11728" xr:uid="{00000000-0005-0000-0000-0000CD2D0000}"/>
    <cellStyle name="Comma 2 32 7 2" xfId="11729" xr:uid="{00000000-0005-0000-0000-0000CE2D0000}"/>
    <cellStyle name="Comma 2 32 8" xfId="11730" xr:uid="{00000000-0005-0000-0000-0000CF2D0000}"/>
    <cellStyle name="Comma 2 32 9" xfId="11731" xr:uid="{00000000-0005-0000-0000-0000D02D0000}"/>
    <cellStyle name="Comma 2 33" xfId="11732" xr:uid="{00000000-0005-0000-0000-0000D12D0000}"/>
    <cellStyle name="Comma 2 33 10" xfId="11733" xr:uid="{00000000-0005-0000-0000-0000D22D0000}"/>
    <cellStyle name="Comma 2 33 2" xfId="11734" xr:uid="{00000000-0005-0000-0000-0000D32D0000}"/>
    <cellStyle name="Comma 2 33 2 2" xfId="11735" xr:uid="{00000000-0005-0000-0000-0000D42D0000}"/>
    <cellStyle name="Comma 2 33 2 2 2" xfId="11736" xr:uid="{00000000-0005-0000-0000-0000D52D0000}"/>
    <cellStyle name="Comma 2 33 2 2 3" xfId="11737" xr:uid="{00000000-0005-0000-0000-0000D62D0000}"/>
    <cellStyle name="Comma 2 33 2 3" xfId="11738" xr:uid="{00000000-0005-0000-0000-0000D72D0000}"/>
    <cellStyle name="Comma 2 33 2 4" xfId="11739" xr:uid="{00000000-0005-0000-0000-0000D82D0000}"/>
    <cellStyle name="Comma 2 33 2 5" xfId="11740" xr:uid="{00000000-0005-0000-0000-0000D92D0000}"/>
    <cellStyle name="Comma 2 33 2 6" xfId="11741" xr:uid="{00000000-0005-0000-0000-0000DA2D0000}"/>
    <cellStyle name="Comma 2 33 3" xfId="11742" xr:uid="{00000000-0005-0000-0000-0000DB2D0000}"/>
    <cellStyle name="Comma 2 33 3 2" xfId="11743" xr:uid="{00000000-0005-0000-0000-0000DC2D0000}"/>
    <cellStyle name="Comma 2 33 3 2 2" xfId="11744" xr:uid="{00000000-0005-0000-0000-0000DD2D0000}"/>
    <cellStyle name="Comma 2 33 3 2 3" xfId="11745" xr:uid="{00000000-0005-0000-0000-0000DE2D0000}"/>
    <cellStyle name="Comma 2 33 3 3" xfId="11746" xr:uid="{00000000-0005-0000-0000-0000DF2D0000}"/>
    <cellStyle name="Comma 2 33 3 4" xfId="11747" xr:uid="{00000000-0005-0000-0000-0000E02D0000}"/>
    <cellStyle name="Comma 2 33 3 5" xfId="11748" xr:uid="{00000000-0005-0000-0000-0000E12D0000}"/>
    <cellStyle name="Comma 2 33 3 6" xfId="11749" xr:uid="{00000000-0005-0000-0000-0000E22D0000}"/>
    <cellStyle name="Comma 2 33 4" xfId="11750" xr:uid="{00000000-0005-0000-0000-0000E32D0000}"/>
    <cellStyle name="Comma 2 33 4 2" xfId="11751" xr:uid="{00000000-0005-0000-0000-0000E42D0000}"/>
    <cellStyle name="Comma 2 33 4 2 2" xfId="11752" xr:uid="{00000000-0005-0000-0000-0000E52D0000}"/>
    <cellStyle name="Comma 2 33 4 3" xfId="11753" xr:uid="{00000000-0005-0000-0000-0000E62D0000}"/>
    <cellStyle name="Comma 2 33 4 4" xfId="11754" xr:uid="{00000000-0005-0000-0000-0000E72D0000}"/>
    <cellStyle name="Comma 2 33 4 5" xfId="11755" xr:uid="{00000000-0005-0000-0000-0000E82D0000}"/>
    <cellStyle name="Comma 2 33 4 6" xfId="11756" xr:uid="{00000000-0005-0000-0000-0000E92D0000}"/>
    <cellStyle name="Comma 2 33 5" xfId="11757" xr:uid="{00000000-0005-0000-0000-0000EA2D0000}"/>
    <cellStyle name="Comma 2 33 5 2" xfId="11758" xr:uid="{00000000-0005-0000-0000-0000EB2D0000}"/>
    <cellStyle name="Comma 2 33 5 3" xfId="11759" xr:uid="{00000000-0005-0000-0000-0000EC2D0000}"/>
    <cellStyle name="Comma 2 33 5 4" xfId="11760" xr:uid="{00000000-0005-0000-0000-0000ED2D0000}"/>
    <cellStyle name="Comma 2 33 5 5" xfId="11761" xr:uid="{00000000-0005-0000-0000-0000EE2D0000}"/>
    <cellStyle name="Comma 2 33 6" xfId="11762" xr:uid="{00000000-0005-0000-0000-0000EF2D0000}"/>
    <cellStyle name="Comma 2 33 6 2" xfId="11763" xr:uid="{00000000-0005-0000-0000-0000F02D0000}"/>
    <cellStyle name="Comma 2 33 6 3" xfId="11764" xr:uid="{00000000-0005-0000-0000-0000F12D0000}"/>
    <cellStyle name="Comma 2 33 7" xfId="11765" xr:uid="{00000000-0005-0000-0000-0000F22D0000}"/>
    <cellStyle name="Comma 2 33 7 2" xfId="11766" xr:uid="{00000000-0005-0000-0000-0000F32D0000}"/>
    <cellStyle name="Comma 2 33 8" xfId="11767" xr:uid="{00000000-0005-0000-0000-0000F42D0000}"/>
    <cellStyle name="Comma 2 33 9" xfId="11768" xr:uid="{00000000-0005-0000-0000-0000F52D0000}"/>
    <cellStyle name="Comma 2 34" xfId="11769" xr:uid="{00000000-0005-0000-0000-0000F62D0000}"/>
    <cellStyle name="Comma 2 34 10" xfId="11770" xr:uid="{00000000-0005-0000-0000-0000F72D0000}"/>
    <cellStyle name="Comma 2 34 2" xfId="11771" xr:uid="{00000000-0005-0000-0000-0000F82D0000}"/>
    <cellStyle name="Comma 2 34 2 2" xfId="11772" xr:uid="{00000000-0005-0000-0000-0000F92D0000}"/>
    <cellStyle name="Comma 2 34 2 2 2" xfId="11773" xr:uid="{00000000-0005-0000-0000-0000FA2D0000}"/>
    <cellStyle name="Comma 2 34 2 2 3" xfId="11774" xr:uid="{00000000-0005-0000-0000-0000FB2D0000}"/>
    <cellStyle name="Comma 2 34 2 3" xfId="11775" xr:uid="{00000000-0005-0000-0000-0000FC2D0000}"/>
    <cellStyle name="Comma 2 34 2 4" xfId="11776" xr:uid="{00000000-0005-0000-0000-0000FD2D0000}"/>
    <cellStyle name="Comma 2 34 2 5" xfId="11777" xr:uid="{00000000-0005-0000-0000-0000FE2D0000}"/>
    <cellStyle name="Comma 2 34 2 6" xfId="11778" xr:uid="{00000000-0005-0000-0000-0000FF2D0000}"/>
    <cellStyle name="Comma 2 34 3" xfId="11779" xr:uid="{00000000-0005-0000-0000-0000002E0000}"/>
    <cellStyle name="Comma 2 34 3 2" xfId="11780" xr:uid="{00000000-0005-0000-0000-0000012E0000}"/>
    <cellStyle name="Comma 2 34 3 2 2" xfId="11781" xr:uid="{00000000-0005-0000-0000-0000022E0000}"/>
    <cellStyle name="Comma 2 34 3 2 3" xfId="11782" xr:uid="{00000000-0005-0000-0000-0000032E0000}"/>
    <cellStyle name="Comma 2 34 3 3" xfId="11783" xr:uid="{00000000-0005-0000-0000-0000042E0000}"/>
    <cellStyle name="Comma 2 34 3 4" xfId="11784" xr:uid="{00000000-0005-0000-0000-0000052E0000}"/>
    <cellStyle name="Comma 2 34 3 5" xfId="11785" xr:uid="{00000000-0005-0000-0000-0000062E0000}"/>
    <cellStyle name="Comma 2 34 3 6" xfId="11786" xr:uid="{00000000-0005-0000-0000-0000072E0000}"/>
    <cellStyle name="Comma 2 34 4" xfId="11787" xr:uid="{00000000-0005-0000-0000-0000082E0000}"/>
    <cellStyle name="Comma 2 34 4 2" xfId="11788" xr:uid="{00000000-0005-0000-0000-0000092E0000}"/>
    <cellStyle name="Comma 2 34 4 2 2" xfId="11789" xr:uid="{00000000-0005-0000-0000-00000A2E0000}"/>
    <cellStyle name="Comma 2 34 4 3" xfId="11790" xr:uid="{00000000-0005-0000-0000-00000B2E0000}"/>
    <cellStyle name="Comma 2 34 4 4" xfId="11791" xr:uid="{00000000-0005-0000-0000-00000C2E0000}"/>
    <cellStyle name="Comma 2 34 4 5" xfId="11792" xr:uid="{00000000-0005-0000-0000-00000D2E0000}"/>
    <cellStyle name="Comma 2 34 4 6" xfId="11793" xr:uid="{00000000-0005-0000-0000-00000E2E0000}"/>
    <cellStyle name="Comma 2 34 5" xfId="11794" xr:uid="{00000000-0005-0000-0000-00000F2E0000}"/>
    <cellStyle name="Comma 2 34 5 2" xfId="11795" xr:uid="{00000000-0005-0000-0000-0000102E0000}"/>
    <cellStyle name="Comma 2 34 5 3" xfId="11796" xr:uid="{00000000-0005-0000-0000-0000112E0000}"/>
    <cellStyle name="Comma 2 34 5 4" xfId="11797" xr:uid="{00000000-0005-0000-0000-0000122E0000}"/>
    <cellStyle name="Comma 2 34 5 5" xfId="11798" xr:uid="{00000000-0005-0000-0000-0000132E0000}"/>
    <cellStyle name="Comma 2 34 6" xfId="11799" xr:uid="{00000000-0005-0000-0000-0000142E0000}"/>
    <cellStyle name="Comma 2 34 6 2" xfId="11800" xr:uid="{00000000-0005-0000-0000-0000152E0000}"/>
    <cellStyle name="Comma 2 34 6 3" xfId="11801" xr:uid="{00000000-0005-0000-0000-0000162E0000}"/>
    <cellStyle name="Comma 2 34 7" xfId="11802" xr:uid="{00000000-0005-0000-0000-0000172E0000}"/>
    <cellStyle name="Comma 2 34 7 2" xfId="11803" xr:uid="{00000000-0005-0000-0000-0000182E0000}"/>
    <cellStyle name="Comma 2 34 8" xfId="11804" xr:uid="{00000000-0005-0000-0000-0000192E0000}"/>
    <cellStyle name="Comma 2 34 9" xfId="11805" xr:uid="{00000000-0005-0000-0000-00001A2E0000}"/>
    <cellStyle name="Comma 2 35" xfId="11806" xr:uid="{00000000-0005-0000-0000-00001B2E0000}"/>
    <cellStyle name="Comma 2 35 10" xfId="11807" xr:uid="{00000000-0005-0000-0000-00001C2E0000}"/>
    <cellStyle name="Comma 2 35 2" xfId="11808" xr:uid="{00000000-0005-0000-0000-00001D2E0000}"/>
    <cellStyle name="Comma 2 35 2 2" xfId="11809" xr:uid="{00000000-0005-0000-0000-00001E2E0000}"/>
    <cellStyle name="Comma 2 35 2 2 2" xfId="11810" xr:uid="{00000000-0005-0000-0000-00001F2E0000}"/>
    <cellStyle name="Comma 2 35 2 2 3" xfId="11811" xr:uid="{00000000-0005-0000-0000-0000202E0000}"/>
    <cellStyle name="Comma 2 35 2 3" xfId="11812" xr:uid="{00000000-0005-0000-0000-0000212E0000}"/>
    <cellStyle name="Comma 2 35 2 4" xfId="11813" xr:uid="{00000000-0005-0000-0000-0000222E0000}"/>
    <cellStyle name="Comma 2 35 2 5" xfId="11814" xr:uid="{00000000-0005-0000-0000-0000232E0000}"/>
    <cellStyle name="Comma 2 35 2 6" xfId="11815" xr:uid="{00000000-0005-0000-0000-0000242E0000}"/>
    <cellStyle name="Comma 2 35 3" xfId="11816" xr:uid="{00000000-0005-0000-0000-0000252E0000}"/>
    <cellStyle name="Comma 2 35 3 2" xfId="11817" xr:uid="{00000000-0005-0000-0000-0000262E0000}"/>
    <cellStyle name="Comma 2 35 3 2 2" xfId="11818" xr:uid="{00000000-0005-0000-0000-0000272E0000}"/>
    <cellStyle name="Comma 2 35 3 3" xfId="11819" xr:uid="{00000000-0005-0000-0000-0000282E0000}"/>
    <cellStyle name="Comma 2 35 3 4" xfId="11820" xr:uid="{00000000-0005-0000-0000-0000292E0000}"/>
    <cellStyle name="Comma 2 35 3 5" xfId="11821" xr:uid="{00000000-0005-0000-0000-00002A2E0000}"/>
    <cellStyle name="Comma 2 35 3 6" xfId="11822" xr:uid="{00000000-0005-0000-0000-00002B2E0000}"/>
    <cellStyle name="Comma 2 35 4" xfId="11823" xr:uid="{00000000-0005-0000-0000-00002C2E0000}"/>
    <cellStyle name="Comma 2 35 4 2" xfId="11824" xr:uid="{00000000-0005-0000-0000-00002D2E0000}"/>
    <cellStyle name="Comma 2 35 4 3" xfId="11825" xr:uid="{00000000-0005-0000-0000-00002E2E0000}"/>
    <cellStyle name="Comma 2 35 4 4" xfId="11826" xr:uid="{00000000-0005-0000-0000-00002F2E0000}"/>
    <cellStyle name="Comma 2 35 4 5" xfId="11827" xr:uid="{00000000-0005-0000-0000-0000302E0000}"/>
    <cellStyle name="Comma 2 35 5" xfId="11828" xr:uid="{00000000-0005-0000-0000-0000312E0000}"/>
    <cellStyle name="Comma 2 35 5 2" xfId="11829" xr:uid="{00000000-0005-0000-0000-0000322E0000}"/>
    <cellStyle name="Comma 2 35 5 3" xfId="11830" xr:uid="{00000000-0005-0000-0000-0000332E0000}"/>
    <cellStyle name="Comma 2 35 6" xfId="11831" xr:uid="{00000000-0005-0000-0000-0000342E0000}"/>
    <cellStyle name="Comma 2 35 6 2" xfId="11832" xr:uid="{00000000-0005-0000-0000-0000352E0000}"/>
    <cellStyle name="Comma 2 35 7" xfId="11833" xr:uid="{00000000-0005-0000-0000-0000362E0000}"/>
    <cellStyle name="Comma 2 35 7 2" xfId="11834" xr:uid="{00000000-0005-0000-0000-0000372E0000}"/>
    <cellStyle name="Comma 2 35 8" xfId="11835" xr:uid="{00000000-0005-0000-0000-0000382E0000}"/>
    <cellStyle name="Comma 2 35 9" xfId="11836" xr:uid="{00000000-0005-0000-0000-0000392E0000}"/>
    <cellStyle name="Comma 2 36" xfId="11837" xr:uid="{00000000-0005-0000-0000-00003A2E0000}"/>
    <cellStyle name="Comma 2 36 10" xfId="11838" xr:uid="{00000000-0005-0000-0000-00003B2E0000}"/>
    <cellStyle name="Comma 2 36 2" xfId="11839" xr:uid="{00000000-0005-0000-0000-00003C2E0000}"/>
    <cellStyle name="Comma 2 36 2 2" xfId="11840" xr:uid="{00000000-0005-0000-0000-00003D2E0000}"/>
    <cellStyle name="Comma 2 36 2 2 2" xfId="11841" xr:uid="{00000000-0005-0000-0000-00003E2E0000}"/>
    <cellStyle name="Comma 2 36 2 2 3" xfId="11842" xr:uid="{00000000-0005-0000-0000-00003F2E0000}"/>
    <cellStyle name="Comma 2 36 2 3" xfId="11843" xr:uid="{00000000-0005-0000-0000-0000402E0000}"/>
    <cellStyle name="Comma 2 36 2 4" xfId="11844" xr:uid="{00000000-0005-0000-0000-0000412E0000}"/>
    <cellStyle name="Comma 2 36 2 5" xfId="11845" xr:uid="{00000000-0005-0000-0000-0000422E0000}"/>
    <cellStyle name="Comma 2 36 2 6" xfId="11846" xr:uid="{00000000-0005-0000-0000-0000432E0000}"/>
    <cellStyle name="Comma 2 36 3" xfId="11847" xr:uid="{00000000-0005-0000-0000-0000442E0000}"/>
    <cellStyle name="Comma 2 36 3 2" xfId="11848" xr:uid="{00000000-0005-0000-0000-0000452E0000}"/>
    <cellStyle name="Comma 2 36 3 2 2" xfId="11849" xr:uid="{00000000-0005-0000-0000-0000462E0000}"/>
    <cellStyle name="Comma 2 36 3 3" xfId="11850" xr:uid="{00000000-0005-0000-0000-0000472E0000}"/>
    <cellStyle name="Comma 2 36 3 4" xfId="11851" xr:uid="{00000000-0005-0000-0000-0000482E0000}"/>
    <cellStyle name="Comma 2 36 3 5" xfId="11852" xr:uid="{00000000-0005-0000-0000-0000492E0000}"/>
    <cellStyle name="Comma 2 36 3 6" xfId="11853" xr:uid="{00000000-0005-0000-0000-00004A2E0000}"/>
    <cellStyle name="Comma 2 36 4" xfId="11854" xr:uid="{00000000-0005-0000-0000-00004B2E0000}"/>
    <cellStyle name="Comma 2 36 4 2" xfId="11855" xr:uid="{00000000-0005-0000-0000-00004C2E0000}"/>
    <cellStyle name="Comma 2 36 4 3" xfId="11856" xr:uid="{00000000-0005-0000-0000-00004D2E0000}"/>
    <cellStyle name="Comma 2 36 4 4" xfId="11857" xr:uid="{00000000-0005-0000-0000-00004E2E0000}"/>
    <cellStyle name="Comma 2 36 4 5" xfId="11858" xr:uid="{00000000-0005-0000-0000-00004F2E0000}"/>
    <cellStyle name="Comma 2 36 5" xfId="11859" xr:uid="{00000000-0005-0000-0000-0000502E0000}"/>
    <cellStyle name="Comma 2 36 5 2" xfId="11860" xr:uid="{00000000-0005-0000-0000-0000512E0000}"/>
    <cellStyle name="Comma 2 36 5 3" xfId="11861" xr:uid="{00000000-0005-0000-0000-0000522E0000}"/>
    <cellStyle name="Comma 2 36 6" xfId="11862" xr:uid="{00000000-0005-0000-0000-0000532E0000}"/>
    <cellStyle name="Comma 2 36 6 2" xfId="11863" xr:uid="{00000000-0005-0000-0000-0000542E0000}"/>
    <cellStyle name="Comma 2 36 7" xfId="11864" xr:uid="{00000000-0005-0000-0000-0000552E0000}"/>
    <cellStyle name="Comma 2 36 7 2" xfId="11865" xr:uid="{00000000-0005-0000-0000-0000562E0000}"/>
    <cellStyle name="Comma 2 36 8" xfId="11866" xr:uid="{00000000-0005-0000-0000-0000572E0000}"/>
    <cellStyle name="Comma 2 36 9" xfId="11867" xr:uid="{00000000-0005-0000-0000-0000582E0000}"/>
    <cellStyle name="Comma 2 37" xfId="11868" xr:uid="{00000000-0005-0000-0000-0000592E0000}"/>
    <cellStyle name="Comma 2 37 10" xfId="11869" xr:uid="{00000000-0005-0000-0000-00005A2E0000}"/>
    <cellStyle name="Comma 2 37 2" xfId="11870" xr:uid="{00000000-0005-0000-0000-00005B2E0000}"/>
    <cellStyle name="Comma 2 37 2 2" xfId="11871" xr:uid="{00000000-0005-0000-0000-00005C2E0000}"/>
    <cellStyle name="Comma 2 37 2 2 2" xfId="11872" xr:uid="{00000000-0005-0000-0000-00005D2E0000}"/>
    <cellStyle name="Comma 2 37 2 2 3" xfId="11873" xr:uid="{00000000-0005-0000-0000-00005E2E0000}"/>
    <cellStyle name="Comma 2 37 2 3" xfId="11874" xr:uid="{00000000-0005-0000-0000-00005F2E0000}"/>
    <cellStyle name="Comma 2 37 2 4" xfId="11875" xr:uid="{00000000-0005-0000-0000-0000602E0000}"/>
    <cellStyle name="Comma 2 37 2 5" xfId="11876" xr:uid="{00000000-0005-0000-0000-0000612E0000}"/>
    <cellStyle name="Comma 2 37 2 6" xfId="11877" xr:uid="{00000000-0005-0000-0000-0000622E0000}"/>
    <cellStyle name="Comma 2 37 3" xfId="11878" xr:uid="{00000000-0005-0000-0000-0000632E0000}"/>
    <cellStyle name="Comma 2 37 3 2" xfId="11879" xr:uid="{00000000-0005-0000-0000-0000642E0000}"/>
    <cellStyle name="Comma 2 37 3 3" xfId="11880" xr:uid="{00000000-0005-0000-0000-0000652E0000}"/>
    <cellStyle name="Comma 2 37 3 4" xfId="11881" xr:uid="{00000000-0005-0000-0000-0000662E0000}"/>
    <cellStyle name="Comma 2 37 3 5" xfId="11882" xr:uid="{00000000-0005-0000-0000-0000672E0000}"/>
    <cellStyle name="Comma 2 37 4" xfId="11883" xr:uid="{00000000-0005-0000-0000-0000682E0000}"/>
    <cellStyle name="Comma 2 37 4 2" xfId="11884" xr:uid="{00000000-0005-0000-0000-0000692E0000}"/>
    <cellStyle name="Comma 2 37 4 3" xfId="11885" xr:uid="{00000000-0005-0000-0000-00006A2E0000}"/>
    <cellStyle name="Comma 2 37 5" xfId="11886" xr:uid="{00000000-0005-0000-0000-00006B2E0000}"/>
    <cellStyle name="Comma 2 37 5 2" xfId="11887" xr:uid="{00000000-0005-0000-0000-00006C2E0000}"/>
    <cellStyle name="Comma 2 37 6" xfId="11888" xr:uid="{00000000-0005-0000-0000-00006D2E0000}"/>
    <cellStyle name="Comma 2 37 6 2" xfId="11889" xr:uid="{00000000-0005-0000-0000-00006E2E0000}"/>
    <cellStyle name="Comma 2 37 7" xfId="11890" xr:uid="{00000000-0005-0000-0000-00006F2E0000}"/>
    <cellStyle name="Comma 2 37 7 2" xfId="11891" xr:uid="{00000000-0005-0000-0000-0000702E0000}"/>
    <cellStyle name="Comma 2 37 8" xfId="11892" xr:uid="{00000000-0005-0000-0000-0000712E0000}"/>
    <cellStyle name="Comma 2 37 9" xfId="11893" xr:uid="{00000000-0005-0000-0000-0000722E0000}"/>
    <cellStyle name="Comma 2 38" xfId="11894" xr:uid="{00000000-0005-0000-0000-0000732E0000}"/>
    <cellStyle name="Comma 2 38 10" xfId="11895" xr:uid="{00000000-0005-0000-0000-0000742E0000}"/>
    <cellStyle name="Comma 2 38 2" xfId="11896" xr:uid="{00000000-0005-0000-0000-0000752E0000}"/>
    <cellStyle name="Comma 2 38 2 2" xfId="11897" xr:uid="{00000000-0005-0000-0000-0000762E0000}"/>
    <cellStyle name="Comma 2 38 2 2 2" xfId="11898" xr:uid="{00000000-0005-0000-0000-0000772E0000}"/>
    <cellStyle name="Comma 2 38 2 3" xfId="11899" xr:uid="{00000000-0005-0000-0000-0000782E0000}"/>
    <cellStyle name="Comma 2 38 2 4" xfId="11900" xr:uid="{00000000-0005-0000-0000-0000792E0000}"/>
    <cellStyle name="Comma 2 38 2 5" xfId="11901" xr:uid="{00000000-0005-0000-0000-00007A2E0000}"/>
    <cellStyle name="Comma 2 38 3" xfId="11902" xr:uid="{00000000-0005-0000-0000-00007B2E0000}"/>
    <cellStyle name="Comma 2 38 3 2" xfId="11903" xr:uid="{00000000-0005-0000-0000-00007C2E0000}"/>
    <cellStyle name="Comma 2 38 3 3" xfId="11904" xr:uid="{00000000-0005-0000-0000-00007D2E0000}"/>
    <cellStyle name="Comma 2 38 4" xfId="11905" xr:uid="{00000000-0005-0000-0000-00007E2E0000}"/>
    <cellStyle name="Comma 2 38 4 2" xfId="11906" xr:uid="{00000000-0005-0000-0000-00007F2E0000}"/>
    <cellStyle name="Comma 2 38 5" xfId="11907" xr:uid="{00000000-0005-0000-0000-0000802E0000}"/>
    <cellStyle name="Comma 2 38 5 2" xfId="11908" xr:uid="{00000000-0005-0000-0000-0000812E0000}"/>
    <cellStyle name="Comma 2 38 6" xfId="11909" xr:uid="{00000000-0005-0000-0000-0000822E0000}"/>
    <cellStyle name="Comma 2 38 6 2" xfId="11910" xr:uid="{00000000-0005-0000-0000-0000832E0000}"/>
    <cellStyle name="Comma 2 38 7" xfId="11911" xr:uid="{00000000-0005-0000-0000-0000842E0000}"/>
    <cellStyle name="Comma 2 38 8" xfId="11912" xr:uid="{00000000-0005-0000-0000-0000852E0000}"/>
    <cellStyle name="Comma 2 38 9" xfId="11913" xr:uid="{00000000-0005-0000-0000-0000862E0000}"/>
    <cellStyle name="Comma 2 39" xfId="11914" xr:uid="{00000000-0005-0000-0000-0000872E0000}"/>
    <cellStyle name="Comma 2 39 10" xfId="11915" xr:uid="{00000000-0005-0000-0000-0000882E0000}"/>
    <cellStyle name="Comma 2 39 2" xfId="11916" xr:uid="{00000000-0005-0000-0000-0000892E0000}"/>
    <cellStyle name="Comma 2 39 2 2" xfId="11917" xr:uid="{00000000-0005-0000-0000-00008A2E0000}"/>
    <cellStyle name="Comma 2 39 2 2 2" xfId="11918" xr:uid="{00000000-0005-0000-0000-00008B2E0000}"/>
    <cellStyle name="Comma 2 39 2 3" xfId="11919" xr:uid="{00000000-0005-0000-0000-00008C2E0000}"/>
    <cellStyle name="Comma 2 39 2 4" xfId="11920" xr:uid="{00000000-0005-0000-0000-00008D2E0000}"/>
    <cellStyle name="Comma 2 39 3" xfId="11921" xr:uid="{00000000-0005-0000-0000-00008E2E0000}"/>
    <cellStyle name="Comma 2 39 3 2" xfId="11922" xr:uid="{00000000-0005-0000-0000-00008F2E0000}"/>
    <cellStyle name="Comma 2 39 4" xfId="11923" xr:uid="{00000000-0005-0000-0000-0000902E0000}"/>
    <cellStyle name="Comma 2 39 4 2" xfId="11924" xr:uid="{00000000-0005-0000-0000-0000912E0000}"/>
    <cellStyle name="Comma 2 39 5" xfId="11925" xr:uid="{00000000-0005-0000-0000-0000922E0000}"/>
    <cellStyle name="Comma 2 39 6" xfId="11926" xr:uid="{00000000-0005-0000-0000-0000932E0000}"/>
    <cellStyle name="Comma 2 39 7" xfId="11927" xr:uid="{00000000-0005-0000-0000-0000942E0000}"/>
    <cellStyle name="Comma 2 39 8" xfId="11928" xr:uid="{00000000-0005-0000-0000-0000952E0000}"/>
    <cellStyle name="Comma 2 39 9" xfId="11929" xr:uid="{00000000-0005-0000-0000-0000962E0000}"/>
    <cellStyle name="Comma 2 4" xfId="11930" xr:uid="{00000000-0005-0000-0000-0000972E0000}"/>
    <cellStyle name="Comma 2 4 10" xfId="11931" xr:uid="{00000000-0005-0000-0000-0000982E0000}"/>
    <cellStyle name="Comma 2 4 10 10" xfId="11932" xr:uid="{00000000-0005-0000-0000-0000992E0000}"/>
    <cellStyle name="Comma 2 4 10 2" xfId="11933" xr:uid="{00000000-0005-0000-0000-00009A2E0000}"/>
    <cellStyle name="Comma 2 4 10 2 2" xfId="11934" xr:uid="{00000000-0005-0000-0000-00009B2E0000}"/>
    <cellStyle name="Comma 2 4 10 2 2 2" xfId="11935" xr:uid="{00000000-0005-0000-0000-00009C2E0000}"/>
    <cellStyle name="Comma 2 4 10 2 2 3" xfId="11936" xr:uid="{00000000-0005-0000-0000-00009D2E0000}"/>
    <cellStyle name="Comma 2 4 10 2 3" xfId="11937" xr:uid="{00000000-0005-0000-0000-00009E2E0000}"/>
    <cellStyle name="Comma 2 4 10 2 4" xfId="11938" xr:uid="{00000000-0005-0000-0000-00009F2E0000}"/>
    <cellStyle name="Comma 2 4 10 2 5" xfId="11939" xr:uid="{00000000-0005-0000-0000-0000A02E0000}"/>
    <cellStyle name="Comma 2 4 10 2 6" xfId="11940" xr:uid="{00000000-0005-0000-0000-0000A12E0000}"/>
    <cellStyle name="Comma 2 4 10 3" xfId="11941" xr:uid="{00000000-0005-0000-0000-0000A22E0000}"/>
    <cellStyle name="Comma 2 4 10 3 2" xfId="11942" xr:uid="{00000000-0005-0000-0000-0000A32E0000}"/>
    <cellStyle name="Comma 2 4 10 3 2 2" xfId="11943" xr:uid="{00000000-0005-0000-0000-0000A42E0000}"/>
    <cellStyle name="Comma 2 4 10 3 2 3" xfId="11944" xr:uid="{00000000-0005-0000-0000-0000A52E0000}"/>
    <cellStyle name="Comma 2 4 10 3 3" xfId="11945" xr:uid="{00000000-0005-0000-0000-0000A62E0000}"/>
    <cellStyle name="Comma 2 4 10 3 4" xfId="11946" xr:uid="{00000000-0005-0000-0000-0000A72E0000}"/>
    <cellStyle name="Comma 2 4 10 3 5" xfId="11947" xr:uid="{00000000-0005-0000-0000-0000A82E0000}"/>
    <cellStyle name="Comma 2 4 10 3 6" xfId="11948" xr:uid="{00000000-0005-0000-0000-0000A92E0000}"/>
    <cellStyle name="Comma 2 4 10 4" xfId="11949" xr:uid="{00000000-0005-0000-0000-0000AA2E0000}"/>
    <cellStyle name="Comma 2 4 10 4 2" xfId="11950" xr:uid="{00000000-0005-0000-0000-0000AB2E0000}"/>
    <cellStyle name="Comma 2 4 10 4 2 2" xfId="11951" xr:uid="{00000000-0005-0000-0000-0000AC2E0000}"/>
    <cellStyle name="Comma 2 4 10 4 3" xfId="11952" xr:uid="{00000000-0005-0000-0000-0000AD2E0000}"/>
    <cellStyle name="Comma 2 4 10 4 4" xfId="11953" xr:uid="{00000000-0005-0000-0000-0000AE2E0000}"/>
    <cellStyle name="Comma 2 4 10 4 5" xfId="11954" xr:uid="{00000000-0005-0000-0000-0000AF2E0000}"/>
    <cellStyle name="Comma 2 4 10 5" xfId="11955" xr:uid="{00000000-0005-0000-0000-0000B02E0000}"/>
    <cellStyle name="Comma 2 4 10 5 2" xfId="11956" xr:uid="{00000000-0005-0000-0000-0000B12E0000}"/>
    <cellStyle name="Comma 2 4 10 5 3" xfId="11957" xr:uid="{00000000-0005-0000-0000-0000B22E0000}"/>
    <cellStyle name="Comma 2 4 10 5 4" xfId="11958" xr:uid="{00000000-0005-0000-0000-0000B32E0000}"/>
    <cellStyle name="Comma 2 4 10 6" xfId="11959" xr:uid="{00000000-0005-0000-0000-0000B42E0000}"/>
    <cellStyle name="Comma 2 4 10 6 2" xfId="11960" xr:uid="{00000000-0005-0000-0000-0000B52E0000}"/>
    <cellStyle name="Comma 2 4 10 7" xfId="11961" xr:uid="{00000000-0005-0000-0000-0000B62E0000}"/>
    <cellStyle name="Comma 2 4 10 8" xfId="11962" xr:uid="{00000000-0005-0000-0000-0000B72E0000}"/>
    <cellStyle name="Comma 2 4 10 9" xfId="11963" xr:uid="{00000000-0005-0000-0000-0000B82E0000}"/>
    <cellStyle name="Comma 2 4 11" xfId="11964" xr:uid="{00000000-0005-0000-0000-0000B92E0000}"/>
    <cellStyle name="Comma 2 4 11 10" xfId="11965" xr:uid="{00000000-0005-0000-0000-0000BA2E0000}"/>
    <cellStyle name="Comma 2 4 11 2" xfId="11966" xr:uid="{00000000-0005-0000-0000-0000BB2E0000}"/>
    <cellStyle name="Comma 2 4 11 2 2" xfId="11967" xr:uid="{00000000-0005-0000-0000-0000BC2E0000}"/>
    <cellStyle name="Comma 2 4 11 2 2 2" xfId="11968" xr:uid="{00000000-0005-0000-0000-0000BD2E0000}"/>
    <cellStyle name="Comma 2 4 11 2 2 3" xfId="11969" xr:uid="{00000000-0005-0000-0000-0000BE2E0000}"/>
    <cellStyle name="Comma 2 4 11 2 3" xfId="11970" xr:uid="{00000000-0005-0000-0000-0000BF2E0000}"/>
    <cellStyle name="Comma 2 4 11 2 4" xfId="11971" xr:uid="{00000000-0005-0000-0000-0000C02E0000}"/>
    <cellStyle name="Comma 2 4 11 2 5" xfId="11972" xr:uid="{00000000-0005-0000-0000-0000C12E0000}"/>
    <cellStyle name="Comma 2 4 11 2 6" xfId="11973" xr:uid="{00000000-0005-0000-0000-0000C22E0000}"/>
    <cellStyle name="Comma 2 4 11 3" xfId="11974" xr:uid="{00000000-0005-0000-0000-0000C32E0000}"/>
    <cellStyle name="Comma 2 4 11 3 2" xfId="11975" xr:uid="{00000000-0005-0000-0000-0000C42E0000}"/>
    <cellStyle name="Comma 2 4 11 3 2 2" xfId="11976" xr:uid="{00000000-0005-0000-0000-0000C52E0000}"/>
    <cellStyle name="Comma 2 4 11 3 2 3" xfId="11977" xr:uid="{00000000-0005-0000-0000-0000C62E0000}"/>
    <cellStyle name="Comma 2 4 11 3 3" xfId="11978" xr:uid="{00000000-0005-0000-0000-0000C72E0000}"/>
    <cellStyle name="Comma 2 4 11 3 4" xfId="11979" xr:uid="{00000000-0005-0000-0000-0000C82E0000}"/>
    <cellStyle name="Comma 2 4 11 3 5" xfId="11980" xr:uid="{00000000-0005-0000-0000-0000C92E0000}"/>
    <cellStyle name="Comma 2 4 11 3 6" xfId="11981" xr:uid="{00000000-0005-0000-0000-0000CA2E0000}"/>
    <cellStyle name="Comma 2 4 11 4" xfId="11982" xr:uid="{00000000-0005-0000-0000-0000CB2E0000}"/>
    <cellStyle name="Comma 2 4 11 4 2" xfId="11983" xr:uid="{00000000-0005-0000-0000-0000CC2E0000}"/>
    <cellStyle name="Comma 2 4 11 4 2 2" xfId="11984" xr:uid="{00000000-0005-0000-0000-0000CD2E0000}"/>
    <cellStyle name="Comma 2 4 11 4 3" xfId="11985" xr:uid="{00000000-0005-0000-0000-0000CE2E0000}"/>
    <cellStyle name="Comma 2 4 11 4 4" xfId="11986" xr:uid="{00000000-0005-0000-0000-0000CF2E0000}"/>
    <cellStyle name="Comma 2 4 11 4 5" xfId="11987" xr:uid="{00000000-0005-0000-0000-0000D02E0000}"/>
    <cellStyle name="Comma 2 4 11 5" xfId="11988" xr:uid="{00000000-0005-0000-0000-0000D12E0000}"/>
    <cellStyle name="Comma 2 4 11 5 2" xfId="11989" xr:uid="{00000000-0005-0000-0000-0000D22E0000}"/>
    <cellStyle name="Comma 2 4 11 5 3" xfId="11990" xr:uid="{00000000-0005-0000-0000-0000D32E0000}"/>
    <cellStyle name="Comma 2 4 11 5 4" xfId="11991" xr:uid="{00000000-0005-0000-0000-0000D42E0000}"/>
    <cellStyle name="Comma 2 4 11 6" xfId="11992" xr:uid="{00000000-0005-0000-0000-0000D52E0000}"/>
    <cellStyle name="Comma 2 4 11 6 2" xfId="11993" xr:uid="{00000000-0005-0000-0000-0000D62E0000}"/>
    <cellStyle name="Comma 2 4 11 7" xfId="11994" xr:uid="{00000000-0005-0000-0000-0000D72E0000}"/>
    <cellStyle name="Comma 2 4 11 8" xfId="11995" xr:uid="{00000000-0005-0000-0000-0000D82E0000}"/>
    <cellStyle name="Comma 2 4 11 9" xfId="11996" xr:uid="{00000000-0005-0000-0000-0000D92E0000}"/>
    <cellStyle name="Comma 2 4 12" xfId="11997" xr:uid="{00000000-0005-0000-0000-0000DA2E0000}"/>
    <cellStyle name="Comma 2 4 12 10" xfId="11998" xr:uid="{00000000-0005-0000-0000-0000DB2E0000}"/>
    <cellStyle name="Comma 2 4 12 2" xfId="11999" xr:uid="{00000000-0005-0000-0000-0000DC2E0000}"/>
    <cellStyle name="Comma 2 4 12 2 2" xfId="12000" xr:uid="{00000000-0005-0000-0000-0000DD2E0000}"/>
    <cellStyle name="Comma 2 4 12 2 2 2" xfId="12001" xr:uid="{00000000-0005-0000-0000-0000DE2E0000}"/>
    <cellStyle name="Comma 2 4 12 2 2 3" xfId="12002" xr:uid="{00000000-0005-0000-0000-0000DF2E0000}"/>
    <cellStyle name="Comma 2 4 12 2 3" xfId="12003" xr:uid="{00000000-0005-0000-0000-0000E02E0000}"/>
    <cellStyle name="Comma 2 4 12 2 4" xfId="12004" xr:uid="{00000000-0005-0000-0000-0000E12E0000}"/>
    <cellStyle name="Comma 2 4 12 2 5" xfId="12005" xr:uid="{00000000-0005-0000-0000-0000E22E0000}"/>
    <cellStyle name="Comma 2 4 12 2 6" xfId="12006" xr:uid="{00000000-0005-0000-0000-0000E32E0000}"/>
    <cellStyle name="Comma 2 4 12 3" xfId="12007" xr:uid="{00000000-0005-0000-0000-0000E42E0000}"/>
    <cellStyle name="Comma 2 4 12 3 2" xfId="12008" xr:uid="{00000000-0005-0000-0000-0000E52E0000}"/>
    <cellStyle name="Comma 2 4 12 3 2 2" xfId="12009" xr:uid="{00000000-0005-0000-0000-0000E62E0000}"/>
    <cellStyle name="Comma 2 4 12 3 2 3" xfId="12010" xr:uid="{00000000-0005-0000-0000-0000E72E0000}"/>
    <cellStyle name="Comma 2 4 12 3 3" xfId="12011" xr:uid="{00000000-0005-0000-0000-0000E82E0000}"/>
    <cellStyle name="Comma 2 4 12 3 4" xfId="12012" xr:uid="{00000000-0005-0000-0000-0000E92E0000}"/>
    <cellStyle name="Comma 2 4 12 3 5" xfId="12013" xr:uid="{00000000-0005-0000-0000-0000EA2E0000}"/>
    <cellStyle name="Comma 2 4 12 3 6" xfId="12014" xr:uid="{00000000-0005-0000-0000-0000EB2E0000}"/>
    <cellStyle name="Comma 2 4 12 4" xfId="12015" xr:uid="{00000000-0005-0000-0000-0000EC2E0000}"/>
    <cellStyle name="Comma 2 4 12 4 2" xfId="12016" xr:uid="{00000000-0005-0000-0000-0000ED2E0000}"/>
    <cellStyle name="Comma 2 4 12 4 2 2" xfId="12017" xr:uid="{00000000-0005-0000-0000-0000EE2E0000}"/>
    <cellStyle name="Comma 2 4 12 4 3" xfId="12018" xr:uid="{00000000-0005-0000-0000-0000EF2E0000}"/>
    <cellStyle name="Comma 2 4 12 4 4" xfId="12019" xr:uid="{00000000-0005-0000-0000-0000F02E0000}"/>
    <cellStyle name="Comma 2 4 12 4 5" xfId="12020" xr:uid="{00000000-0005-0000-0000-0000F12E0000}"/>
    <cellStyle name="Comma 2 4 12 5" xfId="12021" xr:uid="{00000000-0005-0000-0000-0000F22E0000}"/>
    <cellStyle name="Comma 2 4 12 5 2" xfId="12022" xr:uid="{00000000-0005-0000-0000-0000F32E0000}"/>
    <cellStyle name="Comma 2 4 12 5 3" xfId="12023" xr:uid="{00000000-0005-0000-0000-0000F42E0000}"/>
    <cellStyle name="Comma 2 4 12 5 4" xfId="12024" xr:uid="{00000000-0005-0000-0000-0000F52E0000}"/>
    <cellStyle name="Comma 2 4 12 6" xfId="12025" xr:uid="{00000000-0005-0000-0000-0000F62E0000}"/>
    <cellStyle name="Comma 2 4 12 6 2" xfId="12026" xr:uid="{00000000-0005-0000-0000-0000F72E0000}"/>
    <cellStyle name="Comma 2 4 12 7" xfId="12027" xr:uid="{00000000-0005-0000-0000-0000F82E0000}"/>
    <cellStyle name="Comma 2 4 12 8" xfId="12028" xr:uid="{00000000-0005-0000-0000-0000F92E0000}"/>
    <cellStyle name="Comma 2 4 12 9" xfId="12029" xr:uid="{00000000-0005-0000-0000-0000FA2E0000}"/>
    <cellStyle name="Comma 2 4 13" xfId="12030" xr:uid="{00000000-0005-0000-0000-0000FB2E0000}"/>
    <cellStyle name="Comma 2 4 13 10" xfId="12031" xr:uid="{00000000-0005-0000-0000-0000FC2E0000}"/>
    <cellStyle name="Comma 2 4 13 2" xfId="12032" xr:uid="{00000000-0005-0000-0000-0000FD2E0000}"/>
    <cellStyle name="Comma 2 4 13 2 2" xfId="12033" xr:uid="{00000000-0005-0000-0000-0000FE2E0000}"/>
    <cellStyle name="Comma 2 4 13 2 2 2" xfId="12034" xr:uid="{00000000-0005-0000-0000-0000FF2E0000}"/>
    <cellStyle name="Comma 2 4 13 2 2 3" xfId="12035" xr:uid="{00000000-0005-0000-0000-0000002F0000}"/>
    <cellStyle name="Comma 2 4 13 2 3" xfId="12036" xr:uid="{00000000-0005-0000-0000-0000012F0000}"/>
    <cellStyle name="Comma 2 4 13 2 4" xfId="12037" xr:uid="{00000000-0005-0000-0000-0000022F0000}"/>
    <cellStyle name="Comma 2 4 13 2 5" xfId="12038" xr:uid="{00000000-0005-0000-0000-0000032F0000}"/>
    <cellStyle name="Comma 2 4 13 2 6" xfId="12039" xr:uid="{00000000-0005-0000-0000-0000042F0000}"/>
    <cellStyle name="Comma 2 4 13 3" xfId="12040" xr:uid="{00000000-0005-0000-0000-0000052F0000}"/>
    <cellStyle name="Comma 2 4 13 3 2" xfId="12041" xr:uid="{00000000-0005-0000-0000-0000062F0000}"/>
    <cellStyle name="Comma 2 4 13 3 2 2" xfId="12042" xr:uid="{00000000-0005-0000-0000-0000072F0000}"/>
    <cellStyle name="Comma 2 4 13 3 2 3" xfId="12043" xr:uid="{00000000-0005-0000-0000-0000082F0000}"/>
    <cellStyle name="Comma 2 4 13 3 3" xfId="12044" xr:uid="{00000000-0005-0000-0000-0000092F0000}"/>
    <cellStyle name="Comma 2 4 13 3 4" xfId="12045" xr:uid="{00000000-0005-0000-0000-00000A2F0000}"/>
    <cellStyle name="Comma 2 4 13 3 5" xfId="12046" xr:uid="{00000000-0005-0000-0000-00000B2F0000}"/>
    <cellStyle name="Comma 2 4 13 3 6" xfId="12047" xr:uid="{00000000-0005-0000-0000-00000C2F0000}"/>
    <cellStyle name="Comma 2 4 13 4" xfId="12048" xr:uid="{00000000-0005-0000-0000-00000D2F0000}"/>
    <cellStyle name="Comma 2 4 13 4 2" xfId="12049" xr:uid="{00000000-0005-0000-0000-00000E2F0000}"/>
    <cellStyle name="Comma 2 4 13 4 2 2" xfId="12050" xr:uid="{00000000-0005-0000-0000-00000F2F0000}"/>
    <cellStyle name="Comma 2 4 13 4 3" xfId="12051" xr:uid="{00000000-0005-0000-0000-0000102F0000}"/>
    <cellStyle name="Comma 2 4 13 4 4" xfId="12052" xr:uid="{00000000-0005-0000-0000-0000112F0000}"/>
    <cellStyle name="Comma 2 4 13 4 5" xfId="12053" xr:uid="{00000000-0005-0000-0000-0000122F0000}"/>
    <cellStyle name="Comma 2 4 13 5" xfId="12054" xr:uid="{00000000-0005-0000-0000-0000132F0000}"/>
    <cellStyle name="Comma 2 4 13 5 2" xfId="12055" xr:uid="{00000000-0005-0000-0000-0000142F0000}"/>
    <cellStyle name="Comma 2 4 13 5 3" xfId="12056" xr:uid="{00000000-0005-0000-0000-0000152F0000}"/>
    <cellStyle name="Comma 2 4 13 5 4" xfId="12057" xr:uid="{00000000-0005-0000-0000-0000162F0000}"/>
    <cellStyle name="Comma 2 4 13 6" xfId="12058" xr:uid="{00000000-0005-0000-0000-0000172F0000}"/>
    <cellStyle name="Comma 2 4 13 6 2" xfId="12059" xr:uid="{00000000-0005-0000-0000-0000182F0000}"/>
    <cellStyle name="Comma 2 4 13 7" xfId="12060" xr:uid="{00000000-0005-0000-0000-0000192F0000}"/>
    <cellStyle name="Comma 2 4 13 8" xfId="12061" xr:uid="{00000000-0005-0000-0000-00001A2F0000}"/>
    <cellStyle name="Comma 2 4 13 9" xfId="12062" xr:uid="{00000000-0005-0000-0000-00001B2F0000}"/>
    <cellStyle name="Comma 2 4 14" xfId="12063" xr:uid="{00000000-0005-0000-0000-00001C2F0000}"/>
    <cellStyle name="Comma 2 4 14 10" xfId="12064" xr:uid="{00000000-0005-0000-0000-00001D2F0000}"/>
    <cellStyle name="Comma 2 4 14 2" xfId="12065" xr:uid="{00000000-0005-0000-0000-00001E2F0000}"/>
    <cellStyle name="Comma 2 4 14 2 2" xfId="12066" xr:uid="{00000000-0005-0000-0000-00001F2F0000}"/>
    <cellStyle name="Comma 2 4 14 2 2 2" xfId="12067" xr:uid="{00000000-0005-0000-0000-0000202F0000}"/>
    <cellStyle name="Comma 2 4 14 2 2 3" xfId="12068" xr:uid="{00000000-0005-0000-0000-0000212F0000}"/>
    <cellStyle name="Comma 2 4 14 2 3" xfId="12069" xr:uid="{00000000-0005-0000-0000-0000222F0000}"/>
    <cellStyle name="Comma 2 4 14 2 4" xfId="12070" xr:uid="{00000000-0005-0000-0000-0000232F0000}"/>
    <cellStyle name="Comma 2 4 14 2 5" xfId="12071" xr:uid="{00000000-0005-0000-0000-0000242F0000}"/>
    <cellStyle name="Comma 2 4 14 2 6" xfId="12072" xr:uid="{00000000-0005-0000-0000-0000252F0000}"/>
    <cellStyle name="Comma 2 4 14 3" xfId="12073" xr:uid="{00000000-0005-0000-0000-0000262F0000}"/>
    <cellStyle name="Comma 2 4 14 3 2" xfId="12074" xr:uid="{00000000-0005-0000-0000-0000272F0000}"/>
    <cellStyle name="Comma 2 4 14 3 2 2" xfId="12075" xr:uid="{00000000-0005-0000-0000-0000282F0000}"/>
    <cellStyle name="Comma 2 4 14 3 2 3" xfId="12076" xr:uid="{00000000-0005-0000-0000-0000292F0000}"/>
    <cellStyle name="Comma 2 4 14 3 3" xfId="12077" xr:uid="{00000000-0005-0000-0000-00002A2F0000}"/>
    <cellStyle name="Comma 2 4 14 3 4" xfId="12078" xr:uid="{00000000-0005-0000-0000-00002B2F0000}"/>
    <cellStyle name="Comma 2 4 14 3 5" xfId="12079" xr:uid="{00000000-0005-0000-0000-00002C2F0000}"/>
    <cellStyle name="Comma 2 4 14 3 6" xfId="12080" xr:uid="{00000000-0005-0000-0000-00002D2F0000}"/>
    <cellStyle name="Comma 2 4 14 4" xfId="12081" xr:uid="{00000000-0005-0000-0000-00002E2F0000}"/>
    <cellStyle name="Comma 2 4 14 4 2" xfId="12082" xr:uid="{00000000-0005-0000-0000-00002F2F0000}"/>
    <cellStyle name="Comma 2 4 14 4 2 2" xfId="12083" xr:uid="{00000000-0005-0000-0000-0000302F0000}"/>
    <cellStyle name="Comma 2 4 14 4 3" xfId="12084" xr:uid="{00000000-0005-0000-0000-0000312F0000}"/>
    <cellStyle name="Comma 2 4 14 4 4" xfId="12085" xr:uid="{00000000-0005-0000-0000-0000322F0000}"/>
    <cellStyle name="Comma 2 4 14 4 5" xfId="12086" xr:uid="{00000000-0005-0000-0000-0000332F0000}"/>
    <cellStyle name="Comma 2 4 14 5" xfId="12087" xr:uid="{00000000-0005-0000-0000-0000342F0000}"/>
    <cellStyle name="Comma 2 4 14 5 2" xfId="12088" xr:uid="{00000000-0005-0000-0000-0000352F0000}"/>
    <cellStyle name="Comma 2 4 14 5 3" xfId="12089" xr:uid="{00000000-0005-0000-0000-0000362F0000}"/>
    <cellStyle name="Comma 2 4 14 5 4" xfId="12090" xr:uid="{00000000-0005-0000-0000-0000372F0000}"/>
    <cellStyle name="Comma 2 4 14 6" xfId="12091" xr:uid="{00000000-0005-0000-0000-0000382F0000}"/>
    <cellStyle name="Comma 2 4 14 6 2" xfId="12092" xr:uid="{00000000-0005-0000-0000-0000392F0000}"/>
    <cellStyle name="Comma 2 4 14 7" xfId="12093" xr:uid="{00000000-0005-0000-0000-00003A2F0000}"/>
    <cellStyle name="Comma 2 4 14 8" xfId="12094" xr:uid="{00000000-0005-0000-0000-00003B2F0000}"/>
    <cellStyle name="Comma 2 4 14 9" xfId="12095" xr:uid="{00000000-0005-0000-0000-00003C2F0000}"/>
    <cellStyle name="Comma 2 4 15" xfId="12096" xr:uid="{00000000-0005-0000-0000-00003D2F0000}"/>
    <cellStyle name="Comma 2 4 15 10" xfId="12097" xr:uid="{00000000-0005-0000-0000-00003E2F0000}"/>
    <cellStyle name="Comma 2 4 15 2" xfId="12098" xr:uid="{00000000-0005-0000-0000-00003F2F0000}"/>
    <cellStyle name="Comma 2 4 15 2 2" xfId="12099" xr:uid="{00000000-0005-0000-0000-0000402F0000}"/>
    <cellStyle name="Comma 2 4 15 2 2 2" xfId="12100" xr:uid="{00000000-0005-0000-0000-0000412F0000}"/>
    <cellStyle name="Comma 2 4 15 2 2 3" xfId="12101" xr:uid="{00000000-0005-0000-0000-0000422F0000}"/>
    <cellStyle name="Comma 2 4 15 2 3" xfId="12102" xr:uid="{00000000-0005-0000-0000-0000432F0000}"/>
    <cellStyle name="Comma 2 4 15 2 4" xfId="12103" xr:uid="{00000000-0005-0000-0000-0000442F0000}"/>
    <cellStyle name="Comma 2 4 15 2 5" xfId="12104" xr:uid="{00000000-0005-0000-0000-0000452F0000}"/>
    <cellStyle name="Comma 2 4 15 2 6" xfId="12105" xr:uid="{00000000-0005-0000-0000-0000462F0000}"/>
    <cellStyle name="Comma 2 4 15 3" xfId="12106" xr:uid="{00000000-0005-0000-0000-0000472F0000}"/>
    <cellStyle name="Comma 2 4 15 3 2" xfId="12107" xr:uid="{00000000-0005-0000-0000-0000482F0000}"/>
    <cellStyle name="Comma 2 4 15 3 2 2" xfId="12108" xr:uid="{00000000-0005-0000-0000-0000492F0000}"/>
    <cellStyle name="Comma 2 4 15 3 2 3" xfId="12109" xr:uid="{00000000-0005-0000-0000-00004A2F0000}"/>
    <cellStyle name="Comma 2 4 15 3 3" xfId="12110" xr:uid="{00000000-0005-0000-0000-00004B2F0000}"/>
    <cellStyle name="Comma 2 4 15 3 4" xfId="12111" xr:uid="{00000000-0005-0000-0000-00004C2F0000}"/>
    <cellStyle name="Comma 2 4 15 3 5" xfId="12112" xr:uid="{00000000-0005-0000-0000-00004D2F0000}"/>
    <cellStyle name="Comma 2 4 15 3 6" xfId="12113" xr:uid="{00000000-0005-0000-0000-00004E2F0000}"/>
    <cellStyle name="Comma 2 4 15 4" xfId="12114" xr:uid="{00000000-0005-0000-0000-00004F2F0000}"/>
    <cellStyle name="Comma 2 4 15 4 2" xfId="12115" xr:uid="{00000000-0005-0000-0000-0000502F0000}"/>
    <cellStyle name="Comma 2 4 15 4 2 2" xfId="12116" xr:uid="{00000000-0005-0000-0000-0000512F0000}"/>
    <cellStyle name="Comma 2 4 15 4 3" xfId="12117" xr:uid="{00000000-0005-0000-0000-0000522F0000}"/>
    <cellStyle name="Comma 2 4 15 4 4" xfId="12118" xr:uid="{00000000-0005-0000-0000-0000532F0000}"/>
    <cellStyle name="Comma 2 4 15 4 5" xfId="12119" xr:uid="{00000000-0005-0000-0000-0000542F0000}"/>
    <cellStyle name="Comma 2 4 15 5" xfId="12120" xr:uid="{00000000-0005-0000-0000-0000552F0000}"/>
    <cellStyle name="Comma 2 4 15 5 2" xfId="12121" xr:uid="{00000000-0005-0000-0000-0000562F0000}"/>
    <cellStyle name="Comma 2 4 15 5 3" xfId="12122" xr:uid="{00000000-0005-0000-0000-0000572F0000}"/>
    <cellStyle name="Comma 2 4 15 5 4" xfId="12123" xr:uid="{00000000-0005-0000-0000-0000582F0000}"/>
    <cellStyle name="Comma 2 4 15 6" xfId="12124" xr:uid="{00000000-0005-0000-0000-0000592F0000}"/>
    <cellStyle name="Comma 2 4 15 6 2" xfId="12125" xr:uid="{00000000-0005-0000-0000-00005A2F0000}"/>
    <cellStyle name="Comma 2 4 15 7" xfId="12126" xr:uid="{00000000-0005-0000-0000-00005B2F0000}"/>
    <cellStyle name="Comma 2 4 15 8" xfId="12127" xr:uid="{00000000-0005-0000-0000-00005C2F0000}"/>
    <cellStyle name="Comma 2 4 15 9" xfId="12128" xr:uid="{00000000-0005-0000-0000-00005D2F0000}"/>
    <cellStyle name="Comma 2 4 16" xfId="12129" xr:uid="{00000000-0005-0000-0000-00005E2F0000}"/>
    <cellStyle name="Comma 2 4 16 10" xfId="12130" xr:uid="{00000000-0005-0000-0000-00005F2F0000}"/>
    <cellStyle name="Comma 2 4 16 2" xfId="12131" xr:uid="{00000000-0005-0000-0000-0000602F0000}"/>
    <cellStyle name="Comma 2 4 16 2 2" xfId="12132" xr:uid="{00000000-0005-0000-0000-0000612F0000}"/>
    <cellStyle name="Comma 2 4 16 2 2 2" xfId="12133" xr:uid="{00000000-0005-0000-0000-0000622F0000}"/>
    <cellStyle name="Comma 2 4 16 2 2 3" xfId="12134" xr:uid="{00000000-0005-0000-0000-0000632F0000}"/>
    <cellStyle name="Comma 2 4 16 2 3" xfId="12135" xr:uid="{00000000-0005-0000-0000-0000642F0000}"/>
    <cellStyle name="Comma 2 4 16 2 4" xfId="12136" xr:uid="{00000000-0005-0000-0000-0000652F0000}"/>
    <cellStyle name="Comma 2 4 16 2 5" xfId="12137" xr:uid="{00000000-0005-0000-0000-0000662F0000}"/>
    <cellStyle name="Comma 2 4 16 2 6" xfId="12138" xr:uid="{00000000-0005-0000-0000-0000672F0000}"/>
    <cellStyle name="Comma 2 4 16 3" xfId="12139" xr:uid="{00000000-0005-0000-0000-0000682F0000}"/>
    <cellStyle name="Comma 2 4 16 3 2" xfId="12140" xr:uid="{00000000-0005-0000-0000-0000692F0000}"/>
    <cellStyle name="Comma 2 4 16 3 2 2" xfId="12141" xr:uid="{00000000-0005-0000-0000-00006A2F0000}"/>
    <cellStyle name="Comma 2 4 16 3 2 3" xfId="12142" xr:uid="{00000000-0005-0000-0000-00006B2F0000}"/>
    <cellStyle name="Comma 2 4 16 3 3" xfId="12143" xr:uid="{00000000-0005-0000-0000-00006C2F0000}"/>
    <cellStyle name="Comma 2 4 16 3 4" xfId="12144" xr:uid="{00000000-0005-0000-0000-00006D2F0000}"/>
    <cellStyle name="Comma 2 4 16 3 5" xfId="12145" xr:uid="{00000000-0005-0000-0000-00006E2F0000}"/>
    <cellStyle name="Comma 2 4 16 3 6" xfId="12146" xr:uid="{00000000-0005-0000-0000-00006F2F0000}"/>
    <cellStyle name="Comma 2 4 16 4" xfId="12147" xr:uid="{00000000-0005-0000-0000-0000702F0000}"/>
    <cellStyle name="Comma 2 4 16 4 2" xfId="12148" xr:uid="{00000000-0005-0000-0000-0000712F0000}"/>
    <cellStyle name="Comma 2 4 16 4 2 2" xfId="12149" xr:uid="{00000000-0005-0000-0000-0000722F0000}"/>
    <cellStyle name="Comma 2 4 16 4 3" xfId="12150" xr:uid="{00000000-0005-0000-0000-0000732F0000}"/>
    <cellStyle name="Comma 2 4 16 4 4" xfId="12151" xr:uid="{00000000-0005-0000-0000-0000742F0000}"/>
    <cellStyle name="Comma 2 4 16 4 5" xfId="12152" xr:uid="{00000000-0005-0000-0000-0000752F0000}"/>
    <cellStyle name="Comma 2 4 16 5" xfId="12153" xr:uid="{00000000-0005-0000-0000-0000762F0000}"/>
    <cellStyle name="Comma 2 4 16 5 2" xfId="12154" xr:uid="{00000000-0005-0000-0000-0000772F0000}"/>
    <cellStyle name="Comma 2 4 16 5 3" xfId="12155" xr:uid="{00000000-0005-0000-0000-0000782F0000}"/>
    <cellStyle name="Comma 2 4 16 5 4" xfId="12156" xr:uid="{00000000-0005-0000-0000-0000792F0000}"/>
    <cellStyle name="Comma 2 4 16 6" xfId="12157" xr:uid="{00000000-0005-0000-0000-00007A2F0000}"/>
    <cellStyle name="Comma 2 4 16 6 2" xfId="12158" xr:uid="{00000000-0005-0000-0000-00007B2F0000}"/>
    <cellStyle name="Comma 2 4 16 7" xfId="12159" xr:uid="{00000000-0005-0000-0000-00007C2F0000}"/>
    <cellStyle name="Comma 2 4 16 8" xfId="12160" xr:uid="{00000000-0005-0000-0000-00007D2F0000}"/>
    <cellStyle name="Comma 2 4 16 9" xfId="12161" xr:uid="{00000000-0005-0000-0000-00007E2F0000}"/>
    <cellStyle name="Comma 2 4 17" xfId="12162" xr:uid="{00000000-0005-0000-0000-00007F2F0000}"/>
    <cellStyle name="Comma 2 4 17 10" xfId="12163" xr:uid="{00000000-0005-0000-0000-0000802F0000}"/>
    <cellStyle name="Comma 2 4 17 2" xfId="12164" xr:uid="{00000000-0005-0000-0000-0000812F0000}"/>
    <cellStyle name="Comma 2 4 17 2 2" xfId="12165" xr:uid="{00000000-0005-0000-0000-0000822F0000}"/>
    <cellStyle name="Comma 2 4 17 2 2 2" xfId="12166" xr:uid="{00000000-0005-0000-0000-0000832F0000}"/>
    <cellStyle name="Comma 2 4 17 2 2 3" xfId="12167" xr:uid="{00000000-0005-0000-0000-0000842F0000}"/>
    <cellStyle name="Comma 2 4 17 2 3" xfId="12168" xr:uid="{00000000-0005-0000-0000-0000852F0000}"/>
    <cellStyle name="Comma 2 4 17 2 4" xfId="12169" xr:uid="{00000000-0005-0000-0000-0000862F0000}"/>
    <cellStyle name="Comma 2 4 17 2 5" xfId="12170" xr:uid="{00000000-0005-0000-0000-0000872F0000}"/>
    <cellStyle name="Comma 2 4 17 2 6" xfId="12171" xr:uid="{00000000-0005-0000-0000-0000882F0000}"/>
    <cellStyle name="Comma 2 4 17 3" xfId="12172" xr:uid="{00000000-0005-0000-0000-0000892F0000}"/>
    <cellStyle name="Comma 2 4 17 3 2" xfId="12173" xr:uid="{00000000-0005-0000-0000-00008A2F0000}"/>
    <cellStyle name="Comma 2 4 17 3 2 2" xfId="12174" xr:uid="{00000000-0005-0000-0000-00008B2F0000}"/>
    <cellStyle name="Comma 2 4 17 3 2 3" xfId="12175" xr:uid="{00000000-0005-0000-0000-00008C2F0000}"/>
    <cellStyle name="Comma 2 4 17 3 3" xfId="12176" xr:uid="{00000000-0005-0000-0000-00008D2F0000}"/>
    <cellStyle name="Comma 2 4 17 3 4" xfId="12177" xr:uid="{00000000-0005-0000-0000-00008E2F0000}"/>
    <cellStyle name="Comma 2 4 17 3 5" xfId="12178" xr:uid="{00000000-0005-0000-0000-00008F2F0000}"/>
    <cellStyle name="Comma 2 4 17 3 6" xfId="12179" xr:uid="{00000000-0005-0000-0000-0000902F0000}"/>
    <cellStyle name="Comma 2 4 17 4" xfId="12180" xr:uid="{00000000-0005-0000-0000-0000912F0000}"/>
    <cellStyle name="Comma 2 4 17 4 2" xfId="12181" xr:uid="{00000000-0005-0000-0000-0000922F0000}"/>
    <cellStyle name="Comma 2 4 17 4 2 2" xfId="12182" xr:uid="{00000000-0005-0000-0000-0000932F0000}"/>
    <cellStyle name="Comma 2 4 17 4 3" xfId="12183" xr:uid="{00000000-0005-0000-0000-0000942F0000}"/>
    <cellStyle name="Comma 2 4 17 4 4" xfId="12184" xr:uid="{00000000-0005-0000-0000-0000952F0000}"/>
    <cellStyle name="Comma 2 4 17 4 5" xfId="12185" xr:uid="{00000000-0005-0000-0000-0000962F0000}"/>
    <cellStyle name="Comma 2 4 17 5" xfId="12186" xr:uid="{00000000-0005-0000-0000-0000972F0000}"/>
    <cellStyle name="Comma 2 4 17 5 2" xfId="12187" xr:uid="{00000000-0005-0000-0000-0000982F0000}"/>
    <cellStyle name="Comma 2 4 17 5 3" xfId="12188" xr:uid="{00000000-0005-0000-0000-0000992F0000}"/>
    <cellStyle name="Comma 2 4 17 5 4" xfId="12189" xr:uid="{00000000-0005-0000-0000-00009A2F0000}"/>
    <cellStyle name="Comma 2 4 17 6" xfId="12190" xr:uid="{00000000-0005-0000-0000-00009B2F0000}"/>
    <cellStyle name="Comma 2 4 17 6 2" xfId="12191" xr:uid="{00000000-0005-0000-0000-00009C2F0000}"/>
    <cellStyle name="Comma 2 4 17 7" xfId="12192" xr:uid="{00000000-0005-0000-0000-00009D2F0000}"/>
    <cellStyle name="Comma 2 4 17 8" xfId="12193" xr:uid="{00000000-0005-0000-0000-00009E2F0000}"/>
    <cellStyle name="Comma 2 4 17 9" xfId="12194" xr:uid="{00000000-0005-0000-0000-00009F2F0000}"/>
    <cellStyle name="Comma 2 4 18" xfId="12195" xr:uid="{00000000-0005-0000-0000-0000A02F0000}"/>
    <cellStyle name="Comma 2 4 18 10" xfId="12196" xr:uid="{00000000-0005-0000-0000-0000A12F0000}"/>
    <cellStyle name="Comma 2 4 18 2" xfId="12197" xr:uid="{00000000-0005-0000-0000-0000A22F0000}"/>
    <cellStyle name="Comma 2 4 18 2 2" xfId="12198" xr:uid="{00000000-0005-0000-0000-0000A32F0000}"/>
    <cellStyle name="Comma 2 4 18 2 2 2" xfId="12199" xr:uid="{00000000-0005-0000-0000-0000A42F0000}"/>
    <cellStyle name="Comma 2 4 18 2 2 3" xfId="12200" xr:uid="{00000000-0005-0000-0000-0000A52F0000}"/>
    <cellStyle name="Comma 2 4 18 2 3" xfId="12201" xr:uid="{00000000-0005-0000-0000-0000A62F0000}"/>
    <cellStyle name="Comma 2 4 18 2 4" xfId="12202" xr:uid="{00000000-0005-0000-0000-0000A72F0000}"/>
    <cellStyle name="Comma 2 4 18 2 5" xfId="12203" xr:uid="{00000000-0005-0000-0000-0000A82F0000}"/>
    <cellStyle name="Comma 2 4 18 2 6" xfId="12204" xr:uid="{00000000-0005-0000-0000-0000A92F0000}"/>
    <cellStyle name="Comma 2 4 18 3" xfId="12205" xr:uid="{00000000-0005-0000-0000-0000AA2F0000}"/>
    <cellStyle name="Comma 2 4 18 3 2" xfId="12206" xr:uid="{00000000-0005-0000-0000-0000AB2F0000}"/>
    <cellStyle name="Comma 2 4 18 3 2 2" xfId="12207" xr:uid="{00000000-0005-0000-0000-0000AC2F0000}"/>
    <cellStyle name="Comma 2 4 18 3 2 3" xfId="12208" xr:uid="{00000000-0005-0000-0000-0000AD2F0000}"/>
    <cellStyle name="Comma 2 4 18 3 3" xfId="12209" xr:uid="{00000000-0005-0000-0000-0000AE2F0000}"/>
    <cellStyle name="Comma 2 4 18 3 4" xfId="12210" xr:uid="{00000000-0005-0000-0000-0000AF2F0000}"/>
    <cellStyle name="Comma 2 4 18 3 5" xfId="12211" xr:uid="{00000000-0005-0000-0000-0000B02F0000}"/>
    <cellStyle name="Comma 2 4 18 3 6" xfId="12212" xr:uid="{00000000-0005-0000-0000-0000B12F0000}"/>
    <cellStyle name="Comma 2 4 18 4" xfId="12213" xr:uid="{00000000-0005-0000-0000-0000B22F0000}"/>
    <cellStyle name="Comma 2 4 18 4 2" xfId="12214" xr:uid="{00000000-0005-0000-0000-0000B32F0000}"/>
    <cellStyle name="Comma 2 4 18 4 2 2" xfId="12215" xr:uid="{00000000-0005-0000-0000-0000B42F0000}"/>
    <cellStyle name="Comma 2 4 18 4 3" xfId="12216" xr:uid="{00000000-0005-0000-0000-0000B52F0000}"/>
    <cellStyle name="Comma 2 4 18 4 4" xfId="12217" xr:uid="{00000000-0005-0000-0000-0000B62F0000}"/>
    <cellStyle name="Comma 2 4 18 4 5" xfId="12218" xr:uid="{00000000-0005-0000-0000-0000B72F0000}"/>
    <cellStyle name="Comma 2 4 18 5" xfId="12219" xr:uid="{00000000-0005-0000-0000-0000B82F0000}"/>
    <cellStyle name="Comma 2 4 18 5 2" xfId="12220" xr:uid="{00000000-0005-0000-0000-0000B92F0000}"/>
    <cellStyle name="Comma 2 4 18 5 3" xfId="12221" xr:uid="{00000000-0005-0000-0000-0000BA2F0000}"/>
    <cellStyle name="Comma 2 4 18 5 4" xfId="12222" xr:uid="{00000000-0005-0000-0000-0000BB2F0000}"/>
    <cellStyle name="Comma 2 4 18 6" xfId="12223" xr:uid="{00000000-0005-0000-0000-0000BC2F0000}"/>
    <cellStyle name="Comma 2 4 18 6 2" xfId="12224" xr:uid="{00000000-0005-0000-0000-0000BD2F0000}"/>
    <cellStyle name="Comma 2 4 18 7" xfId="12225" xr:uid="{00000000-0005-0000-0000-0000BE2F0000}"/>
    <cellStyle name="Comma 2 4 18 8" xfId="12226" xr:uid="{00000000-0005-0000-0000-0000BF2F0000}"/>
    <cellStyle name="Comma 2 4 18 9" xfId="12227" xr:uid="{00000000-0005-0000-0000-0000C02F0000}"/>
    <cellStyle name="Comma 2 4 19" xfId="12228" xr:uid="{00000000-0005-0000-0000-0000C12F0000}"/>
    <cellStyle name="Comma 2 4 19 10" xfId="12229" xr:uid="{00000000-0005-0000-0000-0000C22F0000}"/>
    <cellStyle name="Comma 2 4 19 2" xfId="12230" xr:uid="{00000000-0005-0000-0000-0000C32F0000}"/>
    <cellStyle name="Comma 2 4 19 2 2" xfId="12231" xr:uid="{00000000-0005-0000-0000-0000C42F0000}"/>
    <cellStyle name="Comma 2 4 19 2 2 2" xfId="12232" xr:uid="{00000000-0005-0000-0000-0000C52F0000}"/>
    <cellStyle name="Comma 2 4 19 2 2 3" xfId="12233" xr:uid="{00000000-0005-0000-0000-0000C62F0000}"/>
    <cellStyle name="Comma 2 4 19 2 3" xfId="12234" xr:uid="{00000000-0005-0000-0000-0000C72F0000}"/>
    <cellStyle name="Comma 2 4 19 2 4" xfId="12235" xr:uid="{00000000-0005-0000-0000-0000C82F0000}"/>
    <cellStyle name="Comma 2 4 19 2 5" xfId="12236" xr:uid="{00000000-0005-0000-0000-0000C92F0000}"/>
    <cellStyle name="Comma 2 4 19 2 6" xfId="12237" xr:uid="{00000000-0005-0000-0000-0000CA2F0000}"/>
    <cellStyle name="Comma 2 4 19 3" xfId="12238" xr:uid="{00000000-0005-0000-0000-0000CB2F0000}"/>
    <cellStyle name="Comma 2 4 19 3 2" xfId="12239" xr:uid="{00000000-0005-0000-0000-0000CC2F0000}"/>
    <cellStyle name="Comma 2 4 19 3 2 2" xfId="12240" xr:uid="{00000000-0005-0000-0000-0000CD2F0000}"/>
    <cellStyle name="Comma 2 4 19 3 2 3" xfId="12241" xr:uid="{00000000-0005-0000-0000-0000CE2F0000}"/>
    <cellStyle name="Comma 2 4 19 3 3" xfId="12242" xr:uid="{00000000-0005-0000-0000-0000CF2F0000}"/>
    <cellStyle name="Comma 2 4 19 3 4" xfId="12243" xr:uid="{00000000-0005-0000-0000-0000D02F0000}"/>
    <cellStyle name="Comma 2 4 19 3 5" xfId="12244" xr:uid="{00000000-0005-0000-0000-0000D12F0000}"/>
    <cellStyle name="Comma 2 4 19 3 6" xfId="12245" xr:uid="{00000000-0005-0000-0000-0000D22F0000}"/>
    <cellStyle name="Comma 2 4 19 4" xfId="12246" xr:uid="{00000000-0005-0000-0000-0000D32F0000}"/>
    <cellStyle name="Comma 2 4 19 4 2" xfId="12247" xr:uid="{00000000-0005-0000-0000-0000D42F0000}"/>
    <cellStyle name="Comma 2 4 19 4 2 2" xfId="12248" xr:uid="{00000000-0005-0000-0000-0000D52F0000}"/>
    <cellStyle name="Comma 2 4 19 4 3" xfId="12249" xr:uid="{00000000-0005-0000-0000-0000D62F0000}"/>
    <cellStyle name="Comma 2 4 19 4 4" xfId="12250" xr:uid="{00000000-0005-0000-0000-0000D72F0000}"/>
    <cellStyle name="Comma 2 4 19 4 5" xfId="12251" xr:uid="{00000000-0005-0000-0000-0000D82F0000}"/>
    <cellStyle name="Comma 2 4 19 5" xfId="12252" xr:uid="{00000000-0005-0000-0000-0000D92F0000}"/>
    <cellStyle name="Comma 2 4 19 5 2" xfId="12253" xr:uid="{00000000-0005-0000-0000-0000DA2F0000}"/>
    <cellStyle name="Comma 2 4 19 5 3" xfId="12254" xr:uid="{00000000-0005-0000-0000-0000DB2F0000}"/>
    <cellStyle name="Comma 2 4 19 5 4" xfId="12255" xr:uid="{00000000-0005-0000-0000-0000DC2F0000}"/>
    <cellStyle name="Comma 2 4 19 6" xfId="12256" xr:uid="{00000000-0005-0000-0000-0000DD2F0000}"/>
    <cellStyle name="Comma 2 4 19 6 2" xfId="12257" xr:uid="{00000000-0005-0000-0000-0000DE2F0000}"/>
    <cellStyle name="Comma 2 4 19 7" xfId="12258" xr:uid="{00000000-0005-0000-0000-0000DF2F0000}"/>
    <cellStyle name="Comma 2 4 19 8" xfId="12259" xr:uid="{00000000-0005-0000-0000-0000E02F0000}"/>
    <cellStyle name="Comma 2 4 19 9" xfId="12260" xr:uid="{00000000-0005-0000-0000-0000E12F0000}"/>
    <cellStyle name="Comma 2 4 2" xfId="12261" xr:uid="{00000000-0005-0000-0000-0000E22F0000}"/>
    <cellStyle name="Comma 2 4 2 10" xfId="12262" xr:uid="{00000000-0005-0000-0000-0000E32F0000}"/>
    <cellStyle name="Comma 2 4 2 10 10" xfId="12263" xr:uid="{00000000-0005-0000-0000-0000E42F0000}"/>
    <cellStyle name="Comma 2 4 2 10 2" xfId="12264" xr:uid="{00000000-0005-0000-0000-0000E52F0000}"/>
    <cellStyle name="Comma 2 4 2 10 2 2" xfId="12265" xr:uid="{00000000-0005-0000-0000-0000E62F0000}"/>
    <cellStyle name="Comma 2 4 2 10 2 2 2" xfId="12266" xr:uid="{00000000-0005-0000-0000-0000E72F0000}"/>
    <cellStyle name="Comma 2 4 2 10 2 2 3" xfId="12267" xr:uid="{00000000-0005-0000-0000-0000E82F0000}"/>
    <cellStyle name="Comma 2 4 2 10 2 3" xfId="12268" xr:uid="{00000000-0005-0000-0000-0000E92F0000}"/>
    <cellStyle name="Comma 2 4 2 10 2 4" xfId="12269" xr:uid="{00000000-0005-0000-0000-0000EA2F0000}"/>
    <cellStyle name="Comma 2 4 2 10 2 5" xfId="12270" xr:uid="{00000000-0005-0000-0000-0000EB2F0000}"/>
    <cellStyle name="Comma 2 4 2 10 2 6" xfId="12271" xr:uid="{00000000-0005-0000-0000-0000EC2F0000}"/>
    <cellStyle name="Comma 2 4 2 10 3" xfId="12272" xr:uid="{00000000-0005-0000-0000-0000ED2F0000}"/>
    <cellStyle name="Comma 2 4 2 10 3 2" xfId="12273" xr:uid="{00000000-0005-0000-0000-0000EE2F0000}"/>
    <cellStyle name="Comma 2 4 2 10 3 2 2" xfId="12274" xr:uid="{00000000-0005-0000-0000-0000EF2F0000}"/>
    <cellStyle name="Comma 2 4 2 10 3 2 3" xfId="12275" xr:uid="{00000000-0005-0000-0000-0000F02F0000}"/>
    <cellStyle name="Comma 2 4 2 10 3 3" xfId="12276" xr:uid="{00000000-0005-0000-0000-0000F12F0000}"/>
    <cellStyle name="Comma 2 4 2 10 3 4" xfId="12277" xr:uid="{00000000-0005-0000-0000-0000F22F0000}"/>
    <cellStyle name="Comma 2 4 2 10 3 5" xfId="12278" xr:uid="{00000000-0005-0000-0000-0000F32F0000}"/>
    <cellStyle name="Comma 2 4 2 10 3 6" xfId="12279" xr:uid="{00000000-0005-0000-0000-0000F42F0000}"/>
    <cellStyle name="Comma 2 4 2 10 4" xfId="12280" xr:uid="{00000000-0005-0000-0000-0000F52F0000}"/>
    <cellStyle name="Comma 2 4 2 10 4 2" xfId="12281" xr:uid="{00000000-0005-0000-0000-0000F62F0000}"/>
    <cellStyle name="Comma 2 4 2 10 4 2 2" xfId="12282" xr:uid="{00000000-0005-0000-0000-0000F72F0000}"/>
    <cellStyle name="Comma 2 4 2 10 4 3" xfId="12283" xr:uid="{00000000-0005-0000-0000-0000F82F0000}"/>
    <cellStyle name="Comma 2 4 2 10 4 4" xfId="12284" xr:uid="{00000000-0005-0000-0000-0000F92F0000}"/>
    <cellStyle name="Comma 2 4 2 10 4 5" xfId="12285" xr:uid="{00000000-0005-0000-0000-0000FA2F0000}"/>
    <cellStyle name="Comma 2 4 2 10 5" xfId="12286" xr:uid="{00000000-0005-0000-0000-0000FB2F0000}"/>
    <cellStyle name="Comma 2 4 2 10 5 2" xfId="12287" xr:uid="{00000000-0005-0000-0000-0000FC2F0000}"/>
    <cellStyle name="Comma 2 4 2 10 5 3" xfId="12288" xr:uid="{00000000-0005-0000-0000-0000FD2F0000}"/>
    <cellStyle name="Comma 2 4 2 10 5 4" xfId="12289" xr:uid="{00000000-0005-0000-0000-0000FE2F0000}"/>
    <cellStyle name="Comma 2 4 2 10 6" xfId="12290" xr:uid="{00000000-0005-0000-0000-0000FF2F0000}"/>
    <cellStyle name="Comma 2 4 2 10 6 2" xfId="12291" xr:uid="{00000000-0005-0000-0000-000000300000}"/>
    <cellStyle name="Comma 2 4 2 10 7" xfId="12292" xr:uid="{00000000-0005-0000-0000-000001300000}"/>
    <cellStyle name="Comma 2 4 2 10 8" xfId="12293" xr:uid="{00000000-0005-0000-0000-000002300000}"/>
    <cellStyle name="Comma 2 4 2 10 9" xfId="12294" xr:uid="{00000000-0005-0000-0000-000003300000}"/>
    <cellStyle name="Comma 2 4 2 11" xfId="12295" xr:uid="{00000000-0005-0000-0000-000004300000}"/>
    <cellStyle name="Comma 2 4 2 11 10" xfId="12296" xr:uid="{00000000-0005-0000-0000-000005300000}"/>
    <cellStyle name="Comma 2 4 2 11 2" xfId="12297" xr:uid="{00000000-0005-0000-0000-000006300000}"/>
    <cellStyle name="Comma 2 4 2 11 2 2" xfId="12298" xr:uid="{00000000-0005-0000-0000-000007300000}"/>
    <cellStyle name="Comma 2 4 2 11 2 2 2" xfId="12299" xr:uid="{00000000-0005-0000-0000-000008300000}"/>
    <cellStyle name="Comma 2 4 2 11 2 2 3" xfId="12300" xr:uid="{00000000-0005-0000-0000-000009300000}"/>
    <cellStyle name="Comma 2 4 2 11 2 3" xfId="12301" xr:uid="{00000000-0005-0000-0000-00000A300000}"/>
    <cellStyle name="Comma 2 4 2 11 2 4" xfId="12302" xr:uid="{00000000-0005-0000-0000-00000B300000}"/>
    <cellStyle name="Comma 2 4 2 11 2 5" xfId="12303" xr:uid="{00000000-0005-0000-0000-00000C300000}"/>
    <cellStyle name="Comma 2 4 2 11 2 6" xfId="12304" xr:uid="{00000000-0005-0000-0000-00000D300000}"/>
    <cellStyle name="Comma 2 4 2 11 3" xfId="12305" xr:uid="{00000000-0005-0000-0000-00000E300000}"/>
    <cellStyle name="Comma 2 4 2 11 3 2" xfId="12306" xr:uid="{00000000-0005-0000-0000-00000F300000}"/>
    <cellStyle name="Comma 2 4 2 11 3 2 2" xfId="12307" xr:uid="{00000000-0005-0000-0000-000010300000}"/>
    <cellStyle name="Comma 2 4 2 11 3 2 3" xfId="12308" xr:uid="{00000000-0005-0000-0000-000011300000}"/>
    <cellStyle name="Comma 2 4 2 11 3 3" xfId="12309" xr:uid="{00000000-0005-0000-0000-000012300000}"/>
    <cellStyle name="Comma 2 4 2 11 3 4" xfId="12310" xr:uid="{00000000-0005-0000-0000-000013300000}"/>
    <cellStyle name="Comma 2 4 2 11 3 5" xfId="12311" xr:uid="{00000000-0005-0000-0000-000014300000}"/>
    <cellStyle name="Comma 2 4 2 11 3 6" xfId="12312" xr:uid="{00000000-0005-0000-0000-000015300000}"/>
    <cellStyle name="Comma 2 4 2 11 4" xfId="12313" xr:uid="{00000000-0005-0000-0000-000016300000}"/>
    <cellStyle name="Comma 2 4 2 11 4 2" xfId="12314" xr:uid="{00000000-0005-0000-0000-000017300000}"/>
    <cellStyle name="Comma 2 4 2 11 4 2 2" xfId="12315" xr:uid="{00000000-0005-0000-0000-000018300000}"/>
    <cellStyle name="Comma 2 4 2 11 4 3" xfId="12316" xr:uid="{00000000-0005-0000-0000-000019300000}"/>
    <cellStyle name="Comma 2 4 2 11 4 4" xfId="12317" xr:uid="{00000000-0005-0000-0000-00001A300000}"/>
    <cellStyle name="Comma 2 4 2 11 4 5" xfId="12318" xr:uid="{00000000-0005-0000-0000-00001B300000}"/>
    <cellStyle name="Comma 2 4 2 11 5" xfId="12319" xr:uid="{00000000-0005-0000-0000-00001C300000}"/>
    <cellStyle name="Comma 2 4 2 11 5 2" xfId="12320" xr:uid="{00000000-0005-0000-0000-00001D300000}"/>
    <cellStyle name="Comma 2 4 2 11 5 3" xfId="12321" xr:uid="{00000000-0005-0000-0000-00001E300000}"/>
    <cellStyle name="Comma 2 4 2 11 5 4" xfId="12322" xr:uid="{00000000-0005-0000-0000-00001F300000}"/>
    <cellStyle name="Comma 2 4 2 11 6" xfId="12323" xr:uid="{00000000-0005-0000-0000-000020300000}"/>
    <cellStyle name="Comma 2 4 2 11 6 2" xfId="12324" xr:uid="{00000000-0005-0000-0000-000021300000}"/>
    <cellStyle name="Comma 2 4 2 11 7" xfId="12325" xr:uid="{00000000-0005-0000-0000-000022300000}"/>
    <cellStyle name="Comma 2 4 2 11 8" xfId="12326" xr:uid="{00000000-0005-0000-0000-000023300000}"/>
    <cellStyle name="Comma 2 4 2 11 9" xfId="12327" xr:uid="{00000000-0005-0000-0000-000024300000}"/>
    <cellStyle name="Comma 2 4 2 12" xfId="12328" xr:uid="{00000000-0005-0000-0000-000025300000}"/>
    <cellStyle name="Comma 2 4 2 12 10" xfId="12329" xr:uid="{00000000-0005-0000-0000-000026300000}"/>
    <cellStyle name="Comma 2 4 2 12 2" xfId="12330" xr:uid="{00000000-0005-0000-0000-000027300000}"/>
    <cellStyle name="Comma 2 4 2 12 2 2" xfId="12331" xr:uid="{00000000-0005-0000-0000-000028300000}"/>
    <cellStyle name="Comma 2 4 2 12 2 2 2" xfId="12332" xr:uid="{00000000-0005-0000-0000-000029300000}"/>
    <cellStyle name="Comma 2 4 2 12 2 2 3" xfId="12333" xr:uid="{00000000-0005-0000-0000-00002A300000}"/>
    <cellStyle name="Comma 2 4 2 12 2 3" xfId="12334" xr:uid="{00000000-0005-0000-0000-00002B300000}"/>
    <cellStyle name="Comma 2 4 2 12 2 4" xfId="12335" xr:uid="{00000000-0005-0000-0000-00002C300000}"/>
    <cellStyle name="Comma 2 4 2 12 2 5" xfId="12336" xr:uid="{00000000-0005-0000-0000-00002D300000}"/>
    <cellStyle name="Comma 2 4 2 12 2 6" xfId="12337" xr:uid="{00000000-0005-0000-0000-00002E300000}"/>
    <cellStyle name="Comma 2 4 2 12 3" xfId="12338" xr:uid="{00000000-0005-0000-0000-00002F300000}"/>
    <cellStyle name="Comma 2 4 2 12 3 2" xfId="12339" xr:uid="{00000000-0005-0000-0000-000030300000}"/>
    <cellStyle name="Comma 2 4 2 12 3 2 2" xfId="12340" xr:uid="{00000000-0005-0000-0000-000031300000}"/>
    <cellStyle name="Comma 2 4 2 12 3 2 3" xfId="12341" xr:uid="{00000000-0005-0000-0000-000032300000}"/>
    <cellStyle name="Comma 2 4 2 12 3 3" xfId="12342" xr:uid="{00000000-0005-0000-0000-000033300000}"/>
    <cellStyle name="Comma 2 4 2 12 3 4" xfId="12343" xr:uid="{00000000-0005-0000-0000-000034300000}"/>
    <cellStyle name="Comma 2 4 2 12 3 5" xfId="12344" xr:uid="{00000000-0005-0000-0000-000035300000}"/>
    <cellStyle name="Comma 2 4 2 12 3 6" xfId="12345" xr:uid="{00000000-0005-0000-0000-000036300000}"/>
    <cellStyle name="Comma 2 4 2 12 4" xfId="12346" xr:uid="{00000000-0005-0000-0000-000037300000}"/>
    <cellStyle name="Comma 2 4 2 12 4 2" xfId="12347" xr:uid="{00000000-0005-0000-0000-000038300000}"/>
    <cellStyle name="Comma 2 4 2 12 4 2 2" xfId="12348" xr:uid="{00000000-0005-0000-0000-000039300000}"/>
    <cellStyle name="Comma 2 4 2 12 4 3" xfId="12349" xr:uid="{00000000-0005-0000-0000-00003A300000}"/>
    <cellStyle name="Comma 2 4 2 12 4 4" xfId="12350" xr:uid="{00000000-0005-0000-0000-00003B300000}"/>
    <cellStyle name="Comma 2 4 2 12 4 5" xfId="12351" xr:uid="{00000000-0005-0000-0000-00003C300000}"/>
    <cellStyle name="Comma 2 4 2 12 5" xfId="12352" xr:uid="{00000000-0005-0000-0000-00003D300000}"/>
    <cellStyle name="Comma 2 4 2 12 5 2" xfId="12353" xr:uid="{00000000-0005-0000-0000-00003E300000}"/>
    <cellStyle name="Comma 2 4 2 12 5 3" xfId="12354" xr:uid="{00000000-0005-0000-0000-00003F300000}"/>
    <cellStyle name="Comma 2 4 2 12 5 4" xfId="12355" xr:uid="{00000000-0005-0000-0000-000040300000}"/>
    <cellStyle name="Comma 2 4 2 12 6" xfId="12356" xr:uid="{00000000-0005-0000-0000-000041300000}"/>
    <cellStyle name="Comma 2 4 2 12 6 2" xfId="12357" xr:uid="{00000000-0005-0000-0000-000042300000}"/>
    <cellStyle name="Comma 2 4 2 12 7" xfId="12358" xr:uid="{00000000-0005-0000-0000-000043300000}"/>
    <cellStyle name="Comma 2 4 2 12 8" xfId="12359" xr:uid="{00000000-0005-0000-0000-000044300000}"/>
    <cellStyle name="Comma 2 4 2 12 9" xfId="12360" xr:uid="{00000000-0005-0000-0000-000045300000}"/>
    <cellStyle name="Comma 2 4 2 13" xfId="12361" xr:uid="{00000000-0005-0000-0000-000046300000}"/>
    <cellStyle name="Comma 2 4 2 13 2" xfId="12362" xr:uid="{00000000-0005-0000-0000-000047300000}"/>
    <cellStyle name="Comma 2 4 2 13 2 2" xfId="12363" xr:uid="{00000000-0005-0000-0000-000048300000}"/>
    <cellStyle name="Comma 2 4 2 13 2 2 2" xfId="12364" xr:uid="{00000000-0005-0000-0000-000049300000}"/>
    <cellStyle name="Comma 2 4 2 13 2 2 3" xfId="12365" xr:uid="{00000000-0005-0000-0000-00004A300000}"/>
    <cellStyle name="Comma 2 4 2 13 2 3" xfId="12366" xr:uid="{00000000-0005-0000-0000-00004B300000}"/>
    <cellStyle name="Comma 2 4 2 13 2 4" xfId="12367" xr:uid="{00000000-0005-0000-0000-00004C300000}"/>
    <cellStyle name="Comma 2 4 2 13 2 5" xfId="12368" xr:uid="{00000000-0005-0000-0000-00004D300000}"/>
    <cellStyle name="Comma 2 4 2 13 2 6" xfId="12369" xr:uid="{00000000-0005-0000-0000-00004E300000}"/>
    <cellStyle name="Comma 2 4 2 13 3" xfId="12370" xr:uid="{00000000-0005-0000-0000-00004F300000}"/>
    <cellStyle name="Comma 2 4 2 13 3 2" xfId="12371" xr:uid="{00000000-0005-0000-0000-000050300000}"/>
    <cellStyle name="Comma 2 4 2 13 3 2 2" xfId="12372" xr:uid="{00000000-0005-0000-0000-000051300000}"/>
    <cellStyle name="Comma 2 4 2 13 3 3" xfId="12373" xr:uid="{00000000-0005-0000-0000-000052300000}"/>
    <cellStyle name="Comma 2 4 2 13 3 4" xfId="12374" xr:uid="{00000000-0005-0000-0000-000053300000}"/>
    <cellStyle name="Comma 2 4 2 13 3 5" xfId="12375" xr:uid="{00000000-0005-0000-0000-000054300000}"/>
    <cellStyle name="Comma 2 4 2 13 4" xfId="12376" xr:uid="{00000000-0005-0000-0000-000055300000}"/>
    <cellStyle name="Comma 2 4 2 13 4 2" xfId="12377" xr:uid="{00000000-0005-0000-0000-000056300000}"/>
    <cellStyle name="Comma 2 4 2 13 4 3" xfId="12378" xr:uid="{00000000-0005-0000-0000-000057300000}"/>
    <cellStyle name="Comma 2 4 2 13 4 4" xfId="12379" xr:uid="{00000000-0005-0000-0000-000058300000}"/>
    <cellStyle name="Comma 2 4 2 13 5" xfId="12380" xr:uid="{00000000-0005-0000-0000-000059300000}"/>
    <cellStyle name="Comma 2 4 2 13 5 2" xfId="12381" xr:uid="{00000000-0005-0000-0000-00005A300000}"/>
    <cellStyle name="Comma 2 4 2 13 6" xfId="12382" xr:uid="{00000000-0005-0000-0000-00005B300000}"/>
    <cellStyle name="Comma 2 4 2 13 7" xfId="12383" xr:uid="{00000000-0005-0000-0000-00005C300000}"/>
    <cellStyle name="Comma 2 4 2 13 8" xfId="12384" xr:uid="{00000000-0005-0000-0000-00005D300000}"/>
    <cellStyle name="Comma 2 4 2 13 9" xfId="12385" xr:uid="{00000000-0005-0000-0000-00005E300000}"/>
    <cellStyle name="Comma 2 4 2 14" xfId="12386" xr:uid="{00000000-0005-0000-0000-00005F300000}"/>
    <cellStyle name="Comma 2 4 2 14 2" xfId="12387" xr:uid="{00000000-0005-0000-0000-000060300000}"/>
    <cellStyle name="Comma 2 4 2 14 2 2" xfId="12388" xr:uid="{00000000-0005-0000-0000-000061300000}"/>
    <cellStyle name="Comma 2 4 2 14 2 2 2" xfId="12389" xr:uid="{00000000-0005-0000-0000-000062300000}"/>
    <cellStyle name="Comma 2 4 2 14 2 2 3" xfId="12390" xr:uid="{00000000-0005-0000-0000-000063300000}"/>
    <cellStyle name="Comma 2 4 2 14 2 3" xfId="12391" xr:uid="{00000000-0005-0000-0000-000064300000}"/>
    <cellStyle name="Comma 2 4 2 14 2 4" xfId="12392" xr:uid="{00000000-0005-0000-0000-000065300000}"/>
    <cellStyle name="Comma 2 4 2 14 2 5" xfId="12393" xr:uid="{00000000-0005-0000-0000-000066300000}"/>
    <cellStyle name="Comma 2 4 2 14 2 6" xfId="12394" xr:uid="{00000000-0005-0000-0000-000067300000}"/>
    <cellStyle name="Comma 2 4 2 14 3" xfId="12395" xr:uid="{00000000-0005-0000-0000-000068300000}"/>
    <cellStyle name="Comma 2 4 2 14 3 2" xfId="12396" xr:uid="{00000000-0005-0000-0000-000069300000}"/>
    <cellStyle name="Comma 2 4 2 14 3 2 2" xfId="12397" xr:uid="{00000000-0005-0000-0000-00006A300000}"/>
    <cellStyle name="Comma 2 4 2 14 3 3" xfId="12398" xr:uid="{00000000-0005-0000-0000-00006B300000}"/>
    <cellStyle name="Comma 2 4 2 14 3 4" xfId="12399" xr:uid="{00000000-0005-0000-0000-00006C300000}"/>
    <cellStyle name="Comma 2 4 2 14 3 5" xfId="12400" xr:uid="{00000000-0005-0000-0000-00006D300000}"/>
    <cellStyle name="Comma 2 4 2 14 4" xfId="12401" xr:uid="{00000000-0005-0000-0000-00006E300000}"/>
    <cellStyle name="Comma 2 4 2 14 4 2" xfId="12402" xr:uid="{00000000-0005-0000-0000-00006F300000}"/>
    <cellStyle name="Comma 2 4 2 14 4 3" xfId="12403" xr:uid="{00000000-0005-0000-0000-000070300000}"/>
    <cellStyle name="Comma 2 4 2 14 4 4" xfId="12404" xr:uid="{00000000-0005-0000-0000-000071300000}"/>
    <cellStyle name="Comma 2 4 2 14 5" xfId="12405" xr:uid="{00000000-0005-0000-0000-000072300000}"/>
    <cellStyle name="Comma 2 4 2 14 5 2" xfId="12406" xr:uid="{00000000-0005-0000-0000-000073300000}"/>
    <cellStyle name="Comma 2 4 2 14 6" xfId="12407" xr:uid="{00000000-0005-0000-0000-000074300000}"/>
    <cellStyle name="Comma 2 4 2 14 7" xfId="12408" xr:uid="{00000000-0005-0000-0000-000075300000}"/>
    <cellStyle name="Comma 2 4 2 14 8" xfId="12409" xr:uid="{00000000-0005-0000-0000-000076300000}"/>
    <cellStyle name="Comma 2 4 2 14 9" xfId="12410" xr:uid="{00000000-0005-0000-0000-000077300000}"/>
    <cellStyle name="Comma 2 4 2 15" xfId="12411" xr:uid="{00000000-0005-0000-0000-000078300000}"/>
    <cellStyle name="Comma 2 4 2 15 2" xfId="12412" xr:uid="{00000000-0005-0000-0000-000079300000}"/>
    <cellStyle name="Comma 2 4 2 15 2 2" xfId="12413" xr:uid="{00000000-0005-0000-0000-00007A300000}"/>
    <cellStyle name="Comma 2 4 2 15 2 3" xfId="12414" xr:uid="{00000000-0005-0000-0000-00007B300000}"/>
    <cellStyle name="Comma 2 4 2 15 3" xfId="12415" xr:uid="{00000000-0005-0000-0000-00007C300000}"/>
    <cellStyle name="Comma 2 4 2 15 4" xfId="12416" xr:uid="{00000000-0005-0000-0000-00007D300000}"/>
    <cellStyle name="Comma 2 4 2 15 5" xfId="12417" xr:uid="{00000000-0005-0000-0000-00007E300000}"/>
    <cellStyle name="Comma 2 4 2 15 6" xfId="12418" xr:uid="{00000000-0005-0000-0000-00007F300000}"/>
    <cellStyle name="Comma 2 4 2 16" xfId="12419" xr:uid="{00000000-0005-0000-0000-000080300000}"/>
    <cellStyle name="Comma 2 4 2 16 2" xfId="12420" xr:uid="{00000000-0005-0000-0000-000081300000}"/>
    <cellStyle name="Comma 2 4 2 16 2 2" xfId="12421" xr:uid="{00000000-0005-0000-0000-000082300000}"/>
    <cellStyle name="Comma 2 4 2 16 3" xfId="12422" xr:uid="{00000000-0005-0000-0000-000083300000}"/>
    <cellStyle name="Comma 2 4 2 16 4" xfId="12423" xr:uid="{00000000-0005-0000-0000-000084300000}"/>
    <cellStyle name="Comma 2 4 2 16 5" xfId="12424" xr:uid="{00000000-0005-0000-0000-000085300000}"/>
    <cellStyle name="Comma 2 4 2 17" xfId="12425" xr:uid="{00000000-0005-0000-0000-000086300000}"/>
    <cellStyle name="Comma 2 4 2 17 2" xfId="12426" xr:uid="{00000000-0005-0000-0000-000087300000}"/>
    <cellStyle name="Comma 2 4 2 17 2 2" xfId="12427" xr:uid="{00000000-0005-0000-0000-000088300000}"/>
    <cellStyle name="Comma 2 4 2 17 3" xfId="12428" xr:uid="{00000000-0005-0000-0000-000089300000}"/>
    <cellStyle name="Comma 2 4 2 17 4" xfId="12429" xr:uid="{00000000-0005-0000-0000-00008A300000}"/>
    <cellStyle name="Comma 2 4 2 17 5" xfId="12430" xr:uid="{00000000-0005-0000-0000-00008B300000}"/>
    <cellStyle name="Comma 2 4 2 18" xfId="12431" xr:uid="{00000000-0005-0000-0000-00008C300000}"/>
    <cellStyle name="Comma 2 4 2 18 2" xfId="12432" xr:uid="{00000000-0005-0000-0000-00008D300000}"/>
    <cellStyle name="Comma 2 4 2 19" xfId="12433" xr:uid="{00000000-0005-0000-0000-00008E300000}"/>
    <cellStyle name="Comma 2 4 2 2" xfId="12434" xr:uid="{00000000-0005-0000-0000-00008F300000}"/>
    <cellStyle name="Comma 2 4 2 2 10" xfId="12435" xr:uid="{00000000-0005-0000-0000-000090300000}"/>
    <cellStyle name="Comma 2 4 2 2 11" xfId="12436" xr:uid="{00000000-0005-0000-0000-000091300000}"/>
    <cellStyle name="Comma 2 4 2 2 2" xfId="12437" xr:uid="{00000000-0005-0000-0000-000092300000}"/>
    <cellStyle name="Comma 2 4 2 2 2 2" xfId="12438" xr:uid="{00000000-0005-0000-0000-000093300000}"/>
    <cellStyle name="Comma 2 4 2 2 2 2 2" xfId="12439" xr:uid="{00000000-0005-0000-0000-000094300000}"/>
    <cellStyle name="Comma 2 4 2 2 2 2 2 2" xfId="12440" xr:uid="{00000000-0005-0000-0000-000095300000}"/>
    <cellStyle name="Comma 2 4 2 2 2 2 2 3" xfId="12441" xr:uid="{00000000-0005-0000-0000-000096300000}"/>
    <cellStyle name="Comma 2 4 2 2 2 2 3" xfId="12442" xr:uid="{00000000-0005-0000-0000-000097300000}"/>
    <cellStyle name="Comma 2 4 2 2 2 2 4" xfId="12443" xr:uid="{00000000-0005-0000-0000-000098300000}"/>
    <cellStyle name="Comma 2 4 2 2 2 2 5" xfId="12444" xr:uid="{00000000-0005-0000-0000-000099300000}"/>
    <cellStyle name="Comma 2 4 2 2 2 2 6" xfId="12445" xr:uid="{00000000-0005-0000-0000-00009A300000}"/>
    <cellStyle name="Comma 2 4 2 2 2 3" xfId="12446" xr:uid="{00000000-0005-0000-0000-00009B300000}"/>
    <cellStyle name="Comma 2 4 2 2 2 3 2" xfId="12447" xr:uid="{00000000-0005-0000-0000-00009C300000}"/>
    <cellStyle name="Comma 2 4 2 2 2 3 2 2" xfId="12448" xr:uid="{00000000-0005-0000-0000-00009D300000}"/>
    <cellStyle name="Comma 2 4 2 2 2 3 3" xfId="12449" xr:uid="{00000000-0005-0000-0000-00009E300000}"/>
    <cellStyle name="Comma 2 4 2 2 2 3 4" xfId="12450" xr:uid="{00000000-0005-0000-0000-00009F300000}"/>
    <cellStyle name="Comma 2 4 2 2 2 3 5" xfId="12451" xr:uid="{00000000-0005-0000-0000-0000A0300000}"/>
    <cellStyle name="Comma 2 4 2 2 2 4" xfId="12452" xr:uid="{00000000-0005-0000-0000-0000A1300000}"/>
    <cellStyle name="Comma 2 4 2 2 2 4 2" xfId="12453" xr:uid="{00000000-0005-0000-0000-0000A2300000}"/>
    <cellStyle name="Comma 2 4 2 2 2 4 3" xfId="12454" xr:uid="{00000000-0005-0000-0000-0000A3300000}"/>
    <cellStyle name="Comma 2 4 2 2 2 4 4" xfId="12455" xr:uid="{00000000-0005-0000-0000-0000A4300000}"/>
    <cellStyle name="Comma 2 4 2 2 2 5" xfId="12456" xr:uid="{00000000-0005-0000-0000-0000A5300000}"/>
    <cellStyle name="Comma 2 4 2 2 2 5 2" xfId="12457" xr:uid="{00000000-0005-0000-0000-0000A6300000}"/>
    <cellStyle name="Comma 2 4 2 2 2 6" xfId="12458" xr:uid="{00000000-0005-0000-0000-0000A7300000}"/>
    <cellStyle name="Comma 2 4 2 2 2 7" xfId="12459" xr:uid="{00000000-0005-0000-0000-0000A8300000}"/>
    <cellStyle name="Comma 2 4 2 2 2 8" xfId="12460" xr:uid="{00000000-0005-0000-0000-0000A9300000}"/>
    <cellStyle name="Comma 2 4 2 2 2 9" xfId="12461" xr:uid="{00000000-0005-0000-0000-0000AA300000}"/>
    <cellStyle name="Comma 2 4 2 2 3" xfId="12462" xr:uid="{00000000-0005-0000-0000-0000AB300000}"/>
    <cellStyle name="Comma 2 4 2 2 3 2" xfId="12463" xr:uid="{00000000-0005-0000-0000-0000AC300000}"/>
    <cellStyle name="Comma 2 4 2 2 3 2 2" xfId="12464" xr:uid="{00000000-0005-0000-0000-0000AD300000}"/>
    <cellStyle name="Comma 2 4 2 2 3 2 2 2" xfId="12465" xr:uid="{00000000-0005-0000-0000-0000AE300000}"/>
    <cellStyle name="Comma 2 4 2 2 3 2 2 3" xfId="12466" xr:uid="{00000000-0005-0000-0000-0000AF300000}"/>
    <cellStyle name="Comma 2 4 2 2 3 2 3" xfId="12467" xr:uid="{00000000-0005-0000-0000-0000B0300000}"/>
    <cellStyle name="Comma 2 4 2 2 3 2 4" xfId="12468" xr:uid="{00000000-0005-0000-0000-0000B1300000}"/>
    <cellStyle name="Comma 2 4 2 2 3 2 5" xfId="12469" xr:uid="{00000000-0005-0000-0000-0000B2300000}"/>
    <cellStyle name="Comma 2 4 2 2 3 2 6" xfId="12470" xr:uid="{00000000-0005-0000-0000-0000B3300000}"/>
    <cellStyle name="Comma 2 4 2 2 3 3" xfId="12471" xr:uid="{00000000-0005-0000-0000-0000B4300000}"/>
    <cellStyle name="Comma 2 4 2 2 3 3 2" xfId="12472" xr:uid="{00000000-0005-0000-0000-0000B5300000}"/>
    <cellStyle name="Comma 2 4 2 2 3 3 2 2" xfId="12473" xr:uid="{00000000-0005-0000-0000-0000B6300000}"/>
    <cellStyle name="Comma 2 4 2 2 3 3 3" xfId="12474" xr:uid="{00000000-0005-0000-0000-0000B7300000}"/>
    <cellStyle name="Comma 2 4 2 2 3 3 4" xfId="12475" xr:uid="{00000000-0005-0000-0000-0000B8300000}"/>
    <cellStyle name="Comma 2 4 2 2 3 3 5" xfId="12476" xr:uid="{00000000-0005-0000-0000-0000B9300000}"/>
    <cellStyle name="Comma 2 4 2 2 3 4" xfId="12477" xr:uid="{00000000-0005-0000-0000-0000BA300000}"/>
    <cellStyle name="Comma 2 4 2 2 3 4 2" xfId="12478" xr:uid="{00000000-0005-0000-0000-0000BB300000}"/>
    <cellStyle name="Comma 2 4 2 2 3 4 3" xfId="12479" xr:uid="{00000000-0005-0000-0000-0000BC300000}"/>
    <cellStyle name="Comma 2 4 2 2 3 4 4" xfId="12480" xr:uid="{00000000-0005-0000-0000-0000BD300000}"/>
    <cellStyle name="Comma 2 4 2 2 3 5" xfId="12481" xr:uid="{00000000-0005-0000-0000-0000BE300000}"/>
    <cellStyle name="Comma 2 4 2 2 3 5 2" xfId="12482" xr:uid="{00000000-0005-0000-0000-0000BF300000}"/>
    <cellStyle name="Comma 2 4 2 2 3 6" xfId="12483" xr:uid="{00000000-0005-0000-0000-0000C0300000}"/>
    <cellStyle name="Comma 2 4 2 2 3 7" xfId="12484" xr:uid="{00000000-0005-0000-0000-0000C1300000}"/>
    <cellStyle name="Comma 2 4 2 2 3 8" xfId="12485" xr:uid="{00000000-0005-0000-0000-0000C2300000}"/>
    <cellStyle name="Comma 2 4 2 2 3 9" xfId="12486" xr:uid="{00000000-0005-0000-0000-0000C3300000}"/>
    <cellStyle name="Comma 2 4 2 2 4" xfId="12487" xr:uid="{00000000-0005-0000-0000-0000C4300000}"/>
    <cellStyle name="Comma 2 4 2 2 4 2" xfId="12488" xr:uid="{00000000-0005-0000-0000-0000C5300000}"/>
    <cellStyle name="Comma 2 4 2 2 4 2 2" xfId="12489" xr:uid="{00000000-0005-0000-0000-0000C6300000}"/>
    <cellStyle name="Comma 2 4 2 2 4 2 3" xfId="12490" xr:uid="{00000000-0005-0000-0000-0000C7300000}"/>
    <cellStyle name="Comma 2 4 2 2 4 3" xfId="12491" xr:uid="{00000000-0005-0000-0000-0000C8300000}"/>
    <cellStyle name="Comma 2 4 2 2 4 4" xfId="12492" xr:uid="{00000000-0005-0000-0000-0000C9300000}"/>
    <cellStyle name="Comma 2 4 2 2 4 5" xfId="12493" xr:uid="{00000000-0005-0000-0000-0000CA300000}"/>
    <cellStyle name="Comma 2 4 2 2 4 6" xfId="12494" xr:uid="{00000000-0005-0000-0000-0000CB300000}"/>
    <cellStyle name="Comma 2 4 2 2 5" xfId="12495" xr:uid="{00000000-0005-0000-0000-0000CC300000}"/>
    <cellStyle name="Comma 2 4 2 2 5 2" xfId="12496" xr:uid="{00000000-0005-0000-0000-0000CD300000}"/>
    <cellStyle name="Comma 2 4 2 2 5 2 2" xfId="12497" xr:uid="{00000000-0005-0000-0000-0000CE300000}"/>
    <cellStyle name="Comma 2 4 2 2 5 3" xfId="12498" xr:uid="{00000000-0005-0000-0000-0000CF300000}"/>
    <cellStyle name="Comma 2 4 2 2 5 4" xfId="12499" xr:uid="{00000000-0005-0000-0000-0000D0300000}"/>
    <cellStyle name="Comma 2 4 2 2 5 5" xfId="12500" xr:uid="{00000000-0005-0000-0000-0000D1300000}"/>
    <cellStyle name="Comma 2 4 2 2 6" xfId="12501" xr:uid="{00000000-0005-0000-0000-0000D2300000}"/>
    <cellStyle name="Comma 2 4 2 2 6 2" xfId="12502" xr:uid="{00000000-0005-0000-0000-0000D3300000}"/>
    <cellStyle name="Comma 2 4 2 2 6 3" xfId="12503" xr:uid="{00000000-0005-0000-0000-0000D4300000}"/>
    <cellStyle name="Comma 2 4 2 2 6 4" xfId="12504" xr:uid="{00000000-0005-0000-0000-0000D5300000}"/>
    <cellStyle name="Comma 2 4 2 2 7" xfId="12505" xr:uid="{00000000-0005-0000-0000-0000D6300000}"/>
    <cellStyle name="Comma 2 4 2 2 7 2" xfId="12506" xr:uid="{00000000-0005-0000-0000-0000D7300000}"/>
    <cellStyle name="Comma 2 4 2 2 8" xfId="12507" xr:uid="{00000000-0005-0000-0000-0000D8300000}"/>
    <cellStyle name="Comma 2 4 2 2 9" xfId="12508" xr:uid="{00000000-0005-0000-0000-0000D9300000}"/>
    <cellStyle name="Comma 2 4 2 20" xfId="12509" xr:uid="{00000000-0005-0000-0000-0000DA300000}"/>
    <cellStyle name="Comma 2 4 2 21" xfId="12510" xr:uid="{00000000-0005-0000-0000-0000DB300000}"/>
    <cellStyle name="Comma 2 4 2 22" xfId="12511" xr:uid="{00000000-0005-0000-0000-0000DC300000}"/>
    <cellStyle name="Comma 2 4 2 3" xfId="12512" xr:uid="{00000000-0005-0000-0000-0000DD300000}"/>
    <cellStyle name="Comma 2 4 2 3 10" xfId="12513" xr:uid="{00000000-0005-0000-0000-0000DE300000}"/>
    <cellStyle name="Comma 2 4 2 3 11" xfId="12514" xr:uid="{00000000-0005-0000-0000-0000DF300000}"/>
    <cellStyle name="Comma 2 4 2 3 2" xfId="12515" xr:uid="{00000000-0005-0000-0000-0000E0300000}"/>
    <cellStyle name="Comma 2 4 2 3 2 2" xfId="12516" xr:uid="{00000000-0005-0000-0000-0000E1300000}"/>
    <cellStyle name="Comma 2 4 2 3 2 2 2" xfId="12517" xr:uid="{00000000-0005-0000-0000-0000E2300000}"/>
    <cellStyle name="Comma 2 4 2 3 2 2 2 2" xfId="12518" xr:uid="{00000000-0005-0000-0000-0000E3300000}"/>
    <cellStyle name="Comma 2 4 2 3 2 2 2 3" xfId="12519" xr:uid="{00000000-0005-0000-0000-0000E4300000}"/>
    <cellStyle name="Comma 2 4 2 3 2 2 3" xfId="12520" xr:uid="{00000000-0005-0000-0000-0000E5300000}"/>
    <cellStyle name="Comma 2 4 2 3 2 2 4" xfId="12521" xr:uid="{00000000-0005-0000-0000-0000E6300000}"/>
    <cellStyle name="Comma 2 4 2 3 2 2 5" xfId="12522" xr:uid="{00000000-0005-0000-0000-0000E7300000}"/>
    <cellStyle name="Comma 2 4 2 3 2 2 6" xfId="12523" xr:uid="{00000000-0005-0000-0000-0000E8300000}"/>
    <cellStyle name="Comma 2 4 2 3 2 3" xfId="12524" xr:uid="{00000000-0005-0000-0000-0000E9300000}"/>
    <cellStyle name="Comma 2 4 2 3 2 3 2" xfId="12525" xr:uid="{00000000-0005-0000-0000-0000EA300000}"/>
    <cellStyle name="Comma 2 4 2 3 2 3 2 2" xfId="12526" xr:uid="{00000000-0005-0000-0000-0000EB300000}"/>
    <cellStyle name="Comma 2 4 2 3 2 3 3" xfId="12527" xr:uid="{00000000-0005-0000-0000-0000EC300000}"/>
    <cellStyle name="Comma 2 4 2 3 2 3 4" xfId="12528" xr:uid="{00000000-0005-0000-0000-0000ED300000}"/>
    <cellStyle name="Comma 2 4 2 3 2 3 5" xfId="12529" xr:uid="{00000000-0005-0000-0000-0000EE300000}"/>
    <cellStyle name="Comma 2 4 2 3 2 4" xfId="12530" xr:uid="{00000000-0005-0000-0000-0000EF300000}"/>
    <cellStyle name="Comma 2 4 2 3 2 4 2" xfId="12531" xr:uid="{00000000-0005-0000-0000-0000F0300000}"/>
    <cellStyle name="Comma 2 4 2 3 2 4 3" xfId="12532" xr:uid="{00000000-0005-0000-0000-0000F1300000}"/>
    <cellStyle name="Comma 2 4 2 3 2 4 4" xfId="12533" xr:uid="{00000000-0005-0000-0000-0000F2300000}"/>
    <cellStyle name="Comma 2 4 2 3 2 5" xfId="12534" xr:uid="{00000000-0005-0000-0000-0000F3300000}"/>
    <cellStyle name="Comma 2 4 2 3 2 5 2" xfId="12535" xr:uid="{00000000-0005-0000-0000-0000F4300000}"/>
    <cellStyle name="Comma 2 4 2 3 2 6" xfId="12536" xr:uid="{00000000-0005-0000-0000-0000F5300000}"/>
    <cellStyle name="Comma 2 4 2 3 2 7" xfId="12537" xr:uid="{00000000-0005-0000-0000-0000F6300000}"/>
    <cellStyle name="Comma 2 4 2 3 2 8" xfId="12538" xr:uid="{00000000-0005-0000-0000-0000F7300000}"/>
    <cellStyle name="Comma 2 4 2 3 2 9" xfId="12539" xr:uid="{00000000-0005-0000-0000-0000F8300000}"/>
    <cellStyle name="Comma 2 4 2 3 3" xfId="12540" xr:uid="{00000000-0005-0000-0000-0000F9300000}"/>
    <cellStyle name="Comma 2 4 2 3 3 2" xfId="12541" xr:uid="{00000000-0005-0000-0000-0000FA300000}"/>
    <cellStyle name="Comma 2 4 2 3 3 2 2" xfId="12542" xr:uid="{00000000-0005-0000-0000-0000FB300000}"/>
    <cellStyle name="Comma 2 4 2 3 3 2 2 2" xfId="12543" xr:uid="{00000000-0005-0000-0000-0000FC300000}"/>
    <cellStyle name="Comma 2 4 2 3 3 2 2 3" xfId="12544" xr:uid="{00000000-0005-0000-0000-0000FD300000}"/>
    <cellStyle name="Comma 2 4 2 3 3 2 3" xfId="12545" xr:uid="{00000000-0005-0000-0000-0000FE300000}"/>
    <cellStyle name="Comma 2 4 2 3 3 2 4" xfId="12546" xr:uid="{00000000-0005-0000-0000-0000FF300000}"/>
    <cellStyle name="Comma 2 4 2 3 3 2 5" xfId="12547" xr:uid="{00000000-0005-0000-0000-000000310000}"/>
    <cellStyle name="Comma 2 4 2 3 3 2 6" xfId="12548" xr:uid="{00000000-0005-0000-0000-000001310000}"/>
    <cellStyle name="Comma 2 4 2 3 3 3" xfId="12549" xr:uid="{00000000-0005-0000-0000-000002310000}"/>
    <cellStyle name="Comma 2 4 2 3 3 3 2" xfId="12550" xr:uid="{00000000-0005-0000-0000-000003310000}"/>
    <cellStyle name="Comma 2 4 2 3 3 3 2 2" xfId="12551" xr:uid="{00000000-0005-0000-0000-000004310000}"/>
    <cellStyle name="Comma 2 4 2 3 3 3 3" xfId="12552" xr:uid="{00000000-0005-0000-0000-000005310000}"/>
    <cellStyle name="Comma 2 4 2 3 3 3 4" xfId="12553" xr:uid="{00000000-0005-0000-0000-000006310000}"/>
    <cellStyle name="Comma 2 4 2 3 3 3 5" xfId="12554" xr:uid="{00000000-0005-0000-0000-000007310000}"/>
    <cellStyle name="Comma 2 4 2 3 3 4" xfId="12555" xr:uid="{00000000-0005-0000-0000-000008310000}"/>
    <cellStyle name="Comma 2 4 2 3 3 4 2" xfId="12556" xr:uid="{00000000-0005-0000-0000-000009310000}"/>
    <cellStyle name="Comma 2 4 2 3 3 4 3" xfId="12557" xr:uid="{00000000-0005-0000-0000-00000A310000}"/>
    <cellStyle name="Comma 2 4 2 3 3 4 4" xfId="12558" xr:uid="{00000000-0005-0000-0000-00000B310000}"/>
    <cellStyle name="Comma 2 4 2 3 3 5" xfId="12559" xr:uid="{00000000-0005-0000-0000-00000C310000}"/>
    <cellStyle name="Comma 2 4 2 3 3 5 2" xfId="12560" xr:uid="{00000000-0005-0000-0000-00000D310000}"/>
    <cellStyle name="Comma 2 4 2 3 3 6" xfId="12561" xr:uid="{00000000-0005-0000-0000-00000E310000}"/>
    <cellStyle name="Comma 2 4 2 3 3 7" xfId="12562" xr:uid="{00000000-0005-0000-0000-00000F310000}"/>
    <cellStyle name="Comma 2 4 2 3 3 8" xfId="12563" xr:uid="{00000000-0005-0000-0000-000010310000}"/>
    <cellStyle name="Comma 2 4 2 3 3 9" xfId="12564" xr:uid="{00000000-0005-0000-0000-000011310000}"/>
    <cellStyle name="Comma 2 4 2 3 4" xfId="12565" xr:uid="{00000000-0005-0000-0000-000012310000}"/>
    <cellStyle name="Comma 2 4 2 3 4 2" xfId="12566" xr:uid="{00000000-0005-0000-0000-000013310000}"/>
    <cellStyle name="Comma 2 4 2 3 4 2 2" xfId="12567" xr:uid="{00000000-0005-0000-0000-000014310000}"/>
    <cellStyle name="Comma 2 4 2 3 4 2 3" xfId="12568" xr:uid="{00000000-0005-0000-0000-000015310000}"/>
    <cellStyle name="Comma 2 4 2 3 4 3" xfId="12569" xr:uid="{00000000-0005-0000-0000-000016310000}"/>
    <cellStyle name="Comma 2 4 2 3 4 4" xfId="12570" xr:uid="{00000000-0005-0000-0000-000017310000}"/>
    <cellStyle name="Comma 2 4 2 3 4 5" xfId="12571" xr:uid="{00000000-0005-0000-0000-000018310000}"/>
    <cellStyle name="Comma 2 4 2 3 4 6" xfId="12572" xr:uid="{00000000-0005-0000-0000-000019310000}"/>
    <cellStyle name="Comma 2 4 2 3 5" xfId="12573" xr:uid="{00000000-0005-0000-0000-00001A310000}"/>
    <cellStyle name="Comma 2 4 2 3 5 2" xfId="12574" xr:uid="{00000000-0005-0000-0000-00001B310000}"/>
    <cellStyle name="Comma 2 4 2 3 5 2 2" xfId="12575" xr:uid="{00000000-0005-0000-0000-00001C310000}"/>
    <cellStyle name="Comma 2 4 2 3 5 3" xfId="12576" xr:uid="{00000000-0005-0000-0000-00001D310000}"/>
    <cellStyle name="Comma 2 4 2 3 5 4" xfId="12577" xr:uid="{00000000-0005-0000-0000-00001E310000}"/>
    <cellStyle name="Comma 2 4 2 3 5 5" xfId="12578" xr:uid="{00000000-0005-0000-0000-00001F310000}"/>
    <cellStyle name="Comma 2 4 2 3 6" xfId="12579" xr:uid="{00000000-0005-0000-0000-000020310000}"/>
    <cellStyle name="Comma 2 4 2 3 6 2" xfId="12580" xr:uid="{00000000-0005-0000-0000-000021310000}"/>
    <cellStyle name="Comma 2 4 2 3 6 3" xfId="12581" xr:uid="{00000000-0005-0000-0000-000022310000}"/>
    <cellStyle name="Comma 2 4 2 3 6 4" xfId="12582" xr:uid="{00000000-0005-0000-0000-000023310000}"/>
    <cellStyle name="Comma 2 4 2 3 7" xfId="12583" xr:uid="{00000000-0005-0000-0000-000024310000}"/>
    <cellStyle name="Comma 2 4 2 3 7 2" xfId="12584" xr:uid="{00000000-0005-0000-0000-000025310000}"/>
    <cellStyle name="Comma 2 4 2 3 8" xfId="12585" xr:uid="{00000000-0005-0000-0000-000026310000}"/>
    <cellStyle name="Comma 2 4 2 3 9" xfId="12586" xr:uid="{00000000-0005-0000-0000-000027310000}"/>
    <cellStyle name="Comma 2 4 2 4" xfId="12587" xr:uid="{00000000-0005-0000-0000-000028310000}"/>
    <cellStyle name="Comma 2 4 2 4 10" xfId="12588" xr:uid="{00000000-0005-0000-0000-000029310000}"/>
    <cellStyle name="Comma 2 4 2 4 11" xfId="12589" xr:uid="{00000000-0005-0000-0000-00002A310000}"/>
    <cellStyle name="Comma 2 4 2 4 2" xfId="12590" xr:uid="{00000000-0005-0000-0000-00002B310000}"/>
    <cellStyle name="Comma 2 4 2 4 2 2" xfId="12591" xr:uid="{00000000-0005-0000-0000-00002C310000}"/>
    <cellStyle name="Comma 2 4 2 4 2 2 2" xfId="12592" xr:uid="{00000000-0005-0000-0000-00002D310000}"/>
    <cellStyle name="Comma 2 4 2 4 2 2 2 2" xfId="12593" xr:uid="{00000000-0005-0000-0000-00002E310000}"/>
    <cellStyle name="Comma 2 4 2 4 2 2 2 3" xfId="12594" xr:uid="{00000000-0005-0000-0000-00002F310000}"/>
    <cellStyle name="Comma 2 4 2 4 2 2 3" xfId="12595" xr:uid="{00000000-0005-0000-0000-000030310000}"/>
    <cellStyle name="Comma 2 4 2 4 2 2 4" xfId="12596" xr:uid="{00000000-0005-0000-0000-000031310000}"/>
    <cellStyle name="Comma 2 4 2 4 2 2 5" xfId="12597" xr:uid="{00000000-0005-0000-0000-000032310000}"/>
    <cellStyle name="Comma 2 4 2 4 2 2 6" xfId="12598" xr:uid="{00000000-0005-0000-0000-000033310000}"/>
    <cellStyle name="Comma 2 4 2 4 2 3" xfId="12599" xr:uid="{00000000-0005-0000-0000-000034310000}"/>
    <cellStyle name="Comma 2 4 2 4 2 3 2" xfId="12600" xr:uid="{00000000-0005-0000-0000-000035310000}"/>
    <cellStyle name="Comma 2 4 2 4 2 3 2 2" xfId="12601" xr:uid="{00000000-0005-0000-0000-000036310000}"/>
    <cellStyle name="Comma 2 4 2 4 2 3 3" xfId="12602" xr:uid="{00000000-0005-0000-0000-000037310000}"/>
    <cellStyle name="Comma 2 4 2 4 2 3 4" xfId="12603" xr:uid="{00000000-0005-0000-0000-000038310000}"/>
    <cellStyle name="Comma 2 4 2 4 2 3 5" xfId="12604" xr:uid="{00000000-0005-0000-0000-000039310000}"/>
    <cellStyle name="Comma 2 4 2 4 2 4" xfId="12605" xr:uid="{00000000-0005-0000-0000-00003A310000}"/>
    <cellStyle name="Comma 2 4 2 4 2 4 2" xfId="12606" xr:uid="{00000000-0005-0000-0000-00003B310000}"/>
    <cellStyle name="Comma 2 4 2 4 2 4 3" xfId="12607" xr:uid="{00000000-0005-0000-0000-00003C310000}"/>
    <cellStyle name="Comma 2 4 2 4 2 4 4" xfId="12608" xr:uid="{00000000-0005-0000-0000-00003D310000}"/>
    <cellStyle name="Comma 2 4 2 4 2 5" xfId="12609" xr:uid="{00000000-0005-0000-0000-00003E310000}"/>
    <cellStyle name="Comma 2 4 2 4 2 5 2" xfId="12610" xr:uid="{00000000-0005-0000-0000-00003F310000}"/>
    <cellStyle name="Comma 2 4 2 4 2 6" xfId="12611" xr:uid="{00000000-0005-0000-0000-000040310000}"/>
    <cellStyle name="Comma 2 4 2 4 2 7" xfId="12612" xr:uid="{00000000-0005-0000-0000-000041310000}"/>
    <cellStyle name="Comma 2 4 2 4 2 8" xfId="12613" xr:uid="{00000000-0005-0000-0000-000042310000}"/>
    <cellStyle name="Comma 2 4 2 4 2 9" xfId="12614" xr:uid="{00000000-0005-0000-0000-000043310000}"/>
    <cellStyle name="Comma 2 4 2 4 3" xfId="12615" xr:uid="{00000000-0005-0000-0000-000044310000}"/>
    <cellStyle name="Comma 2 4 2 4 3 2" xfId="12616" xr:uid="{00000000-0005-0000-0000-000045310000}"/>
    <cellStyle name="Comma 2 4 2 4 3 2 2" xfId="12617" xr:uid="{00000000-0005-0000-0000-000046310000}"/>
    <cellStyle name="Comma 2 4 2 4 3 2 2 2" xfId="12618" xr:uid="{00000000-0005-0000-0000-000047310000}"/>
    <cellStyle name="Comma 2 4 2 4 3 2 2 3" xfId="12619" xr:uid="{00000000-0005-0000-0000-000048310000}"/>
    <cellStyle name="Comma 2 4 2 4 3 2 3" xfId="12620" xr:uid="{00000000-0005-0000-0000-000049310000}"/>
    <cellStyle name="Comma 2 4 2 4 3 2 4" xfId="12621" xr:uid="{00000000-0005-0000-0000-00004A310000}"/>
    <cellStyle name="Comma 2 4 2 4 3 2 5" xfId="12622" xr:uid="{00000000-0005-0000-0000-00004B310000}"/>
    <cellStyle name="Comma 2 4 2 4 3 2 6" xfId="12623" xr:uid="{00000000-0005-0000-0000-00004C310000}"/>
    <cellStyle name="Comma 2 4 2 4 3 3" xfId="12624" xr:uid="{00000000-0005-0000-0000-00004D310000}"/>
    <cellStyle name="Comma 2 4 2 4 3 3 2" xfId="12625" xr:uid="{00000000-0005-0000-0000-00004E310000}"/>
    <cellStyle name="Comma 2 4 2 4 3 3 2 2" xfId="12626" xr:uid="{00000000-0005-0000-0000-00004F310000}"/>
    <cellStyle name="Comma 2 4 2 4 3 3 3" xfId="12627" xr:uid="{00000000-0005-0000-0000-000050310000}"/>
    <cellStyle name="Comma 2 4 2 4 3 3 4" xfId="12628" xr:uid="{00000000-0005-0000-0000-000051310000}"/>
    <cellStyle name="Comma 2 4 2 4 3 3 5" xfId="12629" xr:uid="{00000000-0005-0000-0000-000052310000}"/>
    <cellStyle name="Comma 2 4 2 4 3 4" xfId="12630" xr:uid="{00000000-0005-0000-0000-000053310000}"/>
    <cellStyle name="Comma 2 4 2 4 3 4 2" xfId="12631" xr:uid="{00000000-0005-0000-0000-000054310000}"/>
    <cellStyle name="Comma 2 4 2 4 3 4 3" xfId="12632" xr:uid="{00000000-0005-0000-0000-000055310000}"/>
    <cellStyle name="Comma 2 4 2 4 3 4 4" xfId="12633" xr:uid="{00000000-0005-0000-0000-000056310000}"/>
    <cellStyle name="Comma 2 4 2 4 3 5" xfId="12634" xr:uid="{00000000-0005-0000-0000-000057310000}"/>
    <cellStyle name="Comma 2 4 2 4 3 5 2" xfId="12635" xr:uid="{00000000-0005-0000-0000-000058310000}"/>
    <cellStyle name="Comma 2 4 2 4 3 6" xfId="12636" xr:uid="{00000000-0005-0000-0000-000059310000}"/>
    <cellStyle name="Comma 2 4 2 4 3 7" xfId="12637" xr:uid="{00000000-0005-0000-0000-00005A310000}"/>
    <cellStyle name="Comma 2 4 2 4 3 8" xfId="12638" xr:uid="{00000000-0005-0000-0000-00005B310000}"/>
    <cellStyle name="Comma 2 4 2 4 3 9" xfId="12639" xr:uid="{00000000-0005-0000-0000-00005C310000}"/>
    <cellStyle name="Comma 2 4 2 4 4" xfId="12640" xr:uid="{00000000-0005-0000-0000-00005D310000}"/>
    <cellStyle name="Comma 2 4 2 4 4 2" xfId="12641" xr:uid="{00000000-0005-0000-0000-00005E310000}"/>
    <cellStyle name="Comma 2 4 2 4 4 2 2" xfId="12642" xr:uid="{00000000-0005-0000-0000-00005F310000}"/>
    <cellStyle name="Comma 2 4 2 4 4 2 3" xfId="12643" xr:uid="{00000000-0005-0000-0000-000060310000}"/>
    <cellStyle name="Comma 2 4 2 4 4 3" xfId="12644" xr:uid="{00000000-0005-0000-0000-000061310000}"/>
    <cellStyle name="Comma 2 4 2 4 4 4" xfId="12645" xr:uid="{00000000-0005-0000-0000-000062310000}"/>
    <cellStyle name="Comma 2 4 2 4 4 5" xfId="12646" xr:uid="{00000000-0005-0000-0000-000063310000}"/>
    <cellStyle name="Comma 2 4 2 4 4 6" xfId="12647" xr:uid="{00000000-0005-0000-0000-000064310000}"/>
    <cellStyle name="Comma 2 4 2 4 5" xfId="12648" xr:uid="{00000000-0005-0000-0000-000065310000}"/>
    <cellStyle name="Comma 2 4 2 4 5 2" xfId="12649" xr:uid="{00000000-0005-0000-0000-000066310000}"/>
    <cellStyle name="Comma 2 4 2 4 5 2 2" xfId="12650" xr:uid="{00000000-0005-0000-0000-000067310000}"/>
    <cellStyle name="Comma 2 4 2 4 5 3" xfId="12651" xr:uid="{00000000-0005-0000-0000-000068310000}"/>
    <cellStyle name="Comma 2 4 2 4 5 4" xfId="12652" xr:uid="{00000000-0005-0000-0000-000069310000}"/>
    <cellStyle name="Comma 2 4 2 4 5 5" xfId="12653" xr:uid="{00000000-0005-0000-0000-00006A310000}"/>
    <cellStyle name="Comma 2 4 2 4 6" xfId="12654" xr:uid="{00000000-0005-0000-0000-00006B310000}"/>
    <cellStyle name="Comma 2 4 2 4 6 2" xfId="12655" xr:uid="{00000000-0005-0000-0000-00006C310000}"/>
    <cellStyle name="Comma 2 4 2 4 6 3" xfId="12656" xr:uid="{00000000-0005-0000-0000-00006D310000}"/>
    <cellStyle name="Comma 2 4 2 4 6 4" xfId="12657" xr:uid="{00000000-0005-0000-0000-00006E310000}"/>
    <cellStyle name="Comma 2 4 2 4 7" xfId="12658" xr:uid="{00000000-0005-0000-0000-00006F310000}"/>
    <cellStyle name="Comma 2 4 2 4 7 2" xfId="12659" xr:uid="{00000000-0005-0000-0000-000070310000}"/>
    <cellStyle name="Comma 2 4 2 4 8" xfId="12660" xr:uid="{00000000-0005-0000-0000-000071310000}"/>
    <cellStyle name="Comma 2 4 2 4 9" xfId="12661" xr:uid="{00000000-0005-0000-0000-000072310000}"/>
    <cellStyle name="Comma 2 4 2 5" xfId="12662" xr:uid="{00000000-0005-0000-0000-000073310000}"/>
    <cellStyle name="Comma 2 4 2 5 10" xfId="12663" xr:uid="{00000000-0005-0000-0000-000074310000}"/>
    <cellStyle name="Comma 2 4 2 5 11" xfId="12664" xr:uid="{00000000-0005-0000-0000-000075310000}"/>
    <cellStyle name="Comma 2 4 2 5 2" xfId="12665" xr:uid="{00000000-0005-0000-0000-000076310000}"/>
    <cellStyle name="Comma 2 4 2 5 2 2" xfId="12666" xr:uid="{00000000-0005-0000-0000-000077310000}"/>
    <cellStyle name="Comma 2 4 2 5 2 2 2" xfId="12667" xr:uid="{00000000-0005-0000-0000-000078310000}"/>
    <cellStyle name="Comma 2 4 2 5 2 2 2 2" xfId="12668" xr:uid="{00000000-0005-0000-0000-000079310000}"/>
    <cellStyle name="Comma 2 4 2 5 2 2 2 3" xfId="12669" xr:uid="{00000000-0005-0000-0000-00007A310000}"/>
    <cellStyle name="Comma 2 4 2 5 2 2 3" xfId="12670" xr:uid="{00000000-0005-0000-0000-00007B310000}"/>
    <cellStyle name="Comma 2 4 2 5 2 2 4" xfId="12671" xr:uid="{00000000-0005-0000-0000-00007C310000}"/>
    <cellStyle name="Comma 2 4 2 5 2 2 5" xfId="12672" xr:uid="{00000000-0005-0000-0000-00007D310000}"/>
    <cellStyle name="Comma 2 4 2 5 2 2 6" xfId="12673" xr:uid="{00000000-0005-0000-0000-00007E310000}"/>
    <cellStyle name="Comma 2 4 2 5 2 3" xfId="12674" xr:uid="{00000000-0005-0000-0000-00007F310000}"/>
    <cellStyle name="Comma 2 4 2 5 2 3 2" xfId="12675" xr:uid="{00000000-0005-0000-0000-000080310000}"/>
    <cellStyle name="Comma 2 4 2 5 2 3 2 2" xfId="12676" xr:uid="{00000000-0005-0000-0000-000081310000}"/>
    <cellStyle name="Comma 2 4 2 5 2 3 3" xfId="12677" xr:uid="{00000000-0005-0000-0000-000082310000}"/>
    <cellStyle name="Comma 2 4 2 5 2 3 4" xfId="12678" xr:uid="{00000000-0005-0000-0000-000083310000}"/>
    <cellStyle name="Comma 2 4 2 5 2 3 5" xfId="12679" xr:uid="{00000000-0005-0000-0000-000084310000}"/>
    <cellStyle name="Comma 2 4 2 5 2 4" xfId="12680" xr:uid="{00000000-0005-0000-0000-000085310000}"/>
    <cellStyle name="Comma 2 4 2 5 2 4 2" xfId="12681" xr:uid="{00000000-0005-0000-0000-000086310000}"/>
    <cellStyle name="Comma 2 4 2 5 2 4 3" xfId="12682" xr:uid="{00000000-0005-0000-0000-000087310000}"/>
    <cellStyle name="Comma 2 4 2 5 2 4 4" xfId="12683" xr:uid="{00000000-0005-0000-0000-000088310000}"/>
    <cellStyle name="Comma 2 4 2 5 2 5" xfId="12684" xr:uid="{00000000-0005-0000-0000-000089310000}"/>
    <cellStyle name="Comma 2 4 2 5 2 5 2" xfId="12685" xr:uid="{00000000-0005-0000-0000-00008A310000}"/>
    <cellStyle name="Comma 2 4 2 5 2 6" xfId="12686" xr:uid="{00000000-0005-0000-0000-00008B310000}"/>
    <cellStyle name="Comma 2 4 2 5 2 7" xfId="12687" xr:uid="{00000000-0005-0000-0000-00008C310000}"/>
    <cellStyle name="Comma 2 4 2 5 2 8" xfId="12688" xr:uid="{00000000-0005-0000-0000-00008D310000}"/>
    <cellStyle name="Comma 2 4 2 5 2 9" xfId="12689" xr:uid="{00000000-0005-0000-0000-00008E310000}"/>
    <cellStyle name="Comma 2 4 2 5 3" xfId="12690" xr:uid="{00000000-0005-0000-0000-00008F310000}"/>
    <cellStyle name="Comma 2 4 2 5 3 2" xfId="12691" xr:uid="{00000000-0005-0000-0000-000090310000}"/>
    <cellStyle name="Comma 2 4 2 5 3 2 2" xfId="12692" xr:uid="{00000000-0005-0000-0000-000091310000}"/>
    <cellStyle name="Comma 2 4 2 5 3 2 2 2" xfId="12693" xr:uid="{00000000-0005-0000-0000-000092310000}"/>
    <cellStyle name="Comma 2 4 2 5 3 2 2 3" xfId="12694" xr:uid="{00000000-0005-0000-0000-000093310000}"/>
    <cellStyle name="Comma 2 4 2 5 3 2 3" xfId="12695" xr:uid="{00000000-0005-0000-0000-000094310000}"/>
    <cellStyle name="Comma 2 4 2 5 3 2 4" xfId="12696" xr:uid="{00000000-0005-0000-0000-000095310000}"/>
    <cellStyle name="Comma 2 4 2 5 3 2 5" xfId="12697" xr:uid="{00000000-0005-0000-0000-000096310000}"/>
    <cellStyle name="Comma 2 4 2 5 3 2 6" xfId="12698" xr:uid="{00000000-0005-0000-0000-000097310000}"/>
    <cellStyle name="Comma 2 4 2 5 3 3" xfId="12699" xr:uid="{00000000-0005-0000-0000-000098310000}"/>
    <cellStyle name="Comma 2 4 2 5 3 3 2" xfId="12700" xr:uid="{00000000-0005-0000-0000-000099310000}"/>
    <cellStyle name="Comma 2 4 2 5 3 3 2 2" xfId="12701" xr:uid="{00000000-0005-0000-0000-00009A310000}"/>
    <cellStyle name="Comma 2 4 2 5 3 3 3" xfId="12702" xr:uid="{00000000-0005-0000-0000-00009B310000}"/>
    <cellStyle name="Comma 2 4 2 5 3 3 4" xfId="12703" xr:uid="{00000000-0005-0000-0000-00009C310000}"/>
    <cellStyle name="Comma 2 4 2 5 3 3 5" xfId="12704" xr:uid="{00000000-0005-0000-0000-00009D310000}"/>
    <cellStyle name="Comma 2 4 2 5 3 4" xfId="12705" xr:uid="{00000000-0005-0000-0000-00009E310000}"/>
    <cellStyle name="Comma 2 4 2 5 3 4 2" xfId="12706" xr:uid="{00000000-0005-0000-0000-00009F310000}"/>
    <cellStyle name="Comma 2 4 2 5 3 4 3" xfId="12707" xr:uid="{00000000-0005-0000-0000-0000A0310000}"/>
    <cellStyle name="Comma 2 4 2 5 3 4 4" xfId="12708" xr:uid="{00000000-0005-0000-0000-0000A1310000}"/>
    <cellStyle name="Comma 2 4 2 5 3 5" xfId="12709" xr:uid="{00000000-0005-0000-0000-0000A2310000}"/>
    <cellStyle name="Comma 2 4 2 5 3 5 2" xfId="12710" xr:uid="{00000000-0005-0000-0000-0000A3310000}"/>
    <cellStyle name="Comma 2 4 2 5 3 6" xfId="12711" xr:uid="{00000000-0005-0000-0000-0000A4310000}"/>
    <cellStyle name="Comma 2 4 2 5 3 7" xfId="12712" xr:uid="{00000000-0005-0000-0000-0000A5310000}"/>
    <cellStyle name="Comma 2 4 2 5 3 8" xfId="12713" xr:uid="{00000000-0005-0000-0000-0000A6310000}"/>
    <cellStyle name="Comma 2 4 2 5 3 9" xfId="12714" xr:uid="{00000000-0005-0000-0000-0000A7310000}"/>
    <cellStyle name="Comma 2 4 2 5 4" xfId="12715" xr:uid="{00000000-0005-0000-0000-0000A8310000}"/>
    <cellStyle name="Comma 2 4 2 5 4 2" xfId="12716" xr:uid="{00000000-0005-0000-0000-0000A9310000}"/>
    <cellStyle name="Comma 2 4 2 5 4 2 2" xfId="12717" xr:uid="{00000000-0005-0000-0000-0000AA310000}"/>
    <cellStyle name="Comma 2 4 2 5 4 2 3" xfId="12718" xr:uid="{00000000-0005-0000-0000-0000AB310000}"/>
    <cellStyle name="Comma 2 4 2 5 4 3" xfId="12719" xr:uid="{00000000-0005-0000-0000-0000AC310000}"/>
    <cellStyle name="Comma 2 4 2 5 4 4" xfId="12720" xr:uid="{00000000-0005-0000-0000-0000AD310000}"/>
    <cellStyle name="Comma 2 4 2 5 4 5" xfId="12721" xr:uid="{00000000-0005-0000-0000-0000AE310000}"/>
    <cellStyle name="Comma 2 4 2 5 4 6" xfId="12722" xr:uid="{00000000-0005-0000-0000-0000AF310000}"/>
    <cellStyle name="Comma 2 4 2 5 5" xfId="12723" xr:uid="{00000000-0005-0000-0000-0000B0310000}"/>
    <cellStyle name="Comma 2 4 2 5 5 2" xfId="12724" xr:uid="{00000000-0005-0000-0000-0000B1310000}"/>
    <cellStyle name="Comma 2 4 2 5 5 2 2" xfId="12725" xr:uid="{00000000-0005-0000-0000-0000B2310000}"/>
    <cellStyle name="Comma 2 4 2 5 5 3" xfId="12726" xr:uid="{00000000-0005-0000-0000-0000B3310000}"/>
    <cellStyle name="Comma 2 4 2 5 5 4" xfId="12727" xr:uid="{00000000-0005-0000-0000-0000B4310000}"/>
    <cellStyle name="Comma 2 4 2 5 5 5" xfId="12728" xr:uid="{00000000-0005-0000-0000-0000B5310000}"/>
    <cellStyle name="Comma 2 4 2 5 6" xfId="12729" xr:uid="{00000000-0005-0000-0000-0000B6310000}"/>
    <cellStyle name="Comma 2 4 2 5 6 2" xfId="12730" xr:uid="{00000000-0005-0000-0000-0000B7310000}"/>
    <cellStyle name="Comma 2 4 2 5 6 3" xfId="12731" xr:uid="{00000000-0005-0000-0000-0000B8310000}"/>
    <cellStyle name="Comma 2 4 2 5 6 4" xfId="12732" xr:uid="{00000000-0005-0000-0000-0000B9310000}"/>
    <cellStyle name="Comma 2 4 2 5 7" xfId="12733" xr:uid="{00000000-0005-0000-0000-0000BA310000}"/>
    <cellStyle name="Comma 2 4 2 5 7 2" xfId="12734" xr:uid="{00000000-0005-0000-0000-0000BB310000}"/>
    <cellStyle name="Comma 2 4 2 5 8" xfId="12735" xr:uid="{00000000-0005-0000-0000-0000BC310000}"/>
    <cellStyle name="Comma 2 4 2 5 9" xfId="12736" xr:uid="{00000000-0005-0000-0000-0000BD310000}"/>
    <cellStyle name="Comma 2 4 2 6" xfId="12737" xr:uid="{00000000-0005-0000-0000-0000BE310000}"/>
    <cellStyle name="Comma 2 4 2 6 10" xfId="12738" xr:uid="{00000000-0005-0000-0000-0000BF310000}"/>
    <cellStyle name="Comma 2 4 2 6 11" xfId="12739" xr:uid="{00000000-0005-0000-0000-0000C0310000}"/>
    <cellStyle name="Comma 2 4 2 6 2" xfId="12740" xr:uid="{00000000-0005-0000-0000-0000C1310000}"/>
    <cellStyle name="Comma 2 4 2 6 2 2" xfId="12741" xr:uid="{00000000-0005-0000-0000-0000C2310000}"/>
    <cellStyle name="Comma 2 4 2 6 2 2 2" xfId="12742" xr:uid="{00000000-0005-0000-0000-0000C3310000}"/>
    <cellStyle name="Comma 2 4 2 6 2 2 2 2" xfId="12743" xr:uid="{00000000-0005-0000-0000-0000C4310000}"/>
    <cellStyle name="Comma 2 4 2 6 2 2 2 3" xfId="12744" xr:uid="{00000000-0005-0000-0000-0000C5310000}"/>
    <cellStyle name="Comma 2 4 2 6 2 2 3" xfId="12745" xr:uid="{00000000-0005-0000-0000-0000C6310000}"/>
    <cellStyle name="Comma 2 4 2 6 2 2 4" xfId="12746" xr:uid="{00000000-0005-0000-0000-0000C7310000}"/>
    <cellStyle name="Comma 2 4 2 6 2 2 5" xfId="12747" xr:uid="{00000000-0005-0000-0000-0000C8310000}"/>
    <cellStyle name="Comma 2 4 2 6 2 2 6" xfId="12748" xr:uid="{00000000-0005-0000-0000-0000C9310000}"/>
    <cellStyle name="Comma 2 4 2 6 2 3" xfId="12749" xr:uid="{00000000-0005-0000-0000-0000CA310000}"/>
    <cellStyle name="Comma 2 4 2 6 2 3 2" xfId="12750" xr:uid="{00000000-0005-0000-0000-0000CB310000}"/>
    <cellStyle name="Comma 2 4 2 6 2 3 2 2" xfId="12751" xr:uid="{00000000-0005-0000-0000-0000CC310000}"/>
    <cellStyle name="Comma 2 4 2 6 2 3 3" xfId="12752" xr:uid="{00000000-0005-0000-0000-0000CD310000}"/>
    <cellStyle name="Comma 2 4 2 6 2 3 4" xfId="12753" xr:uid="{00000000-0005-0000-0000-0000CE310000}"/>
    <cellStyle name="Comma 2 4 2 6 2 3 5" xfId="12754" xr:uid="{00000000-0005-0000-0000-0000CF310000}"/>
    <cellStyle name="Comma 2 4 2 6 2 4" xfId="12755" xr:uid="{00000000-0005-0000-0000-0000D0310000}"/>
    <cellStyle name="Comma 2 4 2 6 2 4 2" xfId="12756" xr:uid="{00000000-0005-0000-0000-0000D1310000}"/>
    <cellStyle name="Comma 2 4 2 6 2 4 3" xfId="12757" xr:uid="{00000000-0005-0000-0000-0000D2310000}"/>
    <cellStyle name="Comma 2 4 2 6 2 4 4" xfId="12758" xr:uid="{00000000-0005-0000-0000-0000D3310000}"/>
    <cellStyle name="Comma 2 4 2 6 2 5" xfId="12759" xr:uid="{00000000-0005-0000-0000-0000D4310000}"/>
    <cellStyle name="Comma 2 4 2 6 2 5 2" xfId="12760" xr:uid="{00000000-0005-0000-0000-0000D5310000}"/>
    <cellStyle name="Comma 2 4 2 6 2 6" xfId="12761" xr:uid="{00000000-0005-0000-0000-0000D6310000}"/>
    <cellStyle name="Comma 2 4 2 6 2 7" xfId="12762" xr:uid="{00000000-0005-0000-0000-0000D7310000}"/>
    <cellStyle name="Comma 2 4 2 6 2 8" xfId="12763" xr:uid="{00000000-0005-0000-0000-0000D8310000}"/>
    <cellStyle name="Comma 2 4 2 6 2 9" xfId="12764" xr:uid="{00000000-0005-0000-0000-0000D9310000}"/>
    <cellStyle name="Comma 2 4 2 6 3" xfId="12765" xr:uid="{00000000-0005-0000-0000-0000DA310000}"/>
    <cellStyle name="Comma 2 4 2 6 3 2" xfId="12766" xr:uid="{00000000-0005-0000-0000-0000DB310000}"/>
    <cellStyle name="Comma 2 4 2 6 3 2 2" xfId="12767" xr:uid="{00000000-0005-0000-0000-0000DC310000}"/>
    <cellStyle name="Comma 2 4 2 6 3 2 2 2" xfId="12768" xr:uid="{00000000-0005-0000-0000-0000DD310000}"/>
    <cellStyle name="Comma 2 4 2 6 3 2 2 3" xfId="12769" xr:uid="{00000000-0005-0000-0000-0000DE310000}"/>
    <cellStyle name="Comma 2 4 2 6 3 2 3" xfId="12770" xr:uid="{00000000-0005-0000-0000-0000DF310000}"/>
    <cellStyle name="Comma 2 4 2 6 3 2 4" xfId="12771" xr:uid="{00000000-0005-0000-0000-0000E0310000}"/>
    <cellStyle name="Comma 2 4 2 6 3 2 5" xfId="12772" xr:uid="{00000000-0005-0000-0000-0000E1310000}"/>
    <cellStyle name="Comma 2 4 2 6 3 2 6" xfId="12773" xr:uid="{00000000-0005-0000-0000-0000E2310000}"/>
    <cellStyle name="Comma 2 4 2 6 3 3" xfId="12774" xr:uid="{00000000-0005-0000-0000-0000E3310000}"/>
    <cellStyle name="Comma 2 4 2 6 3 3 2" xfId="12775" xr:uid="{00000000-0005-0000-0000-0000E4310000}"/>
    <cellStyle name="Comma 2 4 2 6 3 3 2 2" xfId="12776" xr:uid="{00000000-0005-0000-0000-0000E5310000}"/>
    <cellStyle name="Comma 2 4 2 6 3 3 3" xfId="12777" xr:uid="{00000000-0005-0000-0000-0000E6310000}"/>
    <cellStyle name="Comma 2 4 2 6 3 3 4" xfId="12778" xr:uid="{00000000-0005-0000-0000-0000E7310000}"/>
    <cellStyle name="Comma 2 4 2 6 3 3 5" xfId="12779" xr:uid="{00000000-0005-0000-0000-0000E8310000}"/>
    <cellStyle name="Comma 2 4 2 6 3 4" xfId="12780" xr:uid="{00000000-0005-0000-0000-0000E9310000}"/>
    <cellStyle name="Comma 2 4 2 6 3 4 2" xfId="12781" xr:uid="{00000000-0005-0000-0000-0000EA310000}"/>
    <cellStyle name="Comma 2 4 2 6 3 4 3" xfId="12782" xr:uid="{00000000-0005-0000-0000-0000EB310000}"/>
    <cellStyle name="Comma 2 4 2 6 3 4 4" xfId="12783" xr:uid="{00000000-0005-0000-0000-0000EC310000}"/>
    <cellStyle name="Comma 2 4 2 6 3 5" xfId="12784" xr:uid="{00000000-0005-0000-0000-0000ED310000}"/>
    <cellStyle name="Comma 2 4 2 6 3 5 2" xfId="12785" xr:uid="{00000000-0005-0000-0000-0000EE310000}"/>
    <cellStyle name="Comma 2 4 2 6 3 6" xfId="12786" xr:uid="{00000000-0005-0000-0000-0000EF310000}"/>
    <cellStyle name="Comma 2 4 2 6 3 7" xfId="12787" xr:uid="{00000000-0005-0000-0000-0000F0310000}"/>
    <cellStyle name="Comma 2 4 2 6 3 8" xfId="12788" xr:uid="{00000000-0005-0000-0000-0000F1310000}"/>
    <cellStyle name="Comma 2 4 2 6 3 9" xfId="12789" xr:uid="{00000000-0005-0000-0000-0000F2310000}"/>
    <cellStyle name="Comma 2 4 2 6 4" xfId="12790" xr:uid="{00000000-0005-0000-0000-0000F3310000}"/>
    <cellStyle name="Comma 2 4 2 6 4 2" xfId="12791" xr:uid="{00000000-0005-0000-0000-0000F4310000}"/>
    <cellStyle name="Comma 2 4 2 6 4 2 2" xfId="12792" xr:uid="{00000000-0005-0000-0000-0000F5310000}"/>
    <cellStyle name="Comma 2 4 2 6 4 2 3" xfId="12793" xr:uid="{00000000-0005-0000-0000-0000F6310000}"/>
    <cellStyle name="Comma 2 4 2 6 4 3" xfId="12794" xr:uid="{00000000-0005-0000-0000-0000F7310000}"/>
    <cellStyle name="Comma 2 4 2 6 4 4" xfId="12795" xr:uid="{00000000-0005-0000-0000-0000F8310000}"/>
    <cellStyle name="Comma 2 4 2 6 4 5" xfId="12796" xr:uid="{00000000-0005-0000-0000-0000F9310000}"/>
    <cellStyle name="Comma 2 4 2 6 4 6" xfId="12797" xr:uid="{00000000-0005-0000-0000-0000FA310000}"/>
    <cellStyle name="Comma 2 4 2 6 5" xfId="12798" xr:uid="{00000000-0005-0000-0000-0000FB310000}"/>
    <cellStyle name="Comma 2 4 2 6 5 2" xfId="12799" xr:uid="{00000000-0005-0000-0000-0000FC310000}"/>
    <cellStyle name="Comma 2 4 2 6 5 2 2" xfId="12800" xr:uid="{00000000-0005-0000-0000-0000FD310000}"/>
    <cellStyle name="Comma 2 4 2 6 5 3" xfId="12801" xr:uid="{00000000-0005-0000-0000-0000FE310000}"/>
    <cellStyle name="Comma 2 4 2 6 5 4" xfId="12802" xr:uid="{00000000-0005-0000-0000-0000FF310000}"/>
    <cellStyle name="Comma 2 4 2 6 5 5" xfId="12803" xr:uid="{00000000-0005-0000-0000-000000320000}"/>
    <cellStyle name="Comma 2 4 2 6 6" xfId="12804" xr:uid="{00000000-0005-0000-0000-000001320000}"/>
    <cellStyle name="Comma 2 4 2 6 6 2" xfId="12805" xr:uid="{00000000-0005-0000-0000-000002320000}"/>
    <cellStyle name="Comma 2 4 2 6 6 3" xfId="12806" xr:uid="{00000000-0005-0000-0000-000003320000}"/>
    <cellStyle name="Comma 2 4 2 6 6 4" xfId="12807" xr:uid="{00000000-0005-0000-0000-000004320000}"/>
    <cellStyle name="Comma 2 4 2 6 7" xfId="12808" xr:uid="{00000000-0005-0000-0000-000005320000}"/>
    <cellStyle name="Comma 2 4 2 6 7 2" xfId="12809" xr:uid="{00000000-0005-0000-0000-000006320000}"/>
    <cellStyle name="Comma 2 4 2 6 8" xfId="12810" xr:uid="{00000000-0005-0000-0000-000007320000}"/>
    <cellStyle name="Comma 2 4 2 6 9" xfId="12811" xr:uid="{00000000-0005-0000-0000-000008320000}"/>
    <cellStyle name="Comma 2 4 2 7" xfId="12812" xr:uid="{00000000-0005-0000-0000-000009320000}"/>
    <cellStyle name="Comma 2 4 2 7 10" xfId="12813" xr:uid="{00000000-0005-0000-0000-00000A320000}"/>
    <cellStyle name="Comma 2 4 2 7 11" xfId="12814" xr:uid="{00000000-0005-0000-0000-00000B320000}"/>
    <cellStyle name="Comma 2 4 2 7 2" xfId="12815" xr:uid="{00000000-0005-0000-0000-00000C320000}"/>
    <cellStyle name="Comma 2 4 2 7 2 2" xfId="12816" xr:uid="{00000000-0005-0000-0000-00000D320000}"/>
    <cellStyle name="Comma 2 4 2 7 2 2 2" xfId="12817" xr:uid="{00000000-0005-0000-0000-00000E320000}"/>
    <cellStyle name="Comma 2 4 2 7 2 2 2 2" xfId="12818" xr:uid="{00000000-0005-0000-0000-00000F320000}"/>
    <cellStyle name="Comma 2 4 2 7 2 2 2 3" xfId="12819" xr:uid="{00000000-0005-0000-0000-000010320000}"/>
    <cellStyle name="Comma 2 4 2 7 2 2 3" xfId="12820" xr:uid="{00000000-0005-0000-0000-000011320000}"/>
    <cellStyle name="Comma 2 4 2 7 2 2 4" xfId="12821" xr:uid="{00000000-0005-0000-0000-000012320000}"/>
    <cellStyle name="Comma 2 4 2 7 2 2 5" xfId="12822" xr:uid="{00000000-0005-0000-0000-000013320000}"/>
    <cellStyle name="Comma 2 4 2 7 2 2 6" xfId="12823" xr:uid="{00000000-0005-0000-0000-000014320000}"/>
    <cellStyle name="Comma 2 4 2 7 2 3" xfId="12824" xr:uid="{00000000-0005-0000-0000-000015320000}"/>
    <cellStyle name="Comma 2 4 2 7 2 3 2" xfId="12825" xr:uid="{00000000-0005-0000-0000-000016320000}"/>
    <cellStyle name="Comma 2 4 2 7 2 3 2 2" xfId="12826" xr:uid="{00000000-0005-0000-0000-000017320000}"/>
    <cellStyle name="Comma 2 4 2 7 2 3 3" xfId="12827" xr:uid="{00000000-0005-0000-0000-000018320000}"/>
    <cellStyle name="Comma 2 4 2 7 2 3 4" xfId="12828" xr:uid="{00000000-0005-0000-0000-000019320000}"/>
    <cellStyle name="Comma 2 4 2 7 2 3 5" xfId="12829" xr:uid="{00000000-0005-0000-0000-00001A320000}"/>
    <cellStyle name="Comma 2 4 2 7 2 4" xfId="12830" xr:uid="{00000000-0005-0000-0000-00001B320000}"/>
    <cellStyle name="Comma 2 4 2 7 2 4 2" xfId="12831" xr:uid="{00000000-0005-0000-0000-00001C320000}"/>
    <cellStyle name="Comma 2 4 2 7 2 4 3" xfId="12832" xr:uid="{00000000-0005-0000-0000-00001D320000}"/>
    <cellStyle name="Comma 2 4 2 7 2 4 4" xfId="12833" xr:uid="{00000000-0005-0000-0000-00001E320000}"/>
    <cellStyle name="Comma 2 4 2 7 2 5" xfId="12834" xr:uid="{00000000-0005-0000-0000-00001F320000}"/>
    <cellStyle name="Comma 2 4 2 7 2 5 2" xfId="12835" xr:uid="{00000000-0005-0000-0000-000020320000}"/>
    <cellStyle name="Comma 2 4 2 7 2 6" xfId="12836" xr:uid="{00000000-0005-0000-0000-000021320000}"/>
    <cellStyle name="Comma 2 4 2 7 2 7" xfId="12837" xr:uid="{00000000-0005-0000-0000-000022320000}"/>
    <cellStyle name="Comma 2 4 2 7 2 8" xfId="12838" xr:uid="{00000000-0005-0000-0000-000023320000}"/>
    <cellStyle name="Comma 2 4 2 7 2 9" xfId="12839" xr:uid="{00000000-0005-0000-0000-000024320000}"/>
    <cellStyle name="Comma 2 4 2 7 3" xfId="12840" xr:uid="{00000000-0005-0000-0000-000025320000}"/>
    <cellStyle name="Comma 2 4 2 7 3 2" xfId="12841" xr:uid="{00000000-0005-0000-0000-000026320000}"/>
    <cellStyle name="Comma 2 4 2 7 3 2 2" xfId="12842" xr:uid="{00000000-0005-0000-0000-000027320000}"/>
    <cellStyle name="Comma 2 4 2 7 3 2 2 2" xfId="12843" xr:uid="{00000000-0005-0000-0000-000028320000}"/>
    <cellStyle name="Comma 2 4 2 7 3 2 2 3" xfId="12844" xr:uid="{00000000-0005-0000-0000-000029320000}"/>
    <cellStyle name="Comma 2 4 2 7 3 2 3" xfId="12845" xr:uid="{00000000-0005-0000-0000-00002A320000}"/>
    <cellStyle name="Comma 2 4 2 7 3 2 4" xfId="12846" xr:uid="{00000000-0005-0000-0000-00002B320000}"/>
    <cellStyle name="Comma 2 4 2 7 3 2 5" xfId="12847" xr:uid="{00000000-0005-0000-0000-00002C320000}"/>
    <cellStyle name="Comma 2 4 2 7 3 2 6" xfId="12848" xr:uid="{00000000-0005-0000-0000-00002D320000}"/>
    <cellStyle name="Comma 2 4 2 7 3 3" xfId="12849" xr:uid="{00000000-0005-0000-0000-00002E320000}"/>
    <cellStyle name="Comma 2 4 2 7 3 3 2" xfId="12850" xr:uid="{00000000-0005-0000-0000-00002F320000}"/>
    <cellStyle name="Comma 2 4 2 7 3 3 2 2" xfId="12851" xr:uid="{00000000-0005-0000-0000-000030320000}"/>
    <cellStyle name="Comma 2 4 2 7 3 3 3" xfId="12852" xr:uid="{00000000-0005-0000-0000-000031320000}"/>
    <cellStyle name="Comma 2 4 2 7 3 3 4" xfId="12853" xr:uid="{00000000-0005-0000-0000-000032320000}"/>
    <cellStyle name="Comma 2 4 2 7 3 3 5" xfId="12854" xr:uid="{00000000-0005-0000-0000-000033320000}"/>
    <cellStyle name="Comma 2 4 2 7 3 4" xfId="12855" xr:uid="{00000000-0005-0000-0000-000034320000}"/>
    <cellStyle name="Comma 2 4 2 7 3 4 2" xfId="12856" xr:uid="{00000000-0005-0000-0000-000035320000}"/>
    <cellStyle name="Comma 2 4 2 7 3 4 3" xfId="12857" xr:uid="{00000000-0005-0000-0000-000036320000}"/>
    <cellStyle name="Comma 2 4 2 7 3 4 4" xfId="12858" xr:uid="{00000000-0005-0000-0000-000037320000}"/>
    <cellStyle name="Comma 2 4 2 7 3 5" xfId="12859" xr:uid="{00000000-0005-0000-0000-000038320000}"/>
    <cellStyle name="Comma 2 4 2 7 3 5 2" xfId="12860" xr:uid="{00000000-0005-0000-0000-000039320000}"/>
    <cellStyle name="Comma 2 4 2 7 3 6" xfId="12861" xr:uid="{00000000-0005-0000-0000-00003A320000}"/>
    <cellStyle name="Comma 2 4 2 7 3 7" xfId="12862" xr:uid="{00000000-0005-0000-0000-00003B320000}"/>
    <cellStyle name="Comma 2 4 2 7 3 8" xfId="12863" xr:uid="{00000000-0005-0000-0000-00003C320000}"/>
    <cellStyle name="Comma 2 4 2 7 3 9" xfId="12864" xr:uid="{00000000-0005-0000-0000-00003D320000}"/>
    <cellStyle name="Comma 2 4 2 7 4" xfId="12865" xr:uid="{00000000-0005-0000-0000-00003E320000}"/>
    <cellStyle name="Comma 2 4 2 7 4 2" xfId="12866" xr:uid="{00000000-0005-0000-0000-00003F320000}"/>
    <cellStyle name="Comma 2 4 2 7 4 2 2" xfId="12867" xr:uid="{00000000-0005-0000-0000-000040320000}"/>
    <cellStyle name="Comma 2 4 2 7 4 2 3" xfId="12868" xr:uid="{00000000-0005-0000-0000-000041320000}"/>
    <cellStyle name="Comma 2 4 2 7 4 3" xfId="12869" xr:uid="{00000000-0005-0000-0000-000042320000}"/>
    <cellStyle name="Comma 2 4 2 7 4 4" xfId="12870" xr:uid="{00000000-0005-0000-0000-000043320000}"/>
    <cellStyle name="Comma 2 4 2 7 4 5" xfId="12871" xr:uid="{00000000-0005-0000-0000-000044320000}"/>
    <cellStyle name="Comma 2 4 2 7 4 6" xfId="12872" xr:uid="{00000000-0005-0000-0000-000045320000}"/>
    <cellStyle name="Comma 2 4 2 7 5" xfId="12873" xr:uid="{00000000-0005-0000-0000-000046320000}"/>
    <cellStyle name="Comma 2 4 2 7 5 2" xfId="12874" xr:uid="{00000000-0005-0000-0000-000047320000}"/>
    <cellStyle name="Comma 2 4 2 7 5 2 2" xfId="12875" xr:uid="{00000000-0005-0000-0000-000048320000}"/>
    <cellStyle name="Comma 2 4 2 7 5 3" xfId="12876" xr:uid="{00000000-0005-0000-0000-000049320000}"/>
    <cellStyle name="Comma 2 4 2 7 5 4" xfId="12877" xr:uid="{00000000-0005-0000-0000-00004A320000}"/>
    <cellStyle name="Comma 2 4 2 7 5 5" xfId="12878" xr:uid="{00000000-0005-0000-0000-00004B320000}"/>
    <cellStyle name="Comma 2 4 2 7 6" xfId="12879" xr:uid="{00000000-0005-0000-0000-00004C320000}"/>
    <cellStyle name="Comma 2 4 2 7 6 2" xfId="12880" xr:uid="{00000000-0005-0000-0000-00004D320000}"/>
    <cellStyle name="Comma 2 4 2 7 6 3" xfId="12881" xr:uid="{00000000-0005-0000-0000-00004E320000}"/>
    <cellStyle name="Comma 2 4 2 7 6 4" xfId="12882" xr:uid="{00000000-0005-0000-0000-00004F320000}"/>
    <cellStyle name="Comma 2 4 2 7 7" xfId="12883" xr:uid="{00000000-0005-0000-0000-000050320000}"/>
    <cellStyle name="Comma 2 4 2 7 7 2" xfId="12884" xr:uid="{00000000-0005-0000-0000-000051320000}"/>
    <cellStyle name="Comma 2 4 2 7 8" xfId="12885" xr:uid="{00000000-0005-0000-0000-000052320000}"/>
    <cellStyle name="Comma 2 4 2 7 9" xfId="12886" xr:uid="{00000000-0005-0000-0000-000053320000}"/>
    <cellStyle name="Comma 2 4 2 8" xfId="12887" xr:uid="{00000000-0005-0000-0000-000054320000}"/>
    <cellStyle name="Comma 2 4 2 8 10" xfId="12888" xr:uid="{00000000-0005-0000-0000-000055320000}"/>
    <cellStyle name="Comma 2 4 2 8 2" xfId="12889" xr:uid="{00000000-0005-0000-0000-000056320000}"/>
    <cellStyle name="Comma 2 4 2 8 2 2" xfId="12890" xr:uid="{00000000-0005-0000-0000-000057320000}"/>
    <cellStyle name="Comma 2 4 2 8 2 2 2" xfId="12891" xr:uid="{00000000-0005-0000-0000-000058320000}"/>
    <cellStyle name="Comma 2 4 2 8 2 2 3" xfId="12892" xr:uid="{00000000-0005-0000-0000-000059320000}"/>
    <cellStyle name="Comma 2 4 2 8 2 3" xfId="12893" xr:uid="{00000000-0005-0000-0000-00005A320000}"/>
    <cellStyle name="Comma 2 4 2 8 2 4" xfId="12894" xr:uid="{00000000-0005-0000-0000-00005B320000}"/>
    <cellStyle name="Comma 2 4 2 8 2 5" xfId="12895" xr:uid="{00000000-0005-0000-0000-00005C320000}"/>
    <cellStyle name="Comma 2 4 2 8 2 6" xfId="12896" xr:uid="{00000000-0005-0000-0000-00005D320000}"/>
    <cellStyle name="Comma 2 4 2 8 3" xfId="12897" xr:uid="{00000000-0005-0000-0000-00005E320000}"/>
    <cellStyle name="Comma 2 4 2 8 3 2" xfId="12898" xr:uid="{00000000-0005-0000-0000-00005F320000}"/>
    <cellStyle name="Comma 2 4 2 8 3 2 2" xfId="12899" xr:uid="{00000000-0005-0000-0000-000060320000}"/>
    <cellStyle name="Comma 2 4 2 8 3 2 3" xfId="12900" xr:uid="{00000000-0005-0000-0000-000061320000}"/>
    <cellStyle name="Comma 2 4 2 8 3 3" xfId="12901" xr:uid="{00000000-0005-0000-0000-000062320000}"/>
    <cellStyle name="Comma 2 4 2 8 3 4" xfId="12902" xr:uid="{00000000-0005-0000-0000-000063320000}"/>
    <cellStyle name="Comma 2 4 2 8 3 5" xfId="12903" xr:uid="{00000000-0005-0000-0000-000064320000}"/>
    <cellStyle name="Comma 2 4 2 8 3 6" xfId="12904" xr:uid="{00000000-0005-0000-0000-000065320000}"/>
    <cellStyle name="Comma 2 4 2 8 4" xfId="12905" xr:uid="{00000000-0005-0000-0000-000066320000}"/>
    <cellStyle name="Comma 2 4 2 8 4 2" xfId="12906" xr:uid="{00000000-0005-0000-0000-000067320000}"/>
    <cellStyle name="Comma 2 4 2 8 4 2 2" xfId="12907" xr:uid="{00000000-0005-0000-0000-000068320000}"/>
    <cellStyle name="Comma 2 4 2 8 4 3" xfId="12908" xr:uid="{00000000-0005-0000-0000-000069320000}"/>
    <cellStyle name="Comma 2 4 2 8 4 4" xfId="12909" xr:uid="{00000000-0005-0000-0000-00006A320000}"/>
    <cellStyle name="Comma 2 4 2 8 4 5" xfId="12910" xr:uid="{00000000-0005-0000-0000-00006B320000}"/>
    <cellStyle name="Comma 2 4 2 8 5" xfId="12911" xr:uid="{00000000-0005-0000-0000-00006C320000}"/>
    <cellStyle name="Comma 2 4 2 8 5 2" xfId="12912" xr:uid="{00000000-0005-0000-0000-00006D320000}"/>
    <cellStyle name="Comma 2 4 2 8 5 3" xfId="12913" xr:uid="{00000000-0005-0000-0000-00006E320000}"/>
    <cellStyle name="Comma 2 4 2 8 5 4" xfId="12914" xr:uid="{00000000-0005-0000-0000-00006F320000}"/>
    <cellStyle name="Comma 2 4 2 8 6" xfId="12915" xr:uid="{00000000-0005-0000-0000-000070320000}"/>
    <cellStyle name="Comma 2 4 2 8 6 2" xfId="12916" xr:uid="{00000000-0005-0000-0000-000071320000}"/>
    <cellStyle name="Comma 2 4 2 8 7" xfId="12917" xr:uid="{00000000-0005-0000-0000-000072320000}"/>
    <cellStyle name="Comma 2 4 2 8 8" xfId="12918" xr:uid="{00000000-0005-0000-0000-000073320000}"/>
    <cellStyle name="Comma 2 4 2 8 9" xfId="12919" xr:uid="{00000000-0005-0000-0000-000074320000}"/>
    <cellStyle name="Comma 2 4 2 9" xfId="12920" xr:uid="{00000000-0005-0000-0000-000075320000}"/>
    <cellStyle name="Comma 2 4 2 9 10" xfId="12921" xr:uid="{00000000-0005-0000-0000-000076320000}"/>
    <cellStyle name="Comma 2 4 2 9 2" xfId="12922" xr:uid="{00000000-0005-0000-0000-000077320000}"/>
    <cellStyle name="Comma 2 4 2 9 2 2" xfId="12923" xr:uid="{00000000-0005-0000-0000-000078320000}"/>
    <cellStyle name="Comma 2 4 2 9 2 2 2" xfId="12924" xr:uid="{00000000-0005-0000-0000-000079320000}"/>
    <cellStyle name="Comma 2 4 2 9 2 2 3" xfId="12925" xr:uid="{00000000-0005-0000-0000-00007A320000}"/>
    <cellStyle name="Comma 2 4 2 9 2 3" xfId="12926" xr:uid="{00000000-0005-0000-0000-00007B320000}"/>
    <cellStyle name="Comma 2 4 2 9 2 4" xfId="12927" xr:uid="{00000000-0005-0000-0000-00007C320000}"/>
    <cellStyle name="Comma 2 4 2 9 2 5" xfId="12928" xr:uid="{00000000-0005-0000-0000-00007D320000}"/>
    <cellStyle name="Comma 2 4 2 9 2 6" xfId="12929" xr:uid="{00000000-0005-0000-0000-00007E320000}"/>
    <cellStyle name="Comma 2 4 2 9 3" xfId="12930" xr:uid="{00000000-0005-0000-0000-00007F320000}"/>
    <cellStyle name="Comma 2 4 2 9 3 2" xfId="12931" xr:uid="{00000000-0005-0000-0000-000080320000}"/>
    <cellStyle name="Comma 2 4 2 9 3 2 2" xfId="12932" xr:uid="{00000000-0005-0000-0000-000081320000}"/>
    <cellStyle name="Comma 2 4 2 9 3 2 3" xfId="12933" xr:uid="{00000000-0005-0000-0000-000082320000}"/>
    <cellStyle name="Comma 2 4 2 9 3 3" xfId="12934" xr:uid="{00000000-0005-0000-0000-000083320000}"/>
    <cellStyle name="Comma 2 4 2 9 3 4" xfId="12935" xr:uid="{00000000-0005-0000-0000-000084320000}"/>
    <cellStyle name="Comma 2 4 2 9 3 5" xfId="12936" xr:uid="{00000000-0005-0000-0000-000085320000}"/>
    <cellStyle name="Comma 2 4 2 9 3 6" xfId="12937" xr:uid="{00000000-0005-0000-0000-000086320000}"/>
    <cellStyle name="Comma 2 4 2 9 4" xfId="12938" xr:uid="{00000000-0005-0000-0000-000087320000}"/>
    <cellStyle name="Comma 2 4 2 9 4 2" xfId="12939" xr:uid="{00000000-0005-0000-0000-000088320000}"/>
    <cellStyle name="Comma 2 4 2 9 4 2 2" xfId="12940" xr:uid="{00000000-0005-0000-0000-000089320000}"/>
    <cellStyle name="Comma 2 4 2 9 4 3" xfId="12941" xr:uid="{00000000-0005-0000-0000-00008A320000}"/>
    <cellStyle name="Comma 2 4 2 9 4 4" xfId="12942" xr:uid="{00000000-0005-0000-0000-00008B320000}"/>
    <cellStyle name="Comma 2 4 2 9 4 5" xfId="12943" xr:uid="{00000000-0005-0000-0000-00008C320000}"/>
    <cellStyle name="Comma 2 4 2 9 5" xfId="12944" xr:uid="{00000000-0005-0000-0000-00008D320000}"/>
    <cellStyle name="Comma 2 4 2 9 5 2" xfId="12945" xr:uid="{00000000-0005-0000-0000-00008E320000}"/>
    <cellStyle name="Comma 2 4 2 9 5 3" xfId="12946" xr:uid="{00000000-0005-0000-0000-00008F320000}"/>
    <cellStyle name="Comma 2 4 2 9 5 4" xfId="12947" xr:uid="{00000000-0005-0000-0000-000090320000}"/>
    <cellStyle name="Comma 2 4 2 9 6" xfId="12948" xr:uid="{00000000-0005-0000-0000-000091320000}"/>
    <cellStyle name="Comma 2 4 2 9 6 2" xfId="12949" xr:uid="{00000000-0005-0000-0000-000092320000}"/>
    <cellStyle name="Comma 2 4 2 9 7" xfId="12950" xr:uid="{00000000-0005-0000-0000-000093320000}"/>
    <cellStyle name="Comma 2 4 2 9 8" xfId="12951" xr:uid="{00000000-0005-0000-0000-000094320000}"/>
    <cellStyle name="Comma 2 4 2 9 9" xfId="12952" xr:uid="{00000000-0005-0000-0000-000095320000}"/>
    <cellStyle name="Comma 2 4 20" xfId="12953" xr:uid="{00000000-0005-0000-0000-000096320000}"/>
    <cellStyle name="Comma 2 4 20 10" xfId="12954" xr:uid="{00000000-0005-0000-0000-000097320000}"/>
    <cellStyle name="Comma 2 4 20 2" xfId="12955" xr:uid="{00000000-0005-0000-0000-000098320000}"/>
    <cellStyle name="Comma 2 4 20 2 2" xfId="12956" xr:uid="{00000000-0005-0000-0000-000099320000}"/>
    <cellStyle name="Comma 2 4 20 2 2 2" xfId="12957" xr:uid="{00000000-0005-0000-0000-00009A320000}"/>
    <cellStyle name="Comma 2 4 20 2 2 3" xfId="12958" xr:uid="{00000000-0005-0000-0000-00009B320000}"/>
    <cellStyle name="Comma 2 4 20 2 3" xfId="12959" xr:uid="{00000000-0005-0000-0000-00009C320000}"/>
    <cellStyle name="Comma 2 4 20 2 4" xfId="12960" xr:uid="{00000000-0005-0000-0000-00009D320000}"/>
    <cellStyle name="Comma 2 4 20 2 5" xfId="12961" xr:uid="{00000000-0005-0000-0000-00009E320000}"/>
    <cellStyle name="Comma 2 4 20 2 6" xfId="12962" xr:uid="{00000000-0005-0000-0000-00009F320000}"/>
    <cellStyle name="Comma 2 4 20 3" xfId="12963" xr:uid="{00000000-0005-0000-0000-0000A0320000}"/>
    <cellStyle name="Comma 2 4 20 3 2" xfId="12964" xr:uid="{00000000-0005-0000-0000-0000A1320000}"/>
    <cellStyle name="Comma 2 4 20 3 2 2" xfId="12965" xr:uid="{00000000-0005-0000-0000-0000A2320000}"/>
    <cellStyle name="Comma 2 4 20 3 2 3" xfId="12966" xr:uid="{00000000-0005-0000-0000-0000A3320000}"/>
    <cellStyle name="Comma 2 4 20 3 3" xfId="12967" xr:uid="{00000000-0005-0000-0000-0000A4320000}"/>
    <cellStyle name="Comma 2 4 20 3 4" xfId="12968" xr:uid="{00000000-0005-0000-0000-0000A5320000}"/>
    <cellStyle name="Comma 2 4 20 3 5" xfId="12969" xr:uid="{00000000-0005-0000-0000-0000A6320000}"/>
    <cellStyle name="Comma 2 4 20 3 6" xfId="12970" xr:uid="{00000000-0005-0000-0000-0000A7320000}"/>
    <cellStyle name="Comma 2 4 20 4" xfId="12971" xr:uid="{00000000-0005-0000-0000-0000A8320000}"/>
    <cellStyle name="Comma 2 4 20 4 2" xfId="12972" xr:uid="{00000000-0005-0000-0000-0000A9320000}"/>
    <cellStyle name="Comma 2 4 20 4 2 2" xfId="12973" xr:uid="{00000000-0005-0000-0000-0000AA320000}"/>
    <cellStyle name="Comma 2 4 20 4 3" xfId="12974" xr:uid="{00000000-0005-0000-0000-0000AB320000}"/>
    <cellStyle name="Comma 2 4 20 4 4" xfId="12975" xr:uid="{00000000-0005-0000-0000-0000AC320000}"/>
    <cellStyle name="Comma 2 4 20 4 5" xfId="12976" xr:uid="{00000000-0005-0000-0000-0000AD320000}"/>
    <cellStyle name="Comma 2 4 20 5" xfId="12977" xr:uid="{00000000-0005-0000-0000-0000AE320000}"/>
    <cellStyle name="Comma 2 4 20 5 2" xfId="12978" xr:uid="{00000000-0005-0000-0000-0000AF320000}"/>
    <cellStyle name="Comma 2 4 20 5 3" xfId="12979" xr:uid="{00000000-0005-0000-0000-0000B0320000}"/>
    <cellStyle name="Comma 2 4 20 5 4" xfId="12980" xr:uid="{00000000-0005-0000-0000-0000B1320000}"/>
    <cellStyle name="Comma 2 4 20 6" xfId="12981" xr:uid="{00000000-0005-0000-0000-0000B2320000}"/>
    <cellStyle name="Comma 2 4 20 6 2" xfId="12982" xr:uid="{00000000-0005-0000-0000-0000B3320000}"/>
    <cellStyle name="Comma 2 4 20 7" xfId="12983" xr:uid="{00000000-0005-0000-0000-0000B4320000}"/>
    <cellStyle name="Comma 2 4 20 8" xfId="12984" xr:uid="{00000000-0005-0000-0000-0000B5320000}"/>
    <cellStyle name="Comma 2 4 20 9" xfId="12985" xr:uid="{00000000-0005-0000-0000-0000B6320000}"/>
    <cellStyle name="Comma 2 4 21" xfId="12986" xr:uid="{00000000-0005-0000-0000-0000B7320000}"/>
    <cellStyle name="Comma 2 4 21 10" xfId="12987" xr:uid="{00000000-0005-0000-0000-0000B8320000}"/>
    <cellStyle name="Comma 2 4 21 2" xfId="12988" xr:uid="{00000000-0005-0000-0000-0000B9320000}"/>
    <cellStyle name="Comma 2 4 21 2 2" xfId="12989" xr:uid="{00000000-0005-0000-0000-0000BA320000}"/>
    <cellStyle name="Comma 2 4 21 2 2 2" xfId="12990" xr:uid="{00000000-0005-0000-0000-0000BB320000}"/>
    <cellStyle name="Comma 2 4 21 2 2 3" xfId="12991" xr:uid="{00000000-0005-0000-0000-0000BC320000}"/>
    <cellStyle name="Comma 2 4 21 2 3" xfId="12992" xr:uid="{00000000-0005-0000-0000-0000BD320000}"/>
    <cellStyle name="Comma 2 4 21 2 4" xfId="12993" xr:uid="{00000000-0005-0000-0000-0000BE320000}"/>
    <cellStyle name="Comma 2 4 21 2 5" xfId="12994" xr:uid="{00000000-0005-0000-0000-0000BF320000}"/>
    <cellStyle name="Comma 2 4 21 2 6" xfId="12995" xr:uid="{00000000-0005-0000-0000-0000C0320000}"/>
    <cellStyle name="Comma 2 4 21 3" xfId="12996" xr:uid="{00000000-0005-0000-0000-0000C1320000}"/>
    <cellStyle name="Comma 2 4 21 3 2" xfId="12997" xr:uid="{00000000-0005-0000-0000-0000C2320000}"/>
    <cellStyle name="Comma 2 4 21 3 2 2" xfId="12998" xr:uid="{00000000-0005-0000-0000-0000C3320000}"/>
    <cellStyle name="Comma 2 4 21 3 2 3" xfId="12999" xr:uid="{00000000-0005-0000-0000-0000C4320000}"/>
    <cellStyle name="Comma 2 4 21 3 3" xfId="13000" xr:uid="{00000000-0005-0000-0000-0000C5320000}"/>
    <cellStyle name="Comma 2 4 21 3 4" xfId="13001" xr:uid="{00000000-0005-0000-0000-0000C6320000}"/>
    <cellStyle name="Comma 2 4 21 3 5" xfId="13002" xr:uid="{00000000-0005-0000-0000-0000C7320000}"/>
    <cellStyle name="Comma 2 4 21 3 6" xfId="13003" xr:uid="{00000000-0005-0000-0000-0000C8320000}"/>
    <cellStyle name="Comma 2 4 21 4" xfId="13004" xr:uid="{00000000-0005-0000-0000-0000C9320000}"/>
    <cellStyle name="Comma 2 4 21 4 2" xfId="13005" xr:uid="{00000000-0005-0000-0000-0000CA320000}"/>
    <cellStyle name="Comma 2 4 21 4 2 2" xfId="13006" xr:uid="{00000000-0005-0000-0000-0000CB320000}"/>
    <cellStyle name="Comma 2 4 21 4 3" xfId="13007" xr:uid="{00000000-0005-0000-0000-0000CC320000}"/>
    <cellStyle name="Comma 2 4 21 4 4" xfId="13008" xr:uid="{00000000-0005-0000-0000-0000CD320000}"/>
    <cellStyle name="Comma 2 4 21 4 5" xfId="13009" xr:uid="{00000000-0005-0000-0000-0000CE320000}"/>
    <cellStyle name="Comma 2 4 21 5" xfId="13010" xr:uid="{00000000-0005-0000-0000-0000CF320000}"/>
    <cellStyle name="Comma 2 4 21 5 2" xfId="13011" xr:uid="{00000000-0005-0000-0000-0000D0320000}"/>
    <cellStyle name="Comma 2 4 21 5 3" xfId="13012" xr:uid="{00000000-0005-0000-0000-0000D1320000}"/>
    <cellStyle name="Comma 2 4 21 5 4" xfId="13013" xr:uid="{00000000-0005-0000-0000-0000D2320000}"/>
    <cellStyle name="Comma 2 4 21 6" xfId="13014" xr:uid="{00000000-0005-0000-0000-0000D3320000}"/>
    <cellStyle name="Comma 2 4 21 6 2" xfId="13015" xr:uid="{00000000-0005-0000-0000-0000D4320000}"/>
    <cellStyle name="Comma 2 4 21 7" xfId="13016" xr:uid="{00000000-0005-0000-0000-0000D5320000}"/>
    <cellStyle name="Comma 2 4 21 8" xfId="13017" xr:uid="{00000000-0005-0000-0000-0000D6320000}"/>
    <cellStyle name="Comma 2 4 21 9" xfId="13018" xr:uid="{00000000-0005-0000-0000-0000D7320000}"/>
    <cellStyle name="Comma 2 4 22" xfId="13019" xr:uid="{00000000-0005-0000-0000-0000D8320000}"/>
    <cellStyle name="Comma 2 4 22 10" xfId="13020" xr:uid="{00000000-0005-0000-0000-0000D9320000}"/>
    <cellStyle name="Comma 2 4 22 2" xfId="13021" xr:uid="{00000000-0005-0000-0000-0000DA320000}"/>
    <cellStyle name="Comma 2 4 22 2 2" xfId="13022" xr:uid="{00000000-0005-0000-0000-0000DB320000}"/>
    <cellStyle name="Comma 2 4 22 2 2 2" xfId="13023" xr:uid="{00000000-0005-0000-0000-0000DC320000}"/>
    <cellStyle name="Comma 2 4 22 2 2 3" xfId="13024" xr:uid="{00000000-0005-0000-0000-0000DD320000}"/>
    <cellStyle name="Comma 2 4 22 2 3" xfId="13025" xr:uid="{00000000-0005-0000-0000-0000DE320000}"/>
    <cellStyle name="Comma 2 4 22 2 4" xfId="13026" xr:uid="{00000000-0005-0000-0000-0000DF320000}"/>
    <cellStyle name="Comma 2 4 22 2 5" xfId="13027" xr:uid="{00000000-0005-0000-0000-0000E0320000}"/>
    <cellStyle name="Comma 2 4 22 2 6" xfId="13028" xr:uid="{00000000-0005-0000-0000-0000E1320000}"/>
    <cellStyle name="Comma 2 4 22 3" xfId="13029" xr:uid="{00000000-0005-0000-0000-0000E2320000}"/>
    <cellStyle name="Comma 2 4 22 3 2" xfId="13030" xr:uid="{00000000-0005-0000-0000-0000E3320000}"/>
    <cellStyle name="Comma 2 4 22 3 2 2" xfId="13031" xr:uid="{00000000-0005-0000-0000-0000E4320000}"/>
    <cellStyle name="Comma 2 4 22 3 2 3" xfId="13032" xr:uid="{00000000-0005-0000-0000-0000E5320000}"/>
    <cellStyle name="Comma 2 4 22 3 3" xfId="13033" xr:uid="{00000000-0005-0000-0000-0000E6320000}"/>
    <cellStyle name="Comma 2 4 22 3 4" xfId="13034" xr:uid="{00000000-0005-0000-0000-0000E7320000}"/>
    <cellStyle name="Comma 2 4 22 3 5" xfId="13035" xr:uid="{00000000-0005-0000-0000-0000E8320000}"/>
    <cellStyle name="Comma 2 4 22 3 6" xfId="13036" xr:uid="{00000000-0005-0000-0000-0000E9320000}"/>
    <cellStyle name="Comma 2 4 22 4" xfId="13037" xr:uid="{00000000-0005-0000-0000-0000EA320000}"/>
    <cellStyle name="Comma 2 4 22 4 2" xfId="13038" xr:uid="{00000000-0005-0000-0000-0000EB320000}"/>
    <cellStyle name="Comma 2 4 22 4 2 2" xfId="13039" xr:uid="{00000000-0005-0000-0000-0000EC320000}"/>
    <cellStyle name="Comma 2 4 22 4 3" xfId="13040" xr:uid="{00000000-0005-0000-0000-0000ED320000}"/>
    <cellStyle name="Comma 2 4 22 4 4" xfId="13041" xr:uid="{00000000-0005-0000-0000-0000EE320000}"/>
    <cellStyle name="Comma 2 4 22 4 5" xfId="13042" xr:uid="{00000000-0005-0000-0000-0000EF320000}"/>
    <cellStyle name="Comma 2 4 22 5" xfId="13043" xr:uid="{00000000-0005-0000-0000-0000F0320000}"/>
    <cellStyle name="Comma 2 4 22 5 2" xfId="13044" xr:uid="{00000000-0005-0000-0000-0000F1320000}"/>
    <cellStyle name="Comma 2 4 22 5 3" xfId="13045" xr:uid="{00000000-0005-0000-0000-0000F2320000}"/>
    <cellStyle name="Comma 2 4 22 5 4" xfId="13046" xr:uid="{00000000-0005-0000-0000-0000F3320000}"/>
    <cellStyle name="Comma 2 4 22 6" xfId="13047" xr:uid="{00000000-0005-0000-0000-0000F4320000}"/>
    <cellStyle name="Comma 2 4 22 6 2" xfId="13048" xr:uid="{00000000-0005-0000-0000-0000F5320000}"/>
    <cellStyle name="Comma 2 4 22 7" xfId="13049" xr:uid="{00000000-0005-0000-0000-0000F6320000}"/>
    <cellStyle name="Comma 2 4 22 8" xfId="13050" xr:uid="{00000000-0005-0000-0000-0000F7320000}"/>
    <cellStyle name="Comma 2 4 22 9" xfId="13051" xr:uid="{00000000-0005-0000-0000-0000F8320000}"/>
    <cellStyle name="Comma 2 4 23" xfId="13052" xr:uid="{00000000-0005-0000-0000-0000F9320000}"/>
    <cellStyle name="Comma 2 4 23 10" xfId="13053" xr:uid="{00000000-0005-0000-0000-0000FA320000}"/>
    <cellStyle name="Comma 2 4 23 2" xfId="13054" xr:uid="{00000000-0005-0000-0000-0000FB320000}"/>
    <cellStyle name="Comma 2 4 23 2 2" xfId="13055" xr:uid="{00000000-0005-0000-0000-0000FC320000}"/>
    <cellStyle name="Comma 2 4 23 2 2 2" xfId="13056" xr:uid="{00000000-0005-0000-0000-0000FD320000}"/>
    <cellStyle name="Comma 2 4 23 2 2 3" xfId="13057" xr:uid="{00000000-0005-0000-0000-0000FE320000}"/>
    <cellStyle name="Comma 2 4 23 2 3" xfId="13058" xr:uid="{00000000-0005-0000-0000-0000FF320000}"/>
    <cellStyle name="Comma 2 4 23 2 4" xfId="13059" xr:uid="{00000000-0005-0000-0000-000000330000}"/>
    <cellStyle name="Comma 2 4 23 2 5" xfId="13060" xr:uid="{00000000-0005-0000-0000-000001330000}"/>
    <cellStyle name="Comma 2 4 23 2 6" xfId="13061" xr:uid="{00000000-0005-0000-0000-000002330000}"/>
    <cellStyle name="Comma 2 4 23 3" xfId="13062" xr:uid="{00000000-0005-0000-0000-000003330000}"/>
    <cellStyle name="Comma 2 4 23 3 2" xfId="13063" xr:uid="{00000000-0005-0000-0000-000004330000}"/>
    <cellStyle name="Comma 2 4 23 3 2 2" xfId="13064" xr:uid="{00000000-0005-0000-0000-000005330000}"/>
    <cellStyle name="Comma 2 4 23 3 2 3" xfId="13065" xr:uid="{00000000-0005-0000-0000-000006330000}"/>
    <cellStyle name="Comma 2 4 23 3 3" xfId="13066" xr:uid="{00000000-0005-0000-0000-000007330000}"/>
    <cellStyle name="Comma 2 4 23 3 4" xfId="13067" xr:uid="{00000000-0005-0000-0000-000008330000}"/>
    <cellStyle name="Comma 2 4 23 3 5" xfId="13068" xr:uid="{00000000-0005-0000-0000-000009330000}"/>
    <cellStyle name="Comma 2 4 23 3 6" xfId="13069" xr:uid="{00000000-0005-0000-0000-00000A330000}"/>
    <cellStyle name="Comma 2 4 23 4" xfId="13070" xr:uid="{00000000-0005-0000-0000-00000B330000}"/>
    <cellStyle name="Comma 2 4 23 4 2" xfId="13071" xr:uid="{00000000-0005-0000-0000-00000C330000}"/>
    <cellStyle name="Comma 2 4 23 4 2 2" xfId="13072" xr:uid="{00000000-0005-0000-0000-00000D330000}"/>
    <cellStyle name="Comma 2 4 23 4 3" xfId="13073" xr:uid="{00000000-0005-0000-0000-00000E330000}"/>
    <cellStyle name="Comma 2 4 23 4 4" xfId="13074" xr:uid="{00000000-0005-0000-0000-00000F330000}"/>
    <cellStyle name="Comma 2 4 23 4 5" xfId="13075" xr:uid="{00000000-0005-0000-0000-000010330000}"/>
    <cellStyle name="Comma 2 4 23 5" xfId="13076" xr:uid="{00000000-0005-0000-0000-000011330000}"/>
    <cellStyle name="Comma 2 4 23 5 2" xfId="13077" xr:uid="{00000000-0005-0000-0000-000012330000}"/>
    <cellStyle name="Comma 2 4 23 5 3" xfId="13078" xr:uid="{00000000-0005-0000-0000-000013330000}"/>
    <cellStyle name="Comma 2 4 23 5 4" xfId="13079" xr:uid="{00000000-0005-0000-0000-000014330000}"/>
    <cellStyle name="Comma 2 4 23 6" xfId="13080" xr:uid="{00000000-0005-0000-0000-000015330000}"/>
    <cellStyle name="Comma 2 4 23 6 2" xfId="13081" xr:uid="{00000000-0005-0000-0000-000016330000}"/>
    <cellStyle name="Comma 2 4 23 7" xfId="13082" xr:uid="{00000000-0005-0000-0000-000017330000}"/>
    <cellStyle name="Comma 2 4 23 8" xfId="13083" xr:uid="{00000000-0005-0000-0000-000018330000}"/>
    <cellStyle name="Comma 2 4 23 9" xfId="13084" xr:uid="{00000000-0005-0000-0000-000019330000}"/>
    <cellStyle name="Comma 2 4 24" xfId="13085" xr:uid="{00000000-0005-0000-0000-00001A330000}"/>
    <cellStyle name="Comma 2 4 24 10" xfId="13086" xr:uid="{00000000-0005-0000-0000-00001B330000}"/>
    <cellStyle name="Comma 2 4 24 2" xfId="13087" xr:uid="{00000000-0005-0000-0000-00001C330000}"/>
    <cellStyle name="Comma 2 4 24 2 2" xfId="13088" xr:uid="{00000000-0005-0000-0000-00001D330000}"/>
    <cellStyle name="Comma 2 4 24 2 2 2" xfId="13089" xr:uid="{00000000-0005-0000-0000-00001E330000}"/>
    <cellStyle name="Comma 2 4 24 2 2 3" xfId="13090" xr:uid="{00000000-0005-0000-0000-00001F330000}"/>
    <cellStyle name="Comma 2 4 24 2 3" xfId="13091" xr:uid="{00000000-0005-0000-0000-000020330000}"/>
    <cellStyle name="Comma 2 4 24 2 4" xfId="13092" xr:uid="{00000000-0005-0000-0000-000021330000}"/>
    <cellStyle name="Comma 2 4 24 2 5" xfId="13093" xr:uid="{00000000-0005-0000-0000-000022330000}"/>
    <cellStyle name="Comma 2 4 24 2 6" xfId="13094" xr:uid="{00000000-0005-0000-0000-000023330000}"/>
    <cellStyle name="Comma 2 4 24 3" xfId="13095" xr:uid="{00000000-0005-0000-0000-000024330000}"/>
    <cellStyle name="Comma 2 4 24 3 2" xfId="13096" xr:uid="{00000000-0005-0000-0000-000025330000}"/>
    <cellStyle name="Comma 2 4 24 3 2 2" xfId="13097" xr:uid="{00000000-0005-0000-0000-000026330000}"/>
    <cellStyle name="Comma 2 4 24 3 2 3" xfId="13098" xr:uid="{00000000-0005-0000-0000-000027330000}"/>
    <cellStyle name="Comma 2 4 24 3 3" xfId="13099" xr:uid="{00000000-0005-0000-0000-000028330000}"/>
    <cellStyle name="Comma 2 4 24 3 4" xfId="13100" xr:uid="{00000000-0005-0000-0000-000029330000}"/>
    <cellStyle name="Comma 2 4 24 3 5" xfId="13101" xr:uid="{00000000-0005-0000-0000-00002A330000}"/>
    <cellStyle name="Comma 2 4 24 3 6" xfId="13102" xr:uid="{00000000-0005-0000-0000-00002B330000}"/>
    <cellStyle name="Comma 2 4 24 4" xfId="13103" xr:uid="{00000000-0005-0000-0000-00002C330000}"/>
    <cellStyle name="Comma 2 4 24 4 2" xfId="13104" xr:uid="{00000000-0005-0000-0000-00002D330000}"/>
    <cellStyle name="Comma 2 4 24 4 2 2" xfId="13105" xr:uid="{00000000-0005-0000-0000-00002E330000}"/>
    <cellStyle name="Comma 2 4 24 4 3" xfId="13106" xr:uid="{00000000-0005-0000-0000-00002F330000}"/>
    <cellStyle name="Comma 2 4 24 4 4" xfId="13107" xr:uid="{00000000-0005-0000-0000-000030330000}"/>
    <cellStyle name="Comma 2 4 24 4 5" xfId="13108" xr:uid="{00000000-0005-0000-0000-000031330000}"/>
    <cellStyle name="Comma 2 4 24 5" xfId="13109" xr:uid="{00000000-0005-0000-0000-000032330000}"/>
    <cellStyle name="Comma 2 4 24 5 2" xfId="13110" xr:uid="{00000000-0005-0000-0000-000033330000}"/>
    <cellStyle name="Comma 2 4 24 5 3" xfId="13111" xr:uid="{00000000-0005-0000-0000-000034330000}"/>
    <cellStyle name="Comma 2 4 24 5 4" xfId="13112" xr:uid="{00000000-0005-0000-0000-000035330000}"/>
    <cellStyle name="Comma 2 4 24 6" xfId="13113" xr:uid="{00000000-0005-0000-0000-000036330000}"/>
    <cellStyle name="Comma 2 4 24 6 2" xfId="13114" xr:uid="{00000000-0005-0000-0000-000037330000}"/>
    <cellStyle name="Comma 2 4 24 7" xfId="13115" xr:uid="{00000000-0005-0000-0000-000038330000}"/>
    <cellStyle name="Comma 2 4 24 8" xfId="13116" xr:uid="{00000000-0005-0000-0000-000039330000}"/>
    <cellStyle name="Comma 2 4 24 9" xfId="13117" xr:uid="{00000000-0005-0000-0000-00003A330000}"/>
    <cellStyle name="Comma 2 4 25" xfId="13118" xr:uid="{00000000-0005-0000-0000-00003B330000}"/>
    <cellStyle name="Comma 2 4 25 10" xfId="13119" xr:uid="{00000000-0005-0000-0000-00003C330000}"/>
    <cellStyle name="Comma 2 4 25 2" xfId="13120" xr:uid="{00000000-0005-0000-0000-00003D330000}"/>
    <cellStyle name="Comma 2 4 25 2 2" xfId="13121" xr:uid="{00000000-0005-0000-0000-00003E330000}"/>
    <cellStyle name="Comma 2 4 25 2 2 2" xfId="13122" xr:uid="{00000000-0005-0000-0000-00003F330000}"/>
    <cellStyle name="Comma 2 4 25 2 2 3" xfId="13123" xr:uid="{00000000-0005-0000-0000-000040330000}"/>
    <cellStyle name="Comma 2 4 25 2 3" xfId="13124" xr:uid="{00000000-0005-0000-0000-000041330000}"/>
    <cellStyle name="Comma 2 4 25 2 4" xfId="13125" xr:uid="{00000000-0005-0000-0000-000042330000}"/>
    <cellStyle name="Comma 2 4 25 2 5" xfId="13126" xr:uid="{00000000-0005-0000-0000-000043330000}"/>
    <cellStyle name="Comma 2 4 25 2 6" xfId="13127" xr:uid="{00000000-0005-0000-0000-000044330000}"/>
    <cellStyle name="Comma 2 4 25 3" xfId="13128" xr:uid="{00000000-0005-0000-0000-000045330000}"/>
    <cellStyle name="Comma 2 4 25 3 2" xfId="13129" xr:uid="{00000000-0005-0000-0000-000046330000}"/>
    <cellStyle name="Comma 2 4 25 3 2 2" xfId="13130" xr:uid="{00000000-0005-0000-0000-000047330000}"/>
    <cellStyle name="Comma 2 4 25 3 2 3" xfId="13131" xr:uid="{00000000-0005-0000-0000-000048330000}"/>
    <cellStyle name="Comma 2 4 25 3 3" xfId="13132" xr:uid="{00000000-0005-0000-0000-000049330000}"/>
    <cellStyle name="Comma 2 4 25 3 4" xfId="13133" xr:uid="{00000000-0005-0000-0000-00004A330000}"/>
    <cellStyle name="Comma 2 4 25 3 5" xfId="13134" xr:uid="{00000000-0005-0000-0000-00004B330000}"/>
    <cellStyle name="Comma 2 4 25 3 6" xfId="13135" xr:uid="{00000000-0005-0000-0000-00004C330000}"/>
    <cellStyle name="Comma 2 4 25 4" xfId="13136" xr:uid="{00000000-0005-0000-0000-00004D330000}"/>
    <cellStyle name="Comma 2 4 25 4 2" xfId="13137" xr:uid="{00000000-0005-0000-0000-00004E330000}"/>
    <cellStyle name="Comma 2 4 25 4 2 2" xfId="13138" xr:uid="{00000000-0005-0000-0000-00004F330000}"/>
    <cellStyle name="Comma 2 4 25 4 3" xfId="13139" xr:uid="{00000000-0005-0000-0000-000050330000}"/>
    <cellStyle name="Comma 2 4 25 4 4" xfId="13140" xr:uid="{00000000-0005-0000-0000-000051330000}"/>
    <cellStyle name="Comma 2 4 25 4 5" xfId="13141" xr:uid="{00000000-0005-0000-0000-000052330000}"/>
    <cellStyle name="Comma 2 4 25 5" xfId="13142" xr:uid="{00000000-0005-0000-0000-000053330000}"/>
    <cellStyle name="Comma 2 4 25 5 2" xfId="13143" xr:uid="{00000000-0005-0000-0000-000054330000}"/>
    <cellStyle name="Comma 2 4 25 5 3" xfId="13144" xr:uid="{00000000-0005-0000-0000-000055330000}"/>
    <cellStyle name="Comma 2 4 25 5 4" xfId="13145" xr:uid="{00000000-0005-0000-0000-000056330000}"/>
    <cellStyle name="Comma 2 4 25 6" xfId="13146" xr:uid="{00000000-0005-0000-0000-000057330000}"/>
    <cellStyle name="Comma 2 4 25 6 2" xfId="13147" xr:uid="{00000000-0005-0000-0000-000058330000}"/>
    <cellStyle name="Comma 2 4 25 7" xfId="13148" xr:uid="{00000000-0005-0000-0000-000059330000}"/>
    <cellStyle name="Comma 2 4 25 8" xfId="13149" xr:uid="{00000000-0005-0000-0000-00005A330000}"/>
    <cellStyle name="Comma 2 4 25 9" xfId="13150" xr:uid="{00000000-0005-0000-0000-00005B330000}"/>
    <cellStyle name="Comma 2 4 26" xfId="13151" xr:uid="{00000000-0005-0000-0000-00005C330000}"/>
    <cellStyle name="Comma 2 4 26 10" xfId="13152" xr:uid="{00000000-0005-0000-0000-00005D330000}"/>
    <cellStyle name="Comma 2 4 26 2" xfId="13153" xr:uid="{00000000-0005-0000-0000-00005E330000}"/>
    <cellStyle name="Comma 2 4 26 2 2" xfId="13154" xr:uid="{00000000-0005-0000-0000-00005F330000}"/>
    <cellStyle name="Comma 2 4 26 2 2 2" xfId="13155" xr:uid="{00000000-0005-0000-0000-000060330000}"/>
    <cellStyle name="Comma 2 4 26 2 2 3" xfId="13156" xr:uid="{00000000-0005-0000-0000-000061330000}"/>
    <cellStyle name="Comma 2 4 26 2 3" xfId="13157" xr:uid="{00000000-0005-0000-0000-000062330000}"/>
    <cellStyle name="Comma 2 4 26 2 4" xfId="13158" xr:uid="{00000000-0005-0000-0000-000063330000}"/>
    <cellStyle name="Comma 2 4 26 2 5" xfId="13159" xr:uid="{00000000-0005-0000-0000-000064330000}"/>
    <cellStyle name="Comma 2 4 26 2 6" xfId="13160" xr:uid="{00000000-0005-0000-0000-000065330000}"/>
    <cellStyle name="Comma 2 4 26 3" xfId="13161" xr:uid="{00000000-0005-0000-0000-000066330000}"/>
    <cellStyle name="Comma 2 4 26 3 2" xfId="13162" xr:uid="{00000000-0005-0000-0000-000067330000}"/>
    <cellStyle name="Comma 2 4 26 3 2 2" xfId="13163" xr:uid="{00000000-0005-0000-0000-000068330000}"/>
    <cellStyle name="Comma 2 4 26 3 2 3" xfId="13164" xr:uid="{00000000-0005-0000-0000-000069330000}"/>
    <cellStyle name="Comma 2 4 26 3 3" xfId="13165" xr:uid="{00000000-0005-0000-0000-00006A330000}"/>
    <cellStyle name="Comma 2 4 26 3 4" xfId="13166" xr:uid="{00000000-0005-0000-0000-00006B330000}"/>
    <cellStyle name="Comma 2 4 26 3 5" xfId="13167" xr:uid="{00000000-0005-0000-0000-00006C330000}"/>
    <cellStyle name="Comma 2 4 26 3 6" xfId="13168" xr:uid="{00000000-0005-0000-0000-00006D330000}"/>
    <cellStyle name="Comma 2 4 26 4" xfId="13169" xr:uid="{00000000-0005-0000-0000-00006E330000}"/>
    <cellStyle name="Comma 2 4 26 4 2" xfId="13170" xr:uid="{00000000-0005-0000-0000-00006F330000}"/>
    <cellStyle name="Comma 2 4 26 4 2 2" xfId="13171" xr:uid="{00000000-0005-0000-0000-000070330000}"/>
    <cellStyle name="Comma 2 4 26 4 3" xfId="13172" xr:uid="{00000000-0005-0000-0000-000071330000}"/>
    <cellStyle name="Comma 2 4 26 4 4" xfId="13173" xr:uid="{00000000-0005-0000-0000-000072330000}"/>
    <cellStyle name="Comma 2 4 26 4 5" xfId="13174" xr:uid="{00000000-0005-0000-0000-000073330000}"/>
    <cellStyle name="Comma 2 4 26 5" xfId="13175" xr:uid="{00000000-0005-0000-0000-000074330000}"/>
    <cellStyle name="Comma 2 4 26 5 2" xfId="13176" xr:uid="{00000000-0005-0000-0000-000075330000}"/>
    <cellStyle name="Comma 2 4 26 5 3" xfId="13177" xr:uid="{00000000-0005-0000-0000-000076330000}"/>
    <cellStyle name="Comma 2 4 26 5 4" xfId="13178" xr:uid="{00000000-0005-0000-0000-000077330000}"/>
    <cellStyle name="Comma 2 4 26 6" xfId="13179" xr:uid="{00000000-0005-0000-0000-000078330000}"/>
    <cellStyle name="Comma 2 4 26 6 2" xfId="13180" xr:uid="{00000000-0005-0000-0000-000079330000}"/>
    <cellStyle name="Comma 2 4 26 7" xfId="13181" xr:uid="{00000000-0005-0000-0000-00007A330000}"/>
    <cellStyle name="Comma 2 4 26 8" xfId="13182" xr:uid="{00000000-0005-0000-0000-00007B330000}"/>
    <cellStyle name="Comma 2 4 26 9" xfId="13183" xr:uid="{00000000-0005-0000-0000-00007C330000}"/>
    <cellStyle name="Comma 2 4 27" xfId="13184" xr:uid="{00000000-0005-0000-0000-00007D330000}"/>
    <cellStyle name="Comma 2 4 27 10" xfId="13185" xr:uid="{00000000-0005-0000-0000-00007E330000}"/>
    <cellStyle name="Comma 2 4 27 2" xfId="13186" xr:uid="{00000000-0005-0000-0000-00007F330000}"/>
    <cellStyle name="Comma 2 4 27 2 2" xfId="13187" xr:uid="{00000000-0005-0000-0000-000080330000}"/>
    <cellStyle name="Comma 2 4 27 2 2 2" xfId="13188" xr:uid="{00000000-0005-0000-0000-000081330000}"/>
    <cellStyle name="Comma 2 4 27 2 2 3" xfId="13189" xr:uid="{00000000-0005-0000-0000-000082330000}"/>
    <cellStyle name="Comma 2 4 27 2 3" xfId="13190" xr:uid="{00000000-0005-0000-0000-000083330000}"/>
    <cellStyle name="Comma 2 4 27 2 4" xfId="13191" xr:uid="{00000000-0005-0000-0000-000084330000}"/>
    <cellStyle name="Comma 2 4 27 2 5" xfId="13192" xr:uid="{00000000-0005-0000-0000-000085330000}"/>
    <cellStyle name="Comma 2 4 27 2 6" xfId="13193" xr:uid="{00000000-0005-0000-0000-000086330000}"/>
    <cellStyle name="Comma 2 4 27 3" xfId="13194" xr:uid="{00000000-0005-0000-0000-000087330000}"/>
    <cellStyle name="Comma 2 4 27 3 2" xfId="13195" xr:uid="{00000000-0005-0000-0000-000088330000}"/>
    <cellStyle name="Comma 2 4 27 3 2 2" xfId="13196" xr:uid="{00000000-0005-0000-0000-000089330000}"/>
    <cellStyle name="Comma 2 4 27 3 2 3" xfId="13197" xr:uid="{00000000-0005-0000-0000-00008A330000}"/>
    <cellStyle name="Comma 2 4 27 3 3" xfId="13198" xr:uid="{00000000-0005-0000-0000-00008B330000}"/>
    <cellStyle name="Comma 2 4 27 3 4" xfId="13199" xr:uid="{00000000-0005-0000-0000-00008C330000}"/>
    <cellStyle name="Comma 2 4 27 3 5" xfId="13200" xr:uid="{00000000-0005-0000-0000-00008D330000}"/>
    <cellStyle name="Comma 2 4 27 3 6" xfId="13201" xr:uid="{00000000-0005-0000-0000-00008E330000}"/>
    <cellStyle name="Comma 2 4 27 4" xfId="13202" xr:uid="{00000000-0005-0000-0000-00008F330000}"/>
    <cellStyle name="Comma 2 4 27 4 2" xfId="13203" xr:uid="{00000000-0005-0000-0000-000090330000}"/>
    <cellStyle name="Comma 2 4 27 4 2 2" xfId="13204" xr:uid="{00000000-0005-0000-0000-000091330000}"/>
    <cellStyle name="Comma 2 4 27 4 3" xfId="13205" xr:uid="{00000000-0005-0000-0000-000092330000}"/>
    <cellStyle name="Comma 2 4 27 4 4" xfId="13206" xr:uid="{00000000-0005-0000-0000-000093330000}"/>
    <cellStyle name="Comma 2 4 27 4 5" xfId="13207" xr:uid="{00000000-0005-0000-0000-000094330000}"/>
    <cellStyle name="Comma 2 4 27 5" xfId="13208" xr:uid="{00000000-0005-0000-0000-000095330000}"/>
    <cellStyle name="Comma 2 4 27 5 2" xfId="13209" xr:uid="{00000000-0005-0000-0000-000096330000}"/>
    <cellStyle name="Comma 2 4 27 5 3" xfId="13210" xr:uid="{00000000-0005-0000-0000-000097330000}"/>
    <cellStyle name="Comma 2 4 27 5 4" xfId="13211" xr:uid="{00000000-0005-0000-0000-000098330000}"/>
    <cellStyle name="Comma 2 4 27 6" xfId="13212" xr:uid="{00000000-0005-0000-0000-000099330000}"/>
    <cellStyle name="Comma 2 4 27 6 2" xfId="13213" xr:uid="{00000000-0005-0000-0000-00009A330000}"/>
    <cellStyle name="Comma 2 4 27 7" xfId="13214" xr:uid="{00000000-0005-0000-0000-00009B330000}"/>
    <cellStyle name="Comma 2 4 27 8" xfId="13215" xr:uid="{00000000-0005-0000-0000-00009C330000}"/>
    <cellStyle name="Comma 2 4 27 9" xfId="13216" xr:uid="{00000000-0005-0000-0000-00009D330000}"/>
    <cellStyle name="Comma 2 4 28" xfId="13217" xr:uid="{00000000-0005-0000-0000-00009E330000}"/>
    <cellStyle name="Comma 2 4 28 10" xfId="13218" xr:uid="{00000000-0005-0000-0000-00009F330000}"/>
    <cellStyle name="Comma 2 4 28 2" xfId="13219" xr:uid="{00000000-0005-0000-0000-0000A0330000}"/>
    <cellStyle name="Comma 2 4 28 2 2" xfId="13220" xr:uid="{00000000-0005-0000-0000-0000A1330000}"/>
    <cellStyle name="Comma 2 4 28 2 2 2" xfId="13221" xr:uid="{00000000-0005-0000-0000-0000A2330000}"/>
    <cellStyle name="Comma 2 4 28 2 2 3" xfId="13222" xr:uid="{00000000-0005-0000-0000-0000A3330000}"/>
    <cellStyle name="Comma 2 4 28 2 3" xfId="13223" xr:uid="{00000000-0005-0000-0000-0000A4330000}"/>
    <cellStyle name="Comma 2 4 28 2 4" xfId="13224" xr:uid="{00000000-0005-0000-0000-0000A5330000}"/>
    <cellStyle name="Comma 2 4 28 2 5" xfId="13225" xr:uid="{00000000-0005-0000-0000-0000A6330000}"/>
    <cellStyle name="Comma 2 4 28 2 6" xfId="13226" xr:uid="{00000000-0005-0000-0000-0000A7330000}"/>
    <cellStyle name="Comma 2 4 28 3" xfId="13227" xr:uid="{00000000-0005-0000-0000-0000A8330000}"/>
    <cellStyle name="Comma 2 4 28 3 2" xfId="13228" xr:uid="{00000000-0005-0000-0000-0000A9330000}"/>
    <cellStyle name="Comma 2 4 28 3 2 2" xfId="13229" xr:uid="{00000000-0005-0000-0000-0000AA330000}"/>
    <cellStyle name="Comma 2 4 28 3 2 3" xfId="13230" xr:uid="{00000000-0005-0000-0000-0000AB330000}"/>
    <cellStyle name="Comma 2 4 28 3 3" xfId="13231" xr:uid="{00000000-0005-0000-0000-0000AC330000}"/>
    <cellStyle name="Comma 2 4 28 3 4" xfId="13232" xr:uid="{00000000-0005-0000-0000-0000AD330000}"/>
    <cellStyle name="Comma 2 4 28 3 5" xfId="13233" xr:uid="{00000000-0005-0000-0000-0000AE330000}"/>
    <cellStyle name="Comma 2 4 28 3 6" xfId="13234" xr:uid="{00000000-0005-0000-0000-0000AF330000}"/>
    <cellStyle name="Comma 2 4 28 4" xfId="13235" xr:uid="{00000000-0005-0000-0000-0000B0330000}"/>
    <cellStyle name="Comma 2 4 28 4 2" xfId="13236" xr:uid="{00000000-0005-0000-0000-0000B1330000}"/>
    <cellStyle name="Comma 2 4 28 4 2 2" xfId="13237" xr:uid="{00000000-0005-0000-0000-0000B2330000}"/>
    <cellStyle name="Comma 2 4 28 4 3" xfId="13238" xr:uid="{00000000-0005-0000-0000-0000B3330000}"/>
    <cellStyle name="Comma 2 4 28 4 4" xfId="13239" xr:uid="{00000000-0005-0000-0000-0000B4330000}"/>
    <cellStyle name="Comma 2 4 28 4 5" xfId="13240" xr:uid="{00000000-0005-0000-0000-0000B5330000}"/>
    <cellStyle name="Comma 2 4 28 5" xfId="13241" xr:uid="{00000000-0005-0000-0000-0000B6330000}"/>
    <cellStyle name="Comma 2 4 28 5 2" xfId="13242" xr:uid="{00000000-0005-0000-0000-0000B7330000}"/>
    <cellStyle name="Comma 2 4 28 5 3" xfId="13243" xr:uid="{00000000-0005-0000-0000-0000B8330000}"/>
    <cellStyle name="Comma 2 4 28 5 4" xfId="13244" xr:uid="{00000000-0005-0000-0000-0000B9330000}"/>
    <cellStyle name="Comma 2 4 28 6" xfId="13245" xr:uid="{00000000-0005-0000-0000-0000BA330000}"/>
    <cellStyle name="Comma 2 4 28 6 2" xfId="13246" xr:uid="{00000000-0005-0000-0000-0000BB330000}"/>
    <cellStyle name="Comma 2 4 28 7" xfId="13247" xr:uid="{00000000-0005-0000-0000-0000BC330000}"/>
    <cellStyle name="Comma 2 4 28 8" xfId="13248" xr:uid="{00000000-0005-0000-0000-0000BD330000}"/>
    <cellStyle name="Comma 2 4 28 9" xfId="13249" xr:uid="{00000000-0005-0000-0000-0000BE330000}"/>
    <cellStyle name="Comma 2 4 29" xfId="13250" xr:uid="{00000000-0005-0000-0000-0000BF330000}"/>
    <cellStyle name="Comma 2 4 29 2" xfId="13251" xr:uid="{00000000-0005-0000-0000-0000C0330000}"/>
    <cellStyle name="Comma 2 4 29 2 2" xfId="13252" xr:uid="{00000000-0005-0000-0000-0000C1330000}"/>
    <cellStyle name="Comma 2 4 29 2 2 2" xfId="13253" xr:uid="{00000000-0005-0000-0000-0000C2330000}"/>
    <cellStyle name="Comma 2 4 29 2 2 3" xfId="13254" xr:uid="{00000000-0005-0000-0000-0000C3330000}"/>
    <cellStyle name="Comma 2 4 29 2 3" xfId="13255" xr:uid="{00000000-0005-0000-0000-0000C4330000}"/>
    <cellStyle name="Comma 2 4 29 2 4" xfId="13256" xr:uid="{00000000-0005-0000-0000-0000C5330000}"/>
    <cellStyle name="Comma 2 4 29 2 5" xfId="13257" xr:uid="{00000000-0005-0000-0000-0000C6330000}"/>
    <cellStyle name="Comma 2 4 29 2 6" xfId="13258" xr:uid="{00000000-0005-0000-0000-0000C7330000}"/>
    <cellStyle name="Comma 2 4 29 3" xfId="13259" xr:uid="{00000000-0005-0000-0000-0000C8330000}"/>
    <cellStyle name="Comma 2 4 29 3 2" xfId="13260" xr:uid="{00000000-0005-0000-0000-0000C9330000}"/>
    <cellStyle name="Comma 2 4 29 3 2 2" xfId="13261" xr:uid="{00000000-0005-0000-0000-0000CA330000}"/>
    <cellStyle name="Comma 2 4 29 3 3" xfId="13262" xr:uid="{00000000-0005-0000-0000-0000CB330000}"/>
    <cellStyle name="Comma 2 4 29 3 4" xfId="13263" xr:uid="{00000000-0005-0000-0000-0000CC330000}"/>
    <cellStyle name="Comma 2 4 29 3 5" xfId="13264" xr:uid="{00000000-0005-0000-0000-0000CD330000}"/>
    <cellStyle name="Comma 2 4 29 4" xfId="13265" xr:uid="{00000000-0005-0000-0000-0000CE330000}"/>
    <cellStyle name="Comma 2 4 29 4 2" xfId="13266" xr:uid="{00000000-0005-0000-0000-0000CF330000}"/>
    <cellStyle name="Comma 2 4 29 4 3" xfId="13267" xr:uid="{00000000-0005-0000-0000-0000D0330000}"/>
    <cellStyle name="Comma 2 4 29 4 4" xfId="13268" xr:uid="{00000000-0005-0000-0000-0000D1330000}"/>
    <cellStyle name="Comma 2 4 29 5" xfId="13269" xr:uid="{00000000-0005-0000-0000-0000D2330000}"/>
    <cellStyle name="Comma 2 4 29 5 2" xfId="13270" xr:uid="{00000000-0005-0000-0000-0000D3330000}"/>
    <cellStyle name="Comma 2 4 29 6" xfId="13271" xr:uid="{00000000-0005-0000-0000-0000D4330000}"/>
    <cellStyle name="Comma 2 4 29 7" xfId="13272" xr:uid="{00000000-0005-0000-0000-0000D5330000}"/>
    <cellStyle name="Comma 2 4 29 8" xfId="13273" xr:uid="{00000000-0005-0000-0000-0000D6330000}"/>
    <cellStyle name="Comma 2 4 29 9" xfId="13274" xr:uid="{00000000-0005-0000-0000-0000D7330000}"/>
    <cellStyle name="Comma 2 4 3" xfId="13275" xr:uid="{00000000-0005-0000-0000-0000D8330000}"/>
    <cellStyle name="Comma 2 4 3 10" xfId="13276" xr:uid="{00000000-0005-0000-0000-0000D9330000}"/>
    <cellStyle name="Comma 2 4 3 10 10" xfId="13277" xr:uid="{00000000-0005-0000-0000-0000DA330000}"/>
    <cellStyle name="Comma 2 4 3 10 2" xfId="13278" xr:uid="{00000000-0005-0000-0000-0000DB330000}"/>
    <cellStyle name="Comma 2 4 3 10 2 2" xfId="13279" xr:uid="{00000000-0005-0000-0000-0000DC330000}"/>
    <cellStyle name="Comma 2 4 3 10 2 2 2" xfId="13280" xr:uid="{00000000-0005-0000-0000-0000DD330000}"/>
    <cellStyle name="Comma 2 4 3 10 2 2 3" xfId="13281" xr:uid="{00000000-0005-0000-0000-0000DE330000}"/>
    <cellStyle name="Comma 2 4 3 10 2 3" xfId="13282" xr:uid="{00000000-0005-0000-0000-0000DF330000}"/>
    <cellStyle name="Comma 2 4 3 10 2 4" xfId="13283" xr:uid="{00000000-0005-0000-0000-0000E0330000}"/>
    <cellStyle name="Comma 2 4 3 10 2 5" xfId="13284" xr:uid="{00000000-0005-0000-0000-0000E1330000}"/>
    <cellStyle name="Comma 2 4 3 10 2 6" xfId="13285" xr:uid="{00000000-0005-0000-0000-0000E2330000}"/>
    <cellStyle name="Comma 2 4 3 10 3" xfId="13286" xr:uid="{00000000-0005-0000-0000-0000E3330000}"/>
    <cellStyle name="Comma 2 4 3 10 3 2" xfId="13287" xr:uid="{00000000-0005-0000-0000-0000E4330000}"/>
    <cellStyle name="Comma 2 4 3 10 3 2 2" xfId="13288" xr:uid="{00000000-0005-0000-0000-0000E5330000}"/>
    <cellStyle name="Comma 2 4 3 10 3 2 3" xfId="13289" xr:uid="{00000000-0005-0000-0000-0000E6330000}"/>
    <cellStyle name="Comma 2 4 3 10 3 3" xfId="13290" xr:uid="{00000000-0005-0000-0000-0000E7330000}"/>
    <cellStyle name="Comma 2 4 3 10 3 4" xfId="13291" xr:uid="{00000000-0005-0000-0000-0000E8330000}"/>
    <cellStyle name="Comma 2 4 3 10 3 5" xfId="13292" xr:uid="{00000000-0005-0000-0000-0000E9330000}"/>
    <cellStyle name="Comma 2 4 3 10 3 6" xfId="13293" xr:uid="{00000000-0005-0000-0000-0000EA330000}"/>
    <cellStyle name="Comma 2 4 3 10 4" xfId="13294" xr:uid="{00000000-0005-0000-0000-0000EB330000}"/>
    <cellStyle name="Comma 2 4 3 10 4 2" xfId="13295" xr:uid="{00000000-0005-0000-0000-0000EC330000}"/>
    <cellStyle name="Comma 2 4 3 10 4 2 2" xfId="13296" xr:uid="{00000000-0005-0000-0000-0000ED330000}"/>
    <cellStyle name="Comma 2 4 3 10 4 3" xfId="13297" xr:uid="{00000000-0005-0000-0000-0000EE330000}"/>
    <cellStyle name="Comma 2 4 3 10 4 4" xfId="13298" xr:uid="{00000000-0005-0000-0000-0000EF330000}"/>
    <cellStyle name="Comma 2 4 3 10 4 5" xfId="13299" xr:uid="{00000000-0005-0000-0000-0000F0330000}"/>
    <cellStyle name="Comma 2 4 3 10 5" xfId="13300" xr:uid="{00000000-0005-0000-0000-0000F1330000}"/>
    <cellStyle name="Comma 2 4 3 10 5 2" xfId="13301" xr:uid="{00000000-0005-0000-0000-0000F2330000}"/>
    <cellStyle name="Comma 2 4 3 10 5 3" xfId="13302" xr:uid="{00000000-0005-0000-0000-0000F3330000}"/>
    <cellStyle name="Comma 2 4 3 10 5 4" xfId="13303" xr:uid="{00000000-0005-0000-0000-0000F4330000}"/>
    <cellStyle name="Comma 2 4 3 10 6" xfId="13304" xr:uid="{00000000-0005-0000-0000-0000F5330000}"/>
    <cellStyle name="Comma 2 4 3 10 6 2" xfId="13305" xr:uid="{00000000-0005-0000-0000-0000F6330000}"/>
    <cellStyle name="Comma 2 4 3 10 7" xfId="13306" xr:uid="{00000000-0005-0000-0000-0000F7330000}"/>
    <cellStyle name="Comma 2 4 3 10 8" xfId="13307" xr:uid="{00000000-0005-0000-0000-0000F8330000}"/>
    <cellStyle name="Comma 2 4 3 10 9" xfId="13308" xr:uid="{00000000-0005-0000-0000-0000F9330000}"/>
    <cellStyle name="Comma 2 4 3 11" xfId="13309" xr:uid="{00000000-0005-0000-0000-0000FA330000}"/>
    <cellStyle name="Comma 2 4 3 11 10" xfId="13310" xr:uid="{00000000-0005-0000-0000-0000FB330000}"/>
    <cellStyle name="Comma 2 4 3 11 2" xfId="13311" xr:uid="{00000000-0005-0000-0000-0000FC330000}"/>
    <cellStyle name="Comma 2 4 3 11 2 2" xfId="13312" xr:uid="{00000000-0005-0000-0000-0000FD330000}"/>
    <cellStyle name="Comma 2 4 3 11 2 2 2" xfId="13313" xr:uid="{00000000-0005-0000-0000-0000FE330000}"/>
    <cellStyle name="Comma 2 4 3 11 2 2 3" xfId="13314" xr:uid="{00000000-0005-0000-0000-0000FF330000}"/>
    <cellStyle name="Comma 2 4 3 11 2 3" xfId="13315" xr:uid="{00000000-0005-0000-0000-000000340000}"/>
    <cellStyle name="Comma 2 4 3 11 2 4" xfId="13316" xr:uid="{00000000-0005-0000-0000-000001340000}"/>
    <cellStyle name="Comma 2 4 3 11 2 5" xfId="13317" xr:uid="{00000000-0005-0000-0000-000002340000}"/>
    <cellStyle name="Comma 2 4 3 11 2 6" xfId="13318" xr:uid="{00000000-0005-0000-0000-000003340000}"/>
    <cellStyle name="Comma 2 4 3 11 3" xfId="13319" xr:uid="{00000000-0005-0000-0000-000004340000}"/>
    <cellStyle name="Comma 2 4 3 11 3 2" xfId="13320" xr:uid="{00000000-0005-0000-0000-000005340000}"/>
    <cellStyle name="Comma 2 4 3 11 3 2 2" xfId="13321" xr:uid="{00000000-0005-0000-0000-000006340000}"/>
    <cellStyle name="Comma 2 4 3 11 3 2 3" xfId="13322" xr:uid="{00000000-0005-0000-0000-000007340000}"/>
    <cellStyle name="Comma 2 4 3 11 3 3" xfId="13323" xr:uid="{00000000-0005-0000-0000-000008340000}"/>
    <cellStyle name="Comma 2 4 3 11 3 4" xfId="13324" xr:uid="{00000000-0005-0000-0000-000009340000}"/>
    <cellStyle name="Comma 2 4 3 11 3 5" xfId="13325" xr:uid="{00000000-0005-0000-0000-00000A340000}"/>
    <cellStyle name="Comma 2 4 3 11 3 6" xfId="13326" xr:uid="{00000000-0005-0000-0000-00000B340000}"/>
    <cellStyle name="Comma 2 4 3 11 4" xfId="13327" xr:uid="{00000000-0005-0000-0000-00000C340000}"/>
    <cellStyle name="Comma 2 4 3 11 4 2" xfId="13328" xr:uid="{00000000-0005-0000-0000-00000D340000}"/>
    <cellStyle name="Comma 2 4 3 11 4 2 2" xfId="13329" xr:uid="{00000000-0005-0000-0000-00000E340000}"/>
    <cellStyle name="Comma 2 4 3 11 4 3" xfId="13330" xr:uid="{00000000-0005-0000-0000-00000F340000}"/>
    <cellStyle name="Comma 2 4 3 11 4 4" xfId="13331" xr:uid="{00000000-0005-0000-0000-000010340000}"/>
    <cellStyle name="Comma 2 4 3 11 4 5" xfId="13332" xr:uid="{00000000-0005-0000-0000-000011340000}"/>
    <cellStyle name="Comma 2 4 3 11 5" xfId="13333" xr:uid="{00000000-0005-0000-0000-000012340000}"/>
    <cellStyle name="Comma 2 4 3 11 5 2" xfId="13334" xr:uid="{00000000-0005-0000-0000-000013340000}"/>
    <cellStyle name="Comma 2 4 3 11 5 3" xfId="13335" xr:uid="{00000000-0005-0000-0000-000014340000}"/>
    <cellStyle name="Comma 2 4 3 11 5 4" xfId="13336" xr:uid="{00000000-0005-0000-0000-000015340000}"/>
    <cellStyle name="Comma 2 4 3 11 6" xfId="13337" xr:uid="{00000000-0005-0000-0000-000016340000}"/>
    <cellStyle name="Comma 2 4 3 11 6 2" xfId="13338" xr:uid="{00000000-0005-0000-0000-000017340000}"/>
    <cellStyle name="Comma 2 4 3 11 7" xfId="13339" xr:uid="{00000000-0005-0000-0000-000018340000}"/>
    <cellStyle name="Comma 2 4 3 11 8" xfId="13340" xr:uid="{00000000-0005-0000-0000-000019340000}"/>
    <cellStyle name="Comma 2 4 3 11 9" xfId="13341" xr:uid="{00000000-0005-0000-0000-00001A340000}"/>
    <cellStyle name="Comma 2 4 3 12" xfId="13342" xr:uid="{00000000-0005-0000-0000-00001B340000}"/>
    <cellStyle name="Comma 2 4 3 12 10" xfId="13343" xr:uid="{00000000-0005-0000-0000-00001C340000}"/>
    <cellStyle name="Comma 2 4 3 12 2" xfId="13344" xr:uid="{00000000-0005-0000-0000-00001D340000}"/>
    <cellStyle name="Comma 2 4 3 12 2 2" xfId="13345" xr:uid="{00000000-0005-0000-0000-00001E340000}"/>
    <cellStyle name="Comma 2 4 3 12 2 2 2" xfId="13346" xr:uid="{00000000-0005-0000-0000-00001F340000}"/>
    <cellStyle name="Comma 2 4 3 12 2 2 3" xfId="13347" xr:uid="{00000000-0005-0000-0000-000020340000}"/>
    <cellStyle name="Comma 2 4 3 12 2 3" xfId="13348" xr:uid="{00000000-0005-0000-0000-000021340000}"/>
    <cellStyle name="Comma 2 4 3 12 2 4" xfId="13349" xr:uid="{00000000-0005-0000-0000-000022340000}"/>
    <cellStyle name="Comma 2 4 3 12 2 5" xfId="13350" xr:uid="{00000000-0005-0000-0000-000023340000}"/>
    <cellStyle name="Comma 2 4 3 12 2 6" xfId="13351" xr:uid="{00000000-0005-0000-0000-000024340000}"/>
    <cellStyle name="Comma 2 4 3 12 3" xfId="13352" xr:uid="{00000000-0005-0000-0000-000025340000}"/>
    <cellStyle name="Comma 2 4 3 12 3 2" xfId="13353" xr:uid="{00000000-0005-0000-0000-000026340000}"/>
    <cellStyle name="Comma 2 4 3 12 3 2 2" xfId="13354" xr:uid="{00000000-0005-0000-0000-000027340000}"/>
    <cellStyle name="Comma 2 4 3 12 3 2 3" xfId="13355" xr:uid="{00000000-0005-0000-0000-000028340000}"/>
    <cellStyle name="Comma 2 4 3 12 3 3" xfId="13356" xr:uid="{00000000-0005-0000-0000-000029340000}"/>
    <cellStyle name="Comma 2 4 3 12 3 4" xfId="13357" xr:uid="{00000000-0005-0000-0000-00002A340000}"/>
    <cellStyle name="Comma 2 4 3 12 3 5" xfId="13358" xr:uid="{00000000-0005-0000-0000-00002B340000}"/>
    <cellStyle name="Comma 2 4 3 12 3 6" xfId="13359" xr:uid="{00000000-0005-0000-0000-00002C340000}"/>
    <cellStyle name="Comma 2 4 3 12 4" xfId="13360" xr:uid="{00000000-0005-0000-0000-00002D340000}"/>
    <cellStyle name="Comma 2 4 3 12 4 2" xfId="13361" xr:uid="{00000000-0005-0000-0000-00002E340000}"/>
    <cellStyle name="Comma 2 4 3 12 4 2 2" xfId="13362" xr:uid="{00000000-0005-0000-0000-00002F340000}"/>
    <cellStyle name="Comma 2 4 3 12 4 3" xfId="13363" xr:uid="{00000000-0005-0000-0000-000030340000}"/>
    <cellStyle name="Comma 2 4 3 12 4 4" xfId="13364" xr:uid="{00000000-0005-0000-0000-000031340000}"/>
    <cellStyle name="Comma 2 4 3 12 4 5" xfId="13365" xr:uid="{00000000-0005-0000-0000-000032340000}"/>
    <cellStyle name="Comma 2 4 3 12 5" xfId="13366" xr:uid="{00000000-0005-0000-0000-000033340000}"/>
    <cellStyle name="Comma 2 4 3 12 5 2" xfId="13367" xr:uid="{00000000-0005-0000-0000-000034340000}"/>
    <cellStyle name="Comma 2 4 3 12 5 3" xfId="13368" xr:uid="{00000000-0005-0000-0000-000035340000}"/>
    <cellStyle name="Comma 2 4 3 12 5 4" xfId="13369" xr:uid="{00000000-0005-0000-0000-000036340000}"/>
    <cellStyle name="Comma 2 4 3 12 6" xfId="13370" xr:uid="{00000000-0005-0000-0000-000037340000}"/>
    <cellStyle name="Comma 2 4 3 12 6 2" xfId="13371" xr:uid="{00000000-0005-0000-0000-000038340000}"/>
    <cellStyle name="Comma 2 4 3 12 7" xfId="13372" xr:uid="{00000000-0005-0000-0000-000039340000}"/>
    <cellStyle name="Comma 2 4 3 12 8" xfId="13373" xr:uid="{00000000-0005-0000-0000-00003A340000}"/>
    <cellStyle name="Comma 2 4 3 12 9" xfId="13374" xr:uid="{00000000-0005-0000-0000-00003B340000}"/>
    <cellStyle name="Comma 2 4 3 13" xfId="13375" xr:uid="{00000000-0005-0000-0000-00003C340000}"/>
    <cellStyle name="Comma 2 4 3 13 2" xfId="13376" xr:uid="{00000000-0005-0000-0000-00003D340000}"/>
    <cellStyle name="Comma 2 4 3 13 2 2" xfId="13377" xr:uid="{00000000-0005-0000-0000-00003E340000}"/>
    <cellStyle name="Comma 2 4 3 13 2 2 2" xfId="13378" xr:uid="{00000000-0005-0000-0000-00003F340000}"/>
    <cellStyle name="Comma 2 4 3 13 2 2 3" xfId="13379" xr:uid="{00000000-0005-0000-0000-000040340000}"/>
    <cellStyle name="Comma 2 4 3 13 2 3" xfId="13380" xr:uid="{00000000-0005-0000-0000-000041340000}"/>
    <cellStyle name="Comma 2 4 3 13 2 4" xfId="13381" xr:uid="{00000000-0005-0000-0000-000042340000}"/>
    <cellStyle name="Comma 2 4 3 13 2 5" xfId="13382" xr:uid="{00000000-0005-0000-0000-000043340000}"/>
    <cellStyle name="Comma 2 4 3 13 2 6" xfId="13383" xr:uid="{00000000-0005-0000-0000-000044340000}"/>
    <cellStyle name="Comma 2 4 3 13 3" xfId="13384" xr:uid="{00000000-0005-0000-0000-000045340000}"/>
    <cellStyle name="Comma 2 4 3 13 3 2" xfId="13385" xr:uid="{00000000-0005-0000-0000-000046340000}"/>
    <cellStyle name="Comma 2 4 3 13 3 2 2" xfId="13386" xr:uid="{00000000-0005-0000-0000-000047340000}"/>
    <cellStyle name="Comma 2 4 3 13 3 3" xfId="13387" xr:uid="{00000000-0005-0000-0000-000048340000}"/>
    <cellStyle name="Comma 2 4 3 13 3 4" xfId="13388" xr:uid="{00000000-0005-0000-0000-000049340000}"/>
    <cellStyle name="Comma 2 4 3 13 3 5" xfId="13389" xr:uid="{00000000-0005-0000-0000-00004A340000}"/>
    <cellStyle name="Comma 2 4 3 13 4" xfId="13390" xr:uid="{00000000-0005-0000-0000-00004B340000}"/>
    <cellStyle name="Comma 2 4 3 13 4 2" xfId="13391" xr:uid="{00000000-0005-0000-0000-00004C340000}"/>
    <cellStyle name="Comma 2 4 3 13 4 3" xfId="13392" xr:uid="{00000000-0005-0000-0000-00004D340000}"/>
    <cellStyle name="Comma 2 4 3 13 4 4" xfId="13393" xr:uid="{00000000-0005-0000-0000-00004E340000}"/>
    <cellStyle name="Comma 2 4 3 13 5" xfId="13394" xr:uid="{00000000-0005-0000-0000-00004F340000}"/>
    <cellStyle name="Comma 2 4 3 13 5 2" xfId="13395" xr:uid="{00000000-0005-0000-0000-000050340000}"/>
    <cellStyle name="Comma 2 4 3 13 6" xfId="13396" xr:uid="{00000000-0005-0000-0000-000051340000}"/>
    <cellStyle name="Comma 2 4 3 13 7" xfId="13397" xr:uid="{00000000-0005-0000-0000-000052340000}"/>
    <cellStyle name="Comma 2 4 3 13 8" xfId="13398" xr:uid="{00000000-0005-0000-0000-000053340000}"/>
    <cellStyle name="Comma 2 4 3 13 9" xfId="13399" xr:uid="{00000000-0005-0000-0000-000054340000}"/>
    <cellStyle name="Comma 2 4 3 14" xfId="13400" xr:uid="{00000000-0005-0000-0000-000055340000}"/>
    <cellStyle name="Comma 2 4 3 14 2" xfId="13401" xr:uid="{00000000-0005-0000-0000-000056340000}"/>
    <cellStyle name="Comma 2 4 3 14 2 2" xfId="13402" xr:uid="{00000000-0005-0000-0000-000057340000}"/>
    <cellStyle name="Comma 2 4 3 14 2 2 2" xfId="13403" xr:uid="{00000000-0005-0000-0000-000058340000}"/>
    <cellStyle name="Comma 2 4 3 14 2 2 3" xfId="13404" xr:uid="{00000000-0005-0000-0000-000059340000}"/>
    <cellStyle name="Comma 2 4 3 14 2 3" xfId="13405" xr:uid="{00000000-0005-0000-0000-00005A340000}"/>
    <cellStyle name="Comma 2 4 3 14 2 4" xfId="13406" xr:uid="{00000000-0005-0000-0000-00005B340000}"/>
    <cellStyle name="Comma 2 4 3 14 2 5" xfId="13407" xr:uid="{00000000-0005-0000-0000-00005C340000}"/>
    <cellStyle name="Comma 2 4 3 14 2 6" xfId="13408" xr:uid="{00000000-0005-0000-0000-00005D340000}"/>
    <cellStyle name="Comma 2 4 3 14 3" xfId="13409" xr:uid="{00000000-0005-0000-0000-00005E340000}"/>
    <cellStyle name="Comma 2 4 3 14 3 2" xfId="13410" xr:uid="{00000000-0005-0000-0000-00005F340000}"/>
    <cellStyle name="Comma 2 4 3 14 3 2 2" xfId="13411" xr:uid="{00000000-0005-0000-0000-000060340000}"/>
    <cellStyle name="Comma 2 4 3 14 3 3" xfId="13412" xr:uid="{00000000-0005-0000-0000-000061340000}"/>
    <cellStyle name="Comma 2 4 3 14 3 4" xfId="13413" xr:uid="{00000000-0005-0000-0000-000062340000}"/>
    <cellStyle name="Comma 2 4 3 14 3 5" xfId="13414" xr:uid="{00000000-0005-0000-0000-000063340000}"/>
    <cellStyle name="Comma 2 4 3 14 4" xfId="13415" xr:uid="{00000000-0005-0000-0000-000064340000}"/>
    <cellStyle name="Comma 2 4 3 14 4 2" xfId="13416" xr:uid="{00000000-0005-0000-0000-000065340000}"/>
    <cellStyle name="Comma 2 4 3 14 4 3" xfId="13417" xr:uid="{00000000-0005-0000-0000-000066340000}"/>
    <cellStyle name="Comma 2 4 3 14 4 4" xfId="13418" xr:uid="{00000000-0005-0000-0000-000067340000}"/>
    <cellStyle name="Comma 2 4 3 14 5" xfId="13419" xr:uid="{00000000-0005-0000-0000-000068340000}"/>
    <cellStyle name="Comma 2 4 3 14 5 2" xfId="13420" xr:uid="{00000000-0005-0000-0000-000069340000}"/>
    <cellStyle name="Comma 2 4 3 14 6" xfId="13421" xr:uid="{00000000-0005-0000-0000-00006A340000}"/>
    <cellStyle name="Comma 2 4 3 14 7" xfId="13422" xr:uid="{00000000-0005-0000-0000-00006B340000}"/>
    <cellStyle name="Comma 2 4 3 14 8" xfId="13423" xr:uid="{00000000-0005-0000-0000-00006C340000}"/>
    <cellStyle name="Comma 2 4 3 14 9" xfId="13424" xr:uid="{00000000-0005-0000-0000-00006D340000}"/>
    <cellStyle name="Comma 2 4 3 15" xfId="13425" xr:uid="{00000000-0005-0000-0000-00006E340000}"/>
    <cellStyle name="Comma 2 4 3 15 2" xfId="13426" xr:uid="{00000000-0005-0000-0000-00006F340000}"/>
    <cellStyle name="Comma 2 4 3 15 2 2" xfId="13427" xr:uid="{00000000-0005-0000-0000-000070340000}"/>
    <cellStyle name="Comma 2 4 3 15 2 3" xfId="13428" xr:uid="{00000000-0005-0000-0000-000071340000}"/>
    <cellStyle name="Comma 2 4 3 15 3" xfId="13429" xr:uid="{00000000-0005-0000-0000-000072340000}"/>
    <cellStyle name="Comma 2 4 3 15 4" xfId="13430" xr:uid="{00000000-0005-0000-0000-000073340000}"/>
    <cellStyle name="Comma 2 4 3 15 5" xfId="13431" xr:uid="{00000000-0005-0000-0000-000074340000}"/>
    <cellStyle name="Comma 2 4 3 15 6" xfId="13432" xr:uid="{00000000-0005-0000-0000-000075340000}"/>
    <cellStyle name="Comma 2 4 3 16" xfId="13433" xr:uid="{00000000-0005-0000-0000-000076340000}"/>
    <cellStyle name="Comma 2 4 3 16 2" xfId="13434" xr:uid="{00000000-0005-0000-0000-000077340000}"/>
    <cellStyle name="Comma 2 4 3 16 2 2" xfId="13435" xr:uid="{00000000-0005-0000-0000-000078340000}"/>
    <cellStyle name="Comma 2 4 3 16 3" xfId="13436" xr:uid="{00000000-0005-0000-0000-000079340000}"/>
    <cellStyle name="Comma 2 4 3 16 4" xfId="13437" xr:uid="{00000000-0005-0000-0000-00007A340000}"/>
    <cellStyle name="Comma 2 4 3 16 5" xfId="13438" xr:uid="{00000000-0005-0000-0000-00007B340000}"/>
    <cellStyle name="Comma 2 4 3 17" xfId="13439" xr:uid="{00000000-0005-0000-0000-00007C340000}"/>
    <cellStyle name="Comma 2 4 3 17 2" xfId="13440" xr:uid="{00000000-0005-0000-0000-00007D340000}"/>
    <cellStyle name="Comma 2 4 3 17 2 2" xfId="13441" xr:uid="{00000000-0005-0000-0000-00007E340000}"/>
    <cellStyle name="Comma 2 4 3 17 3" xfId="13442" xr:uid="{00000000-0005-0000-0000-00007F340000}"/>
    <cellStyle name="Comma 2 4 3 17 4" xfId="13443" xr:uid="{00000000-0005-0000-0000-000080340000}"/>
    <cellStyle name="Comma 2 4 3 17 5" xfId="13444" xr:uid="{00000000-0005-0000-0000-000081340000}"/>
    <cellStyle name="Comma 2 4 3 18" xfId="13445" xr:uid="{00000000-0005-0000-0000-000082340000}"/>
    <cellStyle name="Comma 2 4 3 18 2" xfId="13446" xr:uid="{00000000-0005-0000-0000-000083340000}"/>
    <cellStyle name="Comma 2 4 3 19" xfId="13447" xr:uid="{00000000-0005-0000-0000-000084340000}"/>
    <cellStyle name="Comma 2 4 3 2" xfId="13448" xr:uid="{00000000-0005-0000-0000-000085340000}"/>
    <cellStyle name="Comma 2 4 3 2 10" xfId="13449" xr:uid="{00000000-0005-0000-0000-000086340000}"/>
    <cellStyle name="Comma 2 4 3 2 11" xfId="13450" xr:uid="{00000000-0005-0000-0000-000087340000}"/>
    <cellStyle name="Comma 2 4 3 2 2" xfId="13451" xr:uid="{00000000-0005-0000-0000-000088340000}"/>
    <cellStyle name="Comma 2 4 3 2 2 2" xfId="13452" xr:uid="{00000000-0005-0000-0000-000089340000}"/>
    <cellStyle name="Comma 2 4 3 2 2 2 2" xfId="13453" xr:uid="{00000000-0005-0000-0000-00008A340000}"/>
    <cellStyle name="Comma 2 4 3 2 2 2 2 2" xfId="13454" xr:uid="{00000000-0005-0000-0000-00008B340000}"/>
    <cellStyle name="Comma 2 4 3 2 2 2 2 3" xfId="13455" xr:uid="{00000000-0005-0000-0000-00008C340000}"/>
    <cellStyle name="Comma 2 4 3 2 2 2 3" xfId="13456" xr:uid="{00000000-0005-0000-0000-00008D340000}"/>
    <cellStyle name="Comma 2 4 3 2 2 2 4" xfId="13457" xr:uid="{00000000-0005-0000-0000-00008E340000}"/>
    <cellStyle name="Comma 2 4 3 2 2 2 5" xfId="13458" xr:uid="{00000000-0005-0000-0000-00008F340000}"/>
    <cellStyle name="Comma 2 4 3 2 2 2 6" xfId="13459" xr:uid="{00000000-0005-0000-0000-000090340000}"/>
    <cellStyle name="Comma 2 4 3 2 2 3" xfId="13460" xr:uid="{00000000-0005-0000-0000-000091340000}"/>
    <cellStyle name="Comma 2 4 3 2 2 3 2" xfId="13461" xr:uid="{00000000-0005-0000-0000-000092340000}"/>
    <cellStyle name="Comma 2 4 3 2 2 3 2 2" xfId="13462" xr:uid="{00000000-0005-0000-0000-000093340000}"/>
    <cellStyle name="Comma 2 4 3 2 2 3 3" xfId="13463" xr:uid="{00000000-0005-0000-0000-000094340000}"/>
    <cellStyle name="Comma 2 4 3 2 2 3 4" xfId="13464" xr:uid="{00000000-0005-0000-0000-000095340000}"/>
    <cellStyle name="Comma 2 4 3 2 2 3 5" xfId="13465" xr:uid="{00000000-0005-0000-0000-000096340000}"/>
    <cellStyle name="Comma 2 4 3 2 2 4" xfId="13466" xr:uid="{00000000-0005-0000-0000-000097340000}"/>
    <cellStyle name="Comma 2 4 3 2 2 4 2" xfId="13467" xr:uid="{00000000-0005-0000-0000-000098340000}"/>
    <cellStyle name="Comma 2 4 3 2 2 4 3" xfId="13468" xr:uid="{00000000-0005-0000-0000-000099340000}"/>
    <cellStyle name="Comma 2 4 3 2 2 4 4" xfId="13469" xr:uid="{00000000-0005-0000-0000-00009A340000}"/>
    <cellStyle name="Comma 2 4 3 2 2 5" xfId="13470" xr:uid="{00000000-0005-0000-0000-00009B340000}"/>
    <cellStyle name="Comma 2 4 3 2 2 5 2" xfId="13471" xr:uid="{00000000-0005-0000-0000-00009C340000}"/>
    <cellStyle name="Comma 2 4 3 2 2 6" xfId="13472" xr:uid="{00000000-0005-0000-0000-00009D340000}"/>
    <cellStyle name="Comma 2 4 3 2 2 7" xfId="13473" xr:uid="{00000000-0005-0000-0000-00009E340000}"/>
    <cellStyle name="Comma 2 4 3 2 2 8" xfId="13474" xr:uid="{00000000-0005-0000-0000-00009F340000}"/>
    <cellStyle name="Comma 2 4 3 2 2 9" xfId="13475" xr:uid="{00000000-0005-0000-0000-0000A0340000}"/>
    <cellStyle name="Comma 2 4 3 2 3" xfId="13476" xr:uid="{00000000-0005-0000-0000-0000A1340000}"/>
    <cellStyle name="Comma 2 4 3 2 3 2" xfId="13477" xr:uid="{00000000-0005-0000-0000-0000A2340000}"/>
    <cellStyle name="Comma 2 4 3 2 3 2 2" xfId="13478" xr:uid="{00000000-0005-0000-0000-0000A3340000}"/>
    <cellStyle name="Comma 2 4 3 2 3 2 2 2" xfId="13479" xr:uid="{00000000-0005-0000-0000-0000A4340000}"/>
    <cellStyle name="Comma 2 4 3 2 3 2 2 3" xfId="13480" xr:uid="{00000000-0005-0000-0000-0000A5340000}"/>
    <cellStyle name="Comma 2 4 3 2 3 2 3" xfId="13481" xr:uid="{00000000-0005-0000-0000-0000A6340000}"/>
    <cellStyle name="Comma 2 4 3 2 3 2 4" xfId="13482" xr:uid="{00000000-0005-0000-0000-0000A7340000}"/>
    <cellStyle name="Comma 2 4 3 2 3 2 5" xfId="13483" xr:uid="{00000000-0005-0000-0000-0000A8340000}"/>
    <cellStyle name="Comma 2 4 3 2 3 2 6" xfId="13484" xr:uid="{00000000-0005-0000-0000-0000A9340000}"/>
    <cellStyle name="Comma 2 4 3 2 3 3" xfId="13485" xr:uid="{00000000-0005-0000-0000-0000AA340000}"/>
    <cellStyle name="Comma 2 4 3 2 3 3 2" xfId="13486" xr:uid="{00000000-0005-0000-0000-0000AB340000}"/>
    <cellStyle name="Comma 2 4 3 2 3 3 2 2" xfId="13487" xr:uid="{00000000-0005-0000-0000-0000AC340000}"/>
    <cellStyle name="Comma 2 4 3 2 3 3 3" xfId="13488" xr:uid="{00000000-0005-0000-0000-0000AD340000}"/>
    <cellStyle name="Comma 2 4 3 2 3 3 4" xfId="13489" xr:uid="{00000000-0005-0000-0000-0000AE340000}"/>
    <cellStyle name="Comma 2 4 3 2 3 3 5" xfId="13490" xr:uid="{00000000-0005-0000-0000-0000AF340000}"/>
    <cellStyle name="Comma 2 4 3 2 3 4" xfId="13491" xr:uid="{00000000-0005-0000-0000-0000B0340000}"/>
    <cellStyle name="Comma 2 4 3 2 3 4 2" xfId="13492" xr:uid="{00000000-0005-0000-0000-0000B1340000}"/>
    <cellStyle name="Comma 2 4 3 2 3 4 3" xfId="13493" xr:uid="{00000000-0005-0000-0000-0000B2340000}"/>
    <cellStyle name="Comma 2 4 3 2 3 4 4" xfId="13494" xr:uid="{00000000-0005-0000-0000-0000B3340000}"/>
    <cellStyle name="Comma 2 4 3 2 3 5" xfId="13495" xr:uid="{00000000-0005-0000-0000-0000B4340000}"/>
    <cellStyle name="Comma 2 4 3 2 3 5 2" xfId="13496" xr:uid="{00000000-0005-0000-0000-0000B5340000}"/>
    <cellStyle name="Comma 2 4 3 2 3 6" xfId="13497" xr:uid="{00000000-0005-0000-0000-0000B6340000}"/>
    <cellStyle name="Comma 2 4 3 2 3 7" xfId="13498" xr:uid="{00000000-0005-0000-0000-0000B7340000}"/>
    <cellStyle name="Comma 2 4 3 2 3 8" xfId="13499" xr:uid="{00000000-0005-0000-0000-0000B8340000}"/>
    <cellStyle name="Comma 2 4 3 2 3 9" xfId="13500" xr:uid="{00000000-0005-0000-0000-0000B9340000}"/>
    <cellStyle name="Comma 2 4 3 2 4" xfId="13501" xr:uid="{00000000-0005-0000-0000-0000BA340000}"/>
    <cellStyle name="Comma 2 4 3 2 4 2" xfId="13502" xr:uid="{00000000-0005-0000-0000-0000BB340000}"/>
    <cellStyle name="Comma 2 4 3 2 4 2 2" xfId="13503" xr:uid="{00000000-0005-0000-0000-0000BC340000}"/>
    <cellStyle name="Comma 2 4 3 2 4 2 3" xfId="13504" xr:uid="{00000000-0005-0000-0000-0000BD340000}"/>
    <cellStyle name="Comma 2 4 3 2 4 3" xfId="13505" xr:uid="{00000000-0005-0000-0000-0000BE340000}"/>
    <cellStyle name="Comma 2 4 3 2 4 4" xfId="13506" xr:uid="{00000000-0005-0000-0000-0000BF340000}"/>
    <cellStyle name="Comma 2 4 3 2 4 5" xfId="13507" xr:uid="{00000000-0005-0000-0000-0000C0340000}"/>
    <cellStyle name="Comma 2 4 3 2 4 6" xfId="13508" xr:uid="{00000000-0005-0000-0000-0000C1340000}"/>
    <cellStyle name="Comma 2 4 3 2 5" xfId="13509" xr:uid="{00000000-0005-0000-0000-0000C2340000}"/>
    <cellStyle name="Comma 2 4 3 2 5 2" xfId="13510" xr:uid="{00000000-0005-0000-0000-0000C3340000}"/>
    <cellStyle name="Comma 2 4 3 2 5 2 2" xfId="13511" xr:uid="{00000000-0005-0000-0000-0000C4340000}"/>
    <cellStyle name="Comma 2 4 3 2 5 3" xfId="13512" xr:uid="{00000000-0005-0000-0000-0000C5340000}"/>
    <cellStyle name="Comma 2 4 3 2 5 4" xfId="13513" xr:uid="{00000000-0005-0000-0000-0000C6340000}"/>
    <cellStyle name="Comma 2 4 3 2 5 5" xfId="13514" xr:uid="{00000000-0005-0000-0000-0000C7340000}"/>
    <cellStyle name="Comma 2 4 3 2 6" xfId="13515" xr:uid="{00000000-0005-0000-0000-0000C8340000}"/>
    <cellStyle name="Comma 2 4 3 2 6 2" xfId="13516" xr:uid="{00000000-0005-0000-0000-0000C9340000}"/>
    <cellStyle name="Comma 2 4 3 2 6 3" xfId="13517" xr:uid="{00000000-0005-0000-0000-0000CA340000}"/>
    <cellStyle name="Comma 2 4 3 2 6 4" xfId="13518" xr:uid="{00000000-0005-0000-0000-0000CB340000}"/>
    <cellStyle name="Comma 2 4 3 2 7" xfId="13519" xr:uid="{00000000-0005-0000-0000-0000CC340000}"/>
    <cellStyle name="Comma 2 4 3 2 7 2" xfId="13520" xr:uid="{00000000-0005-0000-0000-0000CD340000}"/>
    <cellStyle name="Comma 2 4 3 2 8" xfId="13521" xr:uid="{00000000-0005-0000-0000-0000CE340000}"/>
    <cellStyle name="Comma 2 4 3 2 9" xfId="13522" xr:uid="{00000000-0005-0000-0000-0000CF340000}"/>
    <cellStyle name="Comma 2 4 3 20" xfId="13523" xr:uid="{00000000-0005-0000-0000-0000D0340000}"/>
    <cellStyle name="Comma 2 4 3 21" xfId="13524" xr:uid="{00000000-0005-0000-0000-0000D1340000}"/>
    <cellStyle name="Comma 2 4 3 22" xfId="13525" xr:uid="{00000000-0005-0000-0000-0000D2340000}"/>
    <cellStyle name="Comma 2 4 3 3" xfId="13526" xr:uid="{00000000-0005-0000-0000-0000D3340000}"/>
    <cellStyle name="Comma 2 4 3 3 10" xfId="13527" xr:uid="{00000000-0005-0000-0000-0000D4340000}"/>
    <cellStyle name="Comma 2 4 3 3 11" xfId="13528" xr:uid="{00000000-0005-0000-0000-0000D5340000}"/>
    <cellStyle name="Comma 2 4 3 3 2" xfId="13529" xr:uid="{00000000-0005-0000-0000-0000D6340000}"/>
    <cellStyle name="Comma 2 4 3 3 2 2" xfId="13530" xr:uid="{00000000-0005-0000-0000-0000D7340000}"/>
    <cellStyle name="Comma 2 4 3 3 2 2 2" xfId="13531" xr:uid="{00000000-0005-0000-0000-0000D8340000}"/>
    <cellStyle name="Comma 2 4 3 3 2 2 2 2" xfId="13532" xr:uid="{00000000-0005-0000-0000-0000D9340000}"/>
    <cellStyle name="Comma 2 4 3 3 2 2 2 3" xfId="13533" xr:uid="{00000000-0005-0000-0000-0000DA340000}"/>
    <cellStyle name="Comma 2 4 3 3 2 2 3" xfId="13534" xr:uid="{00000000-0005-0000-0000-0000DB340000}"/>
    <cellStyle name="Comma 2 4 3 3 2 2 4" xfId="13535" xr:uid="{00000000-0005-0000-0000-0000DC340000}"/>
    <cellStyle name="Comma 2 4 3 3 2 2 5" xfId="13536" xr:uid="{00000000-0005-0000-0000-0000DD340000}"/>
    <cellStyle name="Comma 2 4 3 3 2 2 6" xfId="13537" xr:uid="{00000000-0005-0000-0000-0000DE340000}"/>
    <cellStyle name="Comma 2 4 3 3 2 3" xfId="13538" xr:uid="{00000000-0005-0000-0000-0000DF340000}"/>
    <cellStyle name="Comma 2 4 3 3 2 3 2" xfId="13539" xr:uid="{00000000-0005-0000-0000-0000E0340000}"/>
    <cellStyle name="Comma 2 4 3 3 2 3 2 2" xfId="13540" xr:uid="{00000000-0005-0000-0000-0000E1340000}"/>
    <cellStyle name="Comma 2 4 3 3 2 3 3" xfId="13541" xr:uid="{00000000-0005-0000-0000-0000E2340000}"/>
    <cellStyle name="Comma 2 4 3 3 2 3 4" xfId="13542" xr:uid="{00000000-0005-0000-0000-0000E3340000}"/>
    <cellStyle name="Comma 2 4 3 3 2 3 5" xfId="13543" xr:uid="{00000000-0005-0000-0000-0000E4340000}"/>
    <cellStyle name="Comma 2 4 3 3 2 4" xfId="13544" xr:uid="{00000000-0005-0000-0000-0000E5340000}"/>
    <cellStyle name="Comma 2 4 3 3 2 4 2" xfId="13545" xr:uid="{00000000-0005-0000-0000-0000E6340000}"/>
    <cellStyle name="Comma 2 4 3 3 2 4 3" xfId="13546" xr:uid="{00000000-0005-0000-0000-0000E7340000}"/>
    <cellStyle name="Comma 2 4 3 3 2 4 4" xfId="13547" xr:uid="{00000000-0005-0000-0000-0000E8340000}"/>
    <cellStyle name="Comma 2 4 3 3 2 5" xfId="13548" xr:uid="{00000000-0005-0000-0000-0000E9340000}"/>
    <cellStyle name="Comma 2 4 3 3 2 5 2" xfId="13549" xr:uid="{00000000-0005-0000-0000-0000EA340000}"/>
    <cellStyle name="Comma 2 4 3 3 2 6" xfId="13550" xr:uid="{00000000-0005-0000-0000-0000EB340000}"/>
    <cellStyle name="Comma 2 4 3 3 2 7" xfId="13551" xr:uid="{00000000-0005-0000-0000-0000EC340000}"/>
    <cellStyle name="Comma 2 4 3 3 2 8" xfId="13552" xr:uid="{00000000-0005-0000-0000-0000ED340000}"/>
    <cellStyle name="Comma 2 4 3 3 2 9" xfId="13553" xr:uid="{00000000-0005-0000-0000-0000EE340000}"/>
    <cellStyle name="Comma 2 4 3 3 3" xfId="13554" xr:uid="{00000000-0005-0000-0000-0000EF340000}"/>
    <cellStyle name="Comma 2 4 3 3 3 2" xfId="13555" xr:uid="{00000000-0005-0000-0000-0000F0340000}"/>
    <cellStyle name="Comma 2 4 3 3 3 2 2" xfId="13556" xr:uid="{00000000-0005-0000-0000-0000F1340000}"/>
    <cellStyle name="Comma 2 4 3 3 3 2 2 2" xfId="13557" xr:uid="{00000000-0005-0000-0000-0000F2340000}"/>
    <cellStyle name="Comma 2 4 3 3 3 2 2 3" xfId="13558" xr:uid="{00000000-0005-0000-0000-0000F3340000}"/>
    <cellStyle name="Comma 2 4 3 3 3 2 3" xfId="13559" xr:uid="{00000000-0005-0000-0000-0000F4340000}"/>
    <cellStyle name="Comma 2 4 3 3 3 2 4" xfId="13560" xr:uid="{00000000-0005-0000-0000-0000F5340000}"/>
    <cellStyle name="Comma 2 4 3 3 3 2 5" xfId="13561" xr:uid="{00000000-0005-0000-0000-0000F6340000}"/>
    <cellStyle name="Comma 2 4 3 3 3 2 6" xfId="13562" xr:uid="{00000000-0005-0000-0000-0000F7340000}"/>
    <cellStyle name="Comma 2 4 3 3 3 3" xfId="13563" xr:uid="{00000000-0005-0000-0000-0000F8340000}"/>
    <cellStyle name="Comma 2 4 3 3 3 3 2" xfId="13564" xr:uid="{00000000-0005-0000-0000-0000F9340000}"/>
    <cellStyle name="Comma 2 4 3 3 3 3 2 2" xfId="13565" xr:uid="{00000000-0005-0000-0000-0000FA340000}"/>
    <cellStyle name="Comma 2 4 3 3 3 3 3" xfId="13566" xr:uid="{00000000-0005-0000-0000-0000FB340000}"/>
    <cellStyle name="Comma 2 4 3 3 3 3 4" xfId="13567" xr:uid="{00000000-0005-0000-0000-0000FC340000}"/>
    <cellStyle name="Comma 2 4 3 3 3 3 5" xfId="13568" xr:uid="{00000000-0005-0000-0000-0000FD340000}"/>
    <cellStyle name="Comma 2 4 3 3 3 4" xfId="13569" xr:uid="{00000000-0005-0000-0000-0000FE340000}"/>
    <cellStyle name="Comma 2 4 3 3 3 4 2" xfId="13570" xr:uid="{00000000-0005-0000-0000-0000FF340000}"/>
    <cellStyle name="Comma 2 4 3 3 3 4 3" xfId="13571" xr:uid="{00000000-0005-0000-0000-000000350000}"/>
    <cellStyle name="Comma 2 4 3 3 3 4 4" xfId="13572" xr:uid="{00000000-0005-0000-0000-000001350000}"/>
    <cellStyle name="Comma 2 4 3 3 3 5" xfId="13573" xr:uid="{00000000-0005-0000-0000-000002350000}"/>
    <cellStyle name="Comma 2 4 3 3 3 5 2" xfId="13574" xr:uid="{00000000-0005-0000-0000-000003350000}"/>
    <cellStyle name="Comma 2 4 3 3 3 6" xfId="13575" xr:uid="{00000000-0005-0000-0000-000004350000}"/>
    <cellStyle name="Comma 2 4 3 3 3 7" xfId="13576" xr:uid="{00000000-0005-0000-0000-000005350000}"/>
    <cellStyle name="Comma 2 4 3 3 3 8" xfId="13577" xr:uid="{00000000-0005-0000-0000-000006350000}"/>
    <cellStyle name="Comma 2 4 3 3 3 9" xfId="13578" xr:uid="{00000000-0005-0000-0000-000007350000}"/>
    <cellStyle name="Comma 2 4 3 3 4" xfId="13579" xr:uid="{00000000-0005-0000-0000-000008350000}"/>
    <cellStyle name="Comma 2 4 3 3 4 2" xfId="13580" xr:uid="{00000000-0005-0000-0000-000009350000}"/>
    <cellStyle name="Comma 2 4 3 3 4 2 2" xfId="13581" xr:uid="{00000000-0005-0000-0000-00000A350000}"/>
    <cellStyle name="Comma 2 4 3 3 4 2 3" xfId="13582" xr:uid="{00000000-0005-0000-0000-00000B350000}"/>
    <cellStyle name="Comma 2 4 3 3 4 3" xfId="13583" xr:uid="{00000000-0005-0000-0000-00000C350000}"/>
    <cellStyle name="Comma 2 4 3 3 4 4" xfId="13584" xr:uid="{00000000-0005-0000-0000-00000D350000}"/>
    <cellStyle name="Comma 2 4 3 3 4 5" xfId="13585" xr:uid="{00000000-0005-0000-0000-00000E350000}"/>
    <cellStyle name="Comma 2 4 3 3 4 6" xfId="13586" xr:uid="{00000000-0005-0000-0000-00000F350000}"/>
    <cellStyle name="Comma 2 4 3 3 5" xfId="13587" xr:uid="{00000000-0005-0000-0000-000010350000}"/>
    <cellStyle name="Comma 2 4 3 3 5 2" xfId="13588" xr:uid="{00000000-0005-0000-0000-000011350000}"/>
    <cellStyle name="Comma 2 4 3 3 5 2 2" xfId="13589" xr:uid="{00000000-0005-0000-0000-000012350000}"/>
    <cellStyle name="Comma 2 4 3 3 5 3" xfId="13590" xr:uid="{00000000-0005-0000-0000-000013350000}"/>
    <cellStyle name="Comma 2 4 3 3 5 4" xfId="13591" xr:uid="{00000000-0005-0000-0000-000014350000}"/>
    <cellStyle name="Comma 2 4 3 3 5 5" xfId="13592" xr:uid="{00000000-0005-0000-0000-000015350000}"/>
    <cellStyle name="Comma 2 4 3 3 6" xfId="13593" xr:uid="{00000000-0005-0000-0000-000016350000}"/>
    <cellStyle name="Comma 2 4 3 3 6 2" xfId="13594" xr:uid="{00000000-0005-0000-0000-000017350000}"/>
    <cellStyle name="Comma 2 4 3 3 6 3" xfId="13595" xr:uid="{00000000-0005-0000-0000-000018350000}"/>
    <cellStyle name="Comma 2 4 3 3 6 4" xfId="13596" xr:uid="{00000000-0005-0000-0000-000019350000}"/>
    <cellStyle name="Comma 2 4 3 3 7" xfId="13597" xr:uid="{00000000-0005-0000-0000-00001A350000}"/>
    <cellStyle name="Comma 2 4 3 3 7 2" xfId="13598" xr:uid="{00000000-0005-0000-0000-00001B350000}"/>
    <cellStyle name="Comma 2 4 3 3 8" xfId="13599" xr:uid="{00000000-0005-0000-0000-00001C350000}"/>
    <cellStyle name="Comma 2 4 3 3 9" xfId="13600" xr:uid="{00000000-0005-0000-0000-00001D350000}"/>
    <cellStyle name="Comma 2 4 3 4" xfId="13601" xr:uid="{00000000-0005-0000-0000-00001E350000}"/>
    <cellStyle name="Comma 2 4 3 4 10" xfId="13602" xr:uid="{00000000-0005-0000-0000-00001F350000}"/>
    <cellStyle name="Comma 2 4 3 4 11" xfId="13603" xr:uid="{00000000-0005-0000-0000-000020350000}"/>
    <cellStyle name="Comma 2 4 3 4 2" xfId="13604" xr:uid="{00000000-0005-0000-0000-000021350000}"/>
    <cellStyle name="Comma 2 4 3 4 2 2" xfId="13605" xr:uid="{00000000-0005-0000-0000-000022350000}"/>
    <cellStyle name="Comma 2 4 3 4 2 2 2" xfId="13606" xr:uid="{00000000-0005-0000-0000-000023350000}"/>
    <cellStyle name="Comma 2 4 3 4 2 2 2 2" xfId="13607" xr:uid="{00000000-0005-0000-0000-000024350000}"/>
    <cellStyle name="Comma 2 4 3 4 2 2 2 3" xfId="13608" xr:uid="{00000000-0005-0000-0000-000025350000}"/>
    <cellStyle name="Comma 2 4 3 4 2 2 3" xfId="13609" xr:uid="{00000000-0005-0000-0000-000026350000}"/>
    <cellStyle name="Comma 2 4 3 4 2 2 4" xfId="13610" xr:uid="{00000000-0005-0000-0000-000027350000}"/>
    <cellStyle name="Comma 2 4 3 4 2 2 5" xfId="13611" xr:uid="{00000000-0005-0000-0000-000028350000}"/>
    <cellStyle name="Comma 2 4 3 4 2 2 6" xfId="13612" xr:uid="{00000000-0005-0000-0000-000029350000}"/>
    <cellStyle name="Comma 2 4 3 4 2 3" xfId="13613" xr:uid="{00000000-0005-0000-0000-00002A350000}"/>
    <cellStyle name="Comma 2 4 3 4 2 3 2" xfId="13614" xr:uid="{00000000-0005-0000-0000-00002B350000}"/>
    <cellStyle name="Comma 2 4 3 4 2 3 2 2" xfId="13615" xr:uid="{00000000-0005-0000-0000-00002C350000}"/>
    <cellStyle name="Comma 2 4 3 4 2 3 3" xfId="13616" xr:uid="{00000000-0005-0000-0000-00002D350000}"/>
    <cellStyle name="Comma 2 4 3 4 2 3 4" xfId="13617" xr:uid="{00000000-0005-0000-0000-00002E350000}"/>
    <cellStyle name="Comma 2 4 3 4 2 3 5" xfId="13618" xr:uid="{00000000-0005-0000-0000-00002F350000}"/>
    <cellStyle name="Comma 2 4 3 4 2 4" xfId="13619" xr:uid="{00000000-0005-0000-0000-000030350000}"/>
    <cellStyle name="Comma 2 4 3 4 2 4 2" xfId="13620" xr:uid="{00000000-0005-0000-0000-000031350000}"/>
    <cellStyle name="Comma 2 4 3 4 2 4 3" xfId="13621" xr:uid="{00000000-0005-0000-0000-000032350000}"/>
    <cellStyle name="Comma 2 4 3 4 2 4 4" xfId="13622" xr:uid="{00000000-0005-0000-0000-000033350000}"/>
    <cellStyle name="Comma 2 4 3 4 2 5" xfId="13623" xr:uid="{00000000-0005-0000-0000-000034350000}"/>
    <cellStyle name="Comma 2 4 3 4 2 5 2" xfId="13624" xr:uid="{00000000-0005-0000-0000-000035350000}"/>
    <cellStyle name="Comma 2 4 3 4 2 6" xfId="13625" xr:uid="{00000000-0005-0000-0000-000036350000}"/>
    <cellStyle name="Comma 2 4 3 4 2 7" xfId="13626" xr:uid="{00000000-0005-0000-0000-000037350000}"/>
    <cellStyle name="Comma 2 4 3 4 2 8" xfId="13627" xr:uid="{00000000-0005-0000-0000-000038350000}"/>
    <cellStyle name="Comma 2 4 3 4 2 9" xfId="13628" xr:uid="{00000000-0005-0000-0000-000039350000}"/>
    <cellStyle name="Comma 2 4 3 4 3" xfId="13629" xr:uid="{00000000-0005-0000-0000-00003A350000}"/>
    <cellStyle name="Comma 2 4 3 4 3 2" xfId="13630" xr:uid="{00000000-0005-0000-0000-00003B350000}"/>
    <cellStyle name="Comma 2 4 3 4 3 2 2" xfId="13631" xr:uid="{00000000-0005-0000-0000-00003C350000}"/>
    <cellStyle name="Comma 2 4 3 4 3 2 2 2" xfId="13632" xr:uid="{00000000-0005-0000-0000-00003D350000}"/>
    <cellStyle name="Comma 2 4 3 4 3 2 2 3" xfId="13633" xr:uid="{00000000-0005-0000-0000-00003E350000}"/>
    <cellStyle name="Comma 2 4 3 4 3 2 3" xfId="13634" xr:uid="{00000000-0005-0000-0000-00003F350000}"/>
    <cellStyle name="Comma 2 4 3 4 3 2 4" xfId="13635" xr:uid="{00000000-0005-0000-0000-000040350000}"/>
    <cellStyle name="Comma 2 4 3 4 3 2 5" xfId="13636" xr:uid="{00000000-0005-0000-0000-000041350000}"/>
    <cellStyle name="Comma 2 4 3 4 3 2 6" xfId="13637" xr:uid="{00000000-0005-0000-0000-000042350000}"/>
    <cellStyle name="Comma 2 4 3 4 3 3" xfId="13638" xr:uid="{00000000-0005-0000-0000-000043350000}"/>
    <cellStyle name="Comma 2 4 3 4 3 3 2" xfId="13639" xr:uid="{00000000-0005-0000-0000-000044350000}"/>
    <cellStyle name="Comma 2 4 3 4 3 3 2 2" xfId="13640" xr:uid="{00000000-0005-0000-0000-000045350000}"/>
    <cellStyle name="Comma 2 4 3 4 3 3 3" xfId="13641" xr:uid="{00000000-0005-0000-0000-000046350000}"/>
    <cellStyle name="Comma 2 4 3 4 3 3 4" xfId="13642" xr:uid="{00000000-0005-0000-0000-000047350000}"/>
    <cellStyle name="Comma 2 4 3 4 3 3 5" xfId="13643" xr:uid="{00000000-0005-0000-0000-000048350000}"/>
    <cellStyle name="Comma 2 4 3 4 3 4" xfId="13644" xr:uid="{00000000-0005-0000-0000-000049350000}"/>
    <cellStyle name="Comma 2 4 3 4 3 4 2" xfId="13645" xr:uid="{00000000-0005-0000-0000-00004A350000}"/>
    <cellStyle name="Comma 2 4 3 4 3 4 3" xfId="13646" xr:uid="{00000000-0005-0000-0000-00004B350000}"/>
    <cellStyle name="Comma 2 4 3 4 3 4 4" xfId="13647" xr:uid="{00000000-0005-0000-0000-00004C350000}"/>
    <cellStyle name="Comma 2 4 3 4 3 5" xfId="13648" xr:uid="{00000000-0005-0000-0000-00004D350000}"/>
    <cellStyle name="Comma 2 4 3 4 3 5 2" xfId="13649" xr:uid="{00000000-0005-0000-0000-00004E350000}"/>
    <cellStyle name="Comma 2 4 3 4 3 6" xfId="13650" xr:uid="{00000000-0005-0000-0000-00004F350000}"/>
    <cellStyle name="Comma 2 4 3 4 3 7" xfId="13651" xr:uid="{00000000-0005-0000-0000-000050350000}"/>
    <cellStyle name="Comma 2 4 3 4 3 8" xfId="13652" xr:uid="{00000000-0005-0000-0000-000051350000}"/>
    <cellStyle name="Comma 2 4 3 4 3 9" xfId="13653" xr:uid="{00000000-0005-0000-0000-000052350000}"/>
    <cellStyle name="Comma 2 4 3 4 4" xfId="13654" xr:uid="{00000000-0005-0000-0000-000053350000}"/>
    <cellStyle name="Comma 2 4 3 4 4 2" xfId="13655" xr:uid="{00000000-0005-0000-0000-000054350000}"/>
    <cellStyle name="Comma 2 4 3 4 4 2 2" xfId="13656" xr:uid="{00000000-0005-0000-0000-000055350000}"/>
    <cellStyle name="Comma 2 4 3 4 4 2 3" xfId="13657" xr:uid="{00000000-0005-0000-0000-000056350000}"/>
    <cellStyle name="Comma 2 4 3 4 4 3" xfId="13658" xr:uid="{00000000-0005-0000-0000-000057350000}"/>
    <cellStyle name="Comma 2 4 3 4 4 4" xfId="13659" xr:uid="{00000000-0005-0000-0000-000058350000}"/>
    <cellStyle name="Comma 2 4 3 4 4 5" xfId="13660" xr:uid="{00000000-0005-0000-0000-000059350000}"/>
    <cellStyle name="Comma 2 4 3 4 4 6" xfId="13661" xr:uid="{00000000-0005-0000-0000-00005A350000}"/>
    <cellStyle name="Comma 2 4 3 4 5" xfId="13662" xr:uid="{00000000-0005-0000-0000-00005B350000}"/>
    <cellStyle name="Comma 2 4 3 4 5 2" xfId="13663" xr:uid="{00000000-0005-0000-0000-00005C350000}"/>
    <cellStyle name="Comma 2 4 3 4 5 2 2" xfId="13664" xr:uid="{00000000-0005-0000-0000-00005D350000}"/>
    <cellStyle name="Comma 2 4 3 4 5 3" xfId="13665" xr:uid="{00000000-0005-0000-0000-00005E350000}"/>
    <cellStyle name="Comma 2 4 3 4 5 4" xfId="13666" xr:uid="{00000000-0005-0000-0000-00005F350000}"/>
    <cellStyle name="Comma 2 4 3 4 5 5" xfId="13667" xr:uid="{00000000-0005-0000-0000-000060350000}"/>
    <cellStyle name="Comma 2 4 3 4 6" xfId="13668" xr:uid="{00000000-0005-0000-0000-000061350000}"/>
    <cellStyle name="Comma 2 4 3 4 6 2" xfId="13669" xr:uid="{00000000-0005-0000-0000-000062350000}"/>
    <cellStyle name="Comma 2 4 3 4 6 3" xfId="13670" xr:uid="{00000000-0005-0000-0000-000063350000}"/>
    <cellStyle name="Comma 2 4 3 4 6 4" xfId="13671" xr:uid="{00000000-0005-0000-0000-000064350000}"/>
    <cellStyle name="Comma 2 4 3 4 7" xfId="13672" xr:uid="{00000000-0005-0000-0000-000065350000}"/>
    <cellStyle name="Comma 2 4 3 4 7 2" xfId="13673" xr:uid="{00000000-0005-0000-0000-000066350000}"/>
    <cellStyle name="Comma 2 4 3 4 8" xfId="13674" xr:uid="{00000000-0005-0000-0000-000067350000}"/>
    <cellStyle name="Comma 2 4 3 4 9" xfId="13675" xr:uid="{00000000-0005-0000-0000-000068350000}"/>
    <cellStyle name="Comma 2 4 3 5" xfId="13676" xr:uid="{00000000-0005-0000-0000-000069350000}"/>
    <cellStyle name="Comma 2 4 3 5 10" xfId="13677" xr:uid="{00000000-0005-0000-0000-00006A350000}"/>
    <cellStyle name="Comma 2 4 3 5 11" xfId="13678" xr:uid="{00000000-0005-0000-0000-00006B350000}"/>
    <cellStyle name="Comma 2 4 3 5 2" xfId="13679" xr:uid="{00000000-0005-0000-0000-00006C350000}"/>
    <cellStyle name="Comma 2 4 3 5 2 2" xfId="13680" xr:uid="{00000000-0005-0000-0000-00006D350000}"/>
    <cellStyle name="Comma 2 4 3 5 2 2 2" xfId="13681" xr:uid="{00000000-0005-0000-0000-00006E350000}"/>
    <cellStyle name="Comma 2 4 3 5 2 2 2 2" xfId="13682" xr:uid="{00000000-0005-0000-0000-00006F350000}"/>
    <cellStyle name="Comma 2 4 3 5 2 2 2 3" xfId="13683" xr:uid="{00000000-0005-0000-0000-000070350000}"/>
    <cellStyle name="Comma 2 4 3 5 2 2 3" xfId="13684" xr:uid="{00000000-0005-0000-0000-000071350000}"/>
    <cellStyle name="Comma 2 4 3 5 2 2 4" xfId="13685" xr:uid="{00000000-0005-0000-0000-000072350000}"/>
    <cellStyle name="Comma 2 4 3 5 2 2 5" xfId="13686" xr:uid="{00000000-0005-0000-0000-000073350000}"/>
    <cellStyle name="Comma 2 4 3 5 2 2 6" xfId="13687" xr:uid="{00000000-0005-0000-0000-000074350000}"/>
    <cellStyle name="Comma 2 4 3 5 2 3" xfId="13688" xr:uid="{00000000-0005-0000-0000-000075350000}"/>
    <cellStyle name="Comma 2 4 3 5 2 3 2" xfId="13689" xr:uid="{00000000-0005-0000-0000-000076350000}"/>
    <cellStyle name="Comma 2 4 3 5 2 3 2 2" xfId="13690" xr:uid="{00000000-0005-0000-0000-000077350000}"/>
    <cellStyle name="Comma 2 4 3 5 2 3 3" xfId="13691" xr:uid="{00000000-0005-0000-0000-000078350000}"/>
    <cellStyle name="Comma 2 4 3 5 2 3 4" xfId="13692" xr:uid="{00000000-0005-0000-0000-000079350000}"/>
    <cellStyle name="Comma 2 4 3 5 2 3 5" xfId="13693" xr:uid="{00000000-0005-0000-0000-00007A350000}"/>
    <cellStyle name="Comma 2 4 3 5 2 4" xfId="13694" xr:uid="{00000000-0005-0000-0000-00007B350000}"/>
    <cellStyle name="Comma 2 4 3 5 2 4 2" xfId="13695" xr:uid="{00000000-0005-0000-0000-00007C350000}"/>
    <cellStyle name="Comma 2 4 3 5 2 4 3" xfId="13696" xr:uid="{00000000-0005-0000-0000-00007D350000}"/>
    <cellStyle name="Comma 2 4 3 5 2 4 4" xfId="13697" xr:uid="{00000000-0005-0000-0000-00007E350000}"/>
    <cellStyle name="Comma 2 4 3 5 2 5" xfId="13698" xr:uid="{00000000-0005-0000-0000-00007F350000}"/>
    <cellStyle name="Comma 2 4 3 5 2 5 2" xfId="13699" xr:uid="{00000000-0005-0000-0000-000080350000}"/>
    <cellStyle name="Comma 2 4 3 5 2 6" xfId="13700" xr:uid="{00000000-0005-0000-0000-000081350000}"/>
    <cellStyle name="Comma 2 4 3 5 2 7" xfId="13701" xr:uid="{00000000-0005-0000-0000-000082350000}"/>
    <cellStyle name="Comma 2 4 3 5 2 8" xfId="13702" xr:uid="{00000000-0005-0000-0000-000083350000}"/>
    <cellStyle name="Comma 2 4 3 5 2 9" xfId="13703" xr:uid="{00000000-0005-0000-0000-000084350000}"/>
    <cellStyle name="Comma 2 4 3 5 3" xfId="13704" xr:uid="{00000000-0005-0000-0000-000085350000}"/>
    <cellStyle name="Comma 2 4 3 5 3 2" xfId="13705" xr:uid="{00000000-0005-0000-0000-000086350000}"/>
    <cellStyle name="Comma 2 4 3 5 3 2 2" xfId="13706" xr:uid="{00000000-0005-0000-0000-000087350000}"/>
    <cellStyle name="Comma 2 4 3 5 3 2 2 2" xfId="13707" xr:uid="{00000000-0005-0000-0000-000088350000}"/>
    <cellStyle name="Comma 2 4 3 5 3 2 2 3" xfId="13708" xr:uid="{00000000-0005-0000-0000-000089350000}"/>
    <cellStyle name="Comma 2 4 3 5 3 2 3" xfId="13709" xr:uid="{00000000-0005-0000-0000-00008A350000}"/>
    <cellStyle name="Comma 2 4 3 5 3 2 4" xfId="13710" xr:uid="{00000000-0005-0000-0000-00008B350000}"/>
    <cellStyle name="Comma 2 4 3 5 3 2 5" xfId="13711" xr:uid="{00000000-0005-0000-0000-00008C350000}"/>
    <cellStyle name="Comma 2 4 3 5 3 2 6" xfId="13712" xr:uid="{00000000-0005-0000-0000-00008D350000}"/>
    <cellStyle name="Comma 2 4 3 5 3 3" xfId="13713" xr:uid="{00000000-0005-0000-0000-00008E350000}"/>
    <cellStyle name="Comma 2 4 3 5 3 3 2" xfId="13714" xr:uid="{00000000-0005-0000-0000-00008F350000}"/>
    <cellStyle name="Comma 2 4 3 5 3 3 2 2" xfId="13715" xr:uid="{00000000-0005-0000-0000-000090350000}"/>
    <cellStyle name="Comma 2 4 3 5 3 3 3" xfId="13716" xr:uid="{00000000-0005-0000-0000-000091350000}"/>
    <cellStyle name="Comma 2 4 3 5 3 3 4" xfId="13717" xr:uid="{00000000-0005-0000-0000-000092350000}"/>
    <cellStyle name="Comma 2 4 3 5 3 3 5" xfId="13718" xr:uid="{00000000-0005-0000-0000-000093350000}"/>
    <cellStyle name="Comma 2 4 3 5 3 4" xfId="13719" xr:uid="{00000000-0005-0000-0000-000094350000}"/>
    <cellStyle name="Comma 2 4 3 5 3 4 2" xfId="13720" xr:uid="{00000000-0005-0000-0000-000095350000}"/>
    <cellStyle name="Comma 2 4 3 5 3 4 3" xfId="13721" xr:uid="{00000000-0005-0000-0000-000096350000}"/>
    <cellStyle name="Comma 2 4 3 5 3 4 4" xfId="13722" xr:uid="{00000000-0005-0000-0000-000097350000}"/>
    <cellStyle name="Comma 2 4 3 5 3 5" xfId="13723" xr:uid="{00000000-0005-0000-0000-000098350000}"/>
    <cellStyle name="Comma 2 4 3 5 3 5 2" xfId="13724" xr:uid="{00000000-0005-0000-0000-000099350000}"/>
    <cellStyle name="Comma 2 4 3 5 3 6" xfId="13725" xr:uid="{00000000-0005-0000-0000-00009A350000}"/>
    <cellStyle name="Comma 2 4 3 5 3 7" xfId="13726" xr:uid="{00000000-0005-0000-0000-00009B350000}"/>
    <cellStyle name="Comma 2 4 3 5 3 8" xfId="13727" xr:uid="{00000000-0005-0000-0000-00009C350000}"/>
    <cellStyle name="Comma 2 4 3 5 3 9" xfId="13728" xr:uid="{00000000-0005-0000-0000-00009D350000}"/>
    <cellStyle name="Comma 2 4 3 5 4" xfId="13729" xr:uid="{00000000-0005-0000-0000-00009E350000}"/>
    <cellStyle name="Comma 2 4 3 5 4 2" xfId="13730" xr:uid="{00000000-0005-0000-0000-00009F350000}"/>
    <cellStyle name="Comma 2 4 3 5 4 2 2" xfId="13731" xr:uid="{00000000-0005-0000-0000-0000A0350000}"/>
    <cellStyle name="Comma 2 4 3 5 4 2 3" xfId="13732" xr:uid="{00000000-0005-0000-0000-0000A1350000}"/>
    <cellStyle name="Comma 2 4 3 5 4 3" xfId="13733" xr:uid="{00000000-0005-0000-0000-0000A2350000}"/>
    <cellStyle name="Comma 2 4 3 5 4 4" xfId="13734" xr:uid="{00000000-0005-0000-0000-0000A3350000}"/>
    <cellStyle name="Comma 2 4 3 5 4 5" xfId="13735" xr:uid="{00000000-0005-0000-0000-0000A4350000}"/>
    <cellStyle name="Comma 2 4 3 5 4 6" xfId="13736" xr:uid="{00000000-0005-0000-0000-0000A5350000}"/>
    <cellStyle name="Comma 2 4 3 5 5" xfId="13737" xr:uid="{00000000-0005-0000-0000-0000A6350000}"/>
    <cellStyle name="Comma 2 4 3 5 5 2" xfId="13738" xr:uid="{00000000-0005-0000-0000-0000A7350000}"/>
    <cellStyle name="Comma 2 4 3 5 5 2 2" xfId="13739" xr:uid="{00000000-0005-0000-0000-0000A8350000}"/>
    <cellStyle name="Comma 2 4 3 5 5 3" xfId="13740" xr:uid="{00000000-0005-0000-0000-0000A9350000}"/>
    <cellStyle name="Comma 2 4 3 5 5 4" xfId="13741" xr:uid="{00000000-0005-0000-0000-0000AA350000}"/>
    <cellStyle name="Comma 2 4 3 5 5 5" xfId="13742" xr:uid="{00000000-0005-0000-0000-0000AB350000}"/>
    <cellStyle name="Comma 2 4 3 5 6" xfId="13743" xr:uid="{00000000-0005-0000-0000-0000AC350000}"/>
    <cellStyle name="Comma 2 4 3 5 6 2" xfId="13744" xr:uid="{00000000-0005-0000-0000-0000AD350000}"/>
    <cellStyle name="Comma 2 4 3 5 6 3" xfId="13745" xr:uid="{00000000-0005-0000-0000-0000AE350000}"/>
    <cellStyle name="Comma 2 4 3 5 6 4" xfId="13746" xr:uid="{00000000-0005-0000-0000-0000AF350000}"/>
    <cellStyle name="Comma 2 4 3 5 7" xfId="13747" xr:uid="{00000000-0005-0000-0000-0000B0350000}"/>
    <cellStyle name="Comma 2 4 3 5 7 2" xfId="13748" xr:uid="{00000000-0005-0000-0000-0000B1350000}"/>
    <cellStyle name="Comma 2 4 3 5 8" xfId="13749" xr:uid="{00000000-0005-0000-0000-0000B2350000}"/>
    <cellStyle name="Comma 2 4 3 5 9" xfId="13750" xr:uid="{00000000-0005-0000-0000-0000B3350000}"/>
    <cellStyle name="Comma 2 4 3 6" xfId="13751" xr:uid="{00000000-0005-0000-0000-0000B4350000}"/>
    <cellStyle name="Comma 2 4 3 6 10" xfId="13752" xr:uid="{00000000-0005-0000-0000-0000B5350000}"/>
    <cellStyle name="Comma 2 4 3 6 11" xfId="13753" xr:uid="{00000000-0005-0000-0000-0000B6350000}"/>
    <cellStyle name="Comma 2 4 3 6 2" xfId="13754" xr:uid="{00000000-0005-0000-0000-0000B7350000}"/>
    <cellStyle name="Comma 2 4 3 6 2 2" xfId="13755" xr:uid="{00000000-0005-0000-0000-0000B8350000}"/>
    <cellStyle name="Comma 2 4 3 6 2 2 2" xfId="13756" xr:uid="{00000000-0005-0000-0000-0000B9350000}"/>
    <cellStyle name="Comma 2 4 3 6 2 2 2 2" xfId="13757" xr:uid="{00000000-0005-0000-0000-0000BA350000}"/>
    <cellStyle name="Comma 2 4 3 6 2 2 2 3" xfId="13758" xr:uid="{00000000-0005-0000-0000-0000BB350000}"/>
    <cellStyle name="Comma 2 4 3 6 2 2 3" xfId="13759" xr:uid="{00000000-0005-0000-0000-0000BC350000}"/>
    <cellStyle name="Comma 2 4 3 6 2 2 4" xfId="13760" xr:uid="{00000000-0005-0000-0000-0000BD350000}"/>
    <cellStyle name="Comma 2 4 3 6 2 2 5" xfId="13761" xr:uid="{00000000-0005-0000-0000-0000BE350000}"/>
    <cellStyle name="Comma 2 4 3 6 2 2 6" xfId="13762" xr:uid="{00000000-0005-0000-0000-0000BF350000}"/>
    <cellStyle name="Comma 2 4 3 6 2 3" xfId="13763" xr:uid="{00000000-0005-0000-0000-0000C0350000}"/>
    <cellStyle name="Comma 2 4 3 6 2 3 2" xfId="13764" xr:uid="{00000000-0005-0000-0000-0000C1350000}"/>
    <cellStyle name="Comma 2 4 3 6 2 3 2 2" xfId="13765" xr:uid="{00000000-0005-0000-0000-0000C2350000}"/>
    <cellStyle name="Comma 2 4 3 6 2 3 3" xfId="13766" xr:uid="{00000000-0005-0000-0000-0000C3350000}"/>
    <cellStyle name="Comma 2 4 3 6 2 3 4" xfId="13767" xr:uid="{00000000-0005-0000-0000-0000C4350000}"/>
    <cellStyle name="Comma 2 4 3 6 2 3 5" xfId="13768" xr:uid="{00000000-0005-0000-0000-0000C5350000}"/>
    <cellStyle name="Comma 2 4 3 6 2 4" xfId="13769" xr:uid="{00000000-0005-0000-0000-0000C6350000}"/>
    <cellStyle name="Comma 2 4 3 6 2 4 2" xfId="13770" xr:uid="{00000000-0005-0000-0000-0000C7350000}"/>
    <cellStyle name="Comma 2 4 3 6 2 4 3" xfId="13771" xr:uid="{00000000-0005-0000-0000-0000C8350000}"/>
    <cellStyle name="Comma 2 4 3 6 2 4 4" xfId="13772" xr:uid="{00000000-0005-0000-0000-0000C9350000}"/>
    <cellStyle name="Comma 2 4 3 6 2 5" xfId="13773" xr:uid="{00000000-0005-0000-0000-0000CA350000}"/>
    <cellStyle name="Comma 2 4 3 6 2 5 2" xfId="13774" xr:uid="{00000000-0005-0000-0000-0000CB350000}"/>
    <cellStyle name="Comma 2 4 3 6 2 6" xfId="13775" xr:uid="{00000000-0005-0000-0000-0000CC350000}"/>
    <cellStyle name="Comma 2 4 3 6 2 7" xfId="13776" xr:uid="{00000000-0005-0000-0000-0000CD350000}"/>
    <cellStyle name="Comma 2 4 3 6 2 8" xfId="13777" xr:uid="{00000000-0005-0000-0000-0000CE350000}"/>
    <cellStyle name="Comma 2 4 3 6 2 9" xfId="13778" xr:uid="{00000000-0005-0000-0000-0000CF350000}"/>
    <cellStyle name="Comma 2 4 3 6 3" xfId="13779" xr:uid="{00000000-0005-0000-0000-0000D0350000}"/>
    <cellStyle name="Comma 2 4 3 6 3 2" xfId="13780" xr:uid="{00000000-0005-0000-0000-0000D1350000}"/>
    <cellStyle name="Comma 2 4 3 6 3 2 2" xfId="13781" xr:uid="{00000000-0005-0000-0000-0000D2350000}"/>
    <cellStyle name="Comma 2 4 3 6 3 2 2 2" xfId="13782" xr:uid="{00000000-0005-0000-0000-0000D3350000}"/>
    <cellStyle name="Comma 2 4 3 6 3 2 2 3" xfId="13783" xr:uid="{00000000-0005-0000-0000-0000D4350000}"/>
    <cellStyle name="Comma 2 4 3 6 3 2 3" xfId="13784" xr:uid="{00000000-0005-0000-0000-0000D5350000}"/>
    <cellStyle name="Comma 2 4 3 6 3 2 4" xfId="13785" xr:uid="{00000000-0005-0000-0000-0000D6350000}"/>
    <cellStyle name="Comma 2 4 3 6 3 2 5" xfId="13786" xr:uid="{00000000-0005-0000-0000-0000D7350000}"/>
    <cellStyle name="Comma 2 4 3 6 3 2 6" xfId="13787" xr:uid="{00000000-0005-0000-0000-0000D8350000}"/>
    <cellStyle name="Comma 2 4 3 6 3 3" xfId="13788" xr:uid="{00000000-0005-0000-0000-0000D9350000}"/>
    <cellStyle name="Comma 2 4 3 6 3 3 2" xfId="13789" xr:uid="{00000000-0005-0000-0000-0000DA350000}"/>
    <cellStyle name="Comma 2 4 3 6 3 3 2 2" xfId="13790" xr:uid="{00000000-0005-0000-0000-0000DB350000}"/>
    <cellStyle name="Comma 2 4 3 6 3 3 3" xfId="13791" xr:uid="{00000000-0005-0000-0000-0000DC350000}"/>
    <cellStyle name="Comma 2 4 3 6 3 3 4" xfId="13792" xr:uid="{00000000-0005-0000-0000-0000DD350000}"/>
    <cellStyle name="Comma 2 4 3 6 3 3 5" xfId="13793" xr:uid="{00000000-0005-0000-0000-0000DE350000}"/>
    <cellStyle name="Comma 2 4 3 6 3 4" xfId="13794" xr:uid="{00000000-0005-0000-0000-0000DF350000}"/>
    <cellStyle name="Comma 2 4 3 6 3 4 2" xfId="13795" xr:uid="{00000000-0005-0000-0000-0000E0350000}"/>
    <cellStyle name="Comma 2 4 3 6 3 4 3" xfId="13796" xr:uid="{00000000-0005-0000-0000-0000E1350000}"/>
    <cellStyle name="Comma 2 4 3 6 3 4 4" xfId="13797" xr:uid="{00000000-0005-0000-0000-0000E2350000}"/>
    <cellStyle name="Comma 2 4 3 6 3 5" xfId="13798" xr:uid="{00000000-0005-0000-0000-0000E3350000}"/>
    <cellStyle name="Comma 2 4 3 6 3 5 2" xfId="13799" xr:uid="{00000000-0005-0000-0000-0000E4350000}"/>
    <cellStyle name="Comma 2 4 3 6 3 6" xfId="13800" xr:uid="{00000000-0005-0000-0000-0000E5350000}"/>
    <cellStyle name="Comma 2 4 3 6 3 7" xfId="13801" xr:uid="{00000000-0005-0000-0000-0000E6350000}"/>
    <cellStyle name="Comma 2 4 3 6 3 8" xfId="13802" xr:uid="{00000000-0005-0000-0000-0000E7350000}"/>
    <cellStyle name="Comma 2 4 3 6 3 9" xfId="13803" xr:uid="{00000000-0005-0000-0000-0000E8350000}"/>
    <cellStyle name="Comma 2 4 3 6 4" xfId="13804" xr:uid="{00000000-0005-0000-0000-0000E9350000}"/>
    <cellStyle name="Comma 2 4 3 6 4 2" xfId="13805" xr:uid="{00000000-0005-0000-0000-0000EA350000}"/>
    <cellStyle name="Comma 2 4 3 6 4 2 2" xfId="13806" xr:uid="{00000000-0005-0000-0000-0000EB350000}"/>
    <cellStyle name="Comma 2 4 3 6 4 2 3" xfId="13807" xr:uid="{00000000-0005-0000-0000-0000EC350000}"/>
    <cellStyle name="Comma 2 4 3 6 4 3" xfId="13808" xr:uid="{00000000-0005-0000-0000-0000ED350000}"/>
    <cellStyle name="Comma 2 4 3 6 4 4" xfId="13809" xr:uid="{00000000-0005-0000-0000-0000EE350000}"/>
    <cellStyle name="Comma 2 4 3 6 4 5" xfId="13810" xr:uid="{00000000-0005-0000-0000-0000EF350000}"/>
    <cellStyle name="Comma 2 4 3 6 4 6" xfId="13811" xr:uid="{00000000-0005-0000-0000-0000F0350000}"/>
    <cellStyle name="Comma 2 4 3 6 5" xfId="13812" xr:uid="{00000000-0005-0000-0000-0000F1350000}"/>
    <cellStyle name="Comma 2 4 3 6 5 2" xfId="13813" xr:uid="{00000000-0005-0000-0000-0000F2350000}"/>
    <cellStyle name="Comma 2 4 3 6 5 2 2" xfId="13814" xr:uid="{00000000-0005-0000-0000-0000F3350000}"/>
    <cellStyle name="Comma 2 4 3 6 5 3" xfId="13815" xr:uid="{00000000-0005-0000-0000-0000F4350000}"/>
    <cellStyle name="Comma 2 4 3 6 5 4" xfId="13816" xr:uid="{00000000-0005-0000-0000-0000F5350000}"/>
    <cellStyle name="Comma 2 4 3 6 5 5" xfId="13817" xr:uid="{00000000-0005-0000-0000-0000F6350000}"/>
    <cellStyle name="Comma 2 4 3 6 6" xfId="13818" xr:uid="{00000000-0005-0000-0000-0000F7350000}"/>
    <cellStyle name="Comma 2 4 3 6 6 2" xfId="13819" xr:uid="{00000000-0005-0000-0000-0000F8350000}"/>
    <cellStyle name="Comma 2 4 3 6 6 3" xfId="13820" xr:uid="{00000000-0005-0000-0000-0000F9350000}"/>
    <cellStyle name="Comma 2 4 3 6 6 4" xfId="13821" xr:uid="{00000000-0005-0000-0000-0000FA350000}"/>
    <cellStyle name="Comma 2 4 3 6 7" xfId="13822" xr:uid="{00000000-0005-0000-0000-0000FB350000}"/>
    <cellStyle name="Comma 2 4 3 6 7 2" xfId="13823" xr:uid="{00000000-0005-0000-0000-0000FC350000}"/>
    <cellStyle name="Comma 2 4 3 6 8" xfId="13824" xr:uid="{00000000-0005-0000-0000-0000FD350000}"/>
    <cellStyle name="Comma 2 4 3 6 9" xfId="13825" xr:uid="{00000000-0005-0000-0000-0000FE350000}"/>
    <cellStyle name="Comma 2 4 3 7" xfId="13826" xr:uid="{00000000-0005-0000-0000-0000FF350000}"/>
    <cellStyle name="Comma 2 4 3 7 10" xfId="13827" xr:uid="{00000000-0005-0000-0000-000000360000}"/>
    <cellStyle name="Comma 2 4 3 7 11" xfId="13828" xr:uid="{00000000-0005-0000-0000-000001360000}"/>
    <cellStyle name="Comma 2 4 3 7 2" xfId="13829" xr:uid="{00000000-0005-0000-0000-000002360000}"/>
    <cellStyle name="Comma 2 4 3 7 2 2" xfId="13830" xr:uid="{00000000-0005-0000-0000-000003360000}"/>
    <cellStyle name="Comma 2 4 3 7 2 2 2" xfId="13831" xr:uid="{00000000-0005-0000-0000-000004360000}"/>
    <cellStyle name="Comma 2 4 3 7 2 2 2 2" xfId="13832" xr:uid="{00000000-0005-0000-0000-000005360000}"/>
    <cellStyle name="Comma 2 4 3 7 2 2 2 3" xfId="13833" xr:uid="{00000000-0005-0000-0000-000006360000}"/>
    <cellStyle name="Comma 2 4 3 7 2 2 3" xfId="13834" xr:uid="{00000000-0005-0000-0000-000007360000}"/>
    <cellStyle name="Comma 2 4 3 7 2 2 4" xfId="13835" xr:uid="{00000000-0005-0000-0000-000008360000}"/>
    <cellStyle name="Comma 2 4 3 7 2 2 5" xfId="13836" xr:uid="{00000000-0005-0000-0000-000009360000}"/>
    <cellStyle name="Comma 2 4 3 7 2 2 6" xfId="13837" xr:uid="{00000000-0005-0000-0000-00000A360000}"/>
    <cellStyle name="Comma 2 4 3 7 2 3" xfId="13838" xr:uid="{00000000-0005-0000-0000-00000B360000}"/>
    <cellStyle name="Comma 2 4 3 7 2 3 2" xfId="13839" xr:uid="{00000000-0005-0000-0000-00000C360000}"/>
    <cellStyle name="Comma 2 4 3 7 2 3 2 2" xfId="13840" xr:uid="{00000000-0005-0000-0000-00000D360000}"/>
    <cellStyle name="Comma 2 4 3 7 2 3 3" xfId="13841" xr:uid="{00000000-0005-0000-0000-00000E360000}"/>
    <cellStyle name="Comma 2 4 3 7 2 3 4" xfId="13842" xr:uid="{00000000-0005-0000-0000-00000F360000}"/>
    <cellStyle name="Comma 2 4 3 7 2 3 5" xfId="13843" xr:uid="{00000000-0005-0000-0000-000010360000}"/>
    <cellStyle name="Comma 2 4 3 7 2 4" xfId="13844" xr:uid="{00000000-0005-0000-0000-000011360000}"/>
    <cellStyle name="Comma 2 4 3 7 2 4 2" xfId="13845" xr:uid="{00000000-0005-0000-0000-000012360000}"/>
    <cellStyle name="Comma 2 4 3 7 2 4 3" xfId="13846" xr:uid="{00000000-0005-0000-0000-000013360000}"/>
    <cellStyle name="Comma 2 4 3 7 2 4 4" xfId="13847" xr:uid="{00000000-0005-0000-0000-000014360000}"/>
    <cellStyle name="Comma 2 4 3 7 2 5" xfId="13848" xr:uid="{00000000-0005-0000-0000-000015360000}"/>
    <cellStyle name="Comma 2 4 3 7 2 5 2" xfId="13849" xr:uid="{00000000-0005-0000-0000-000016360000}"/>
    <cellStyle name="Comma 2 4 3 7 2 6" xfId="13850" xr:uid="{00000000-0005-0000-0000-000017360000}"/>
    <cellStyle name="Comma 2 4 3 7 2 7" xfId="13851" xr:uid="{00000000-0005-0000-0000-000018360000}"/>
    <cellStyle name="Comma 2 4 3 7 2 8" xfId="13852" xr:uid="{00000000-0005-0000-0000-000019360000}"/>
    <cellStyle name="Comma 2 4 3 7 2 9" xfId="13853" xr:uid="{00000000-0005-0000-0000-00001A360000}"/>
    <cellStyle name="Comma 2 4 3 7 3" xfId="13854" xr:uid="{00000000-0005-0000-0000-00001B360000}"/>
    <cellStyle name="Comma 2 4 3 7 3 2" xfId="13855" xr:uid="{00000000-0005-0000-0000-00001C360000}"/>
    <cellStyle name="Comma 2 4 3 7 3 2 2" xfId="13856" xr:uid="{00000000-0005-0000-0000-00001D360000}"/>
    <cellStyle name="Comma 2 4 3 7 3 2 2 2" xfId="13857" xr:uid="{00000000-0005-0000-0000-00001E360000}"/>
    <cellStyle name="Comma 2 4 3 7 3 2 2 3" xfId="13858" xr:uid="{00000000-0005-0000-0000-00001F360000}"/>
    <cellStyle name="Comma 2 4 3 7 3 2 3" xfId="13859" xr:uid="{00000000-0005-0000-0000-000020360000}"/>
    <cellStyle name="Comma 2 4 3 7 3 2 4" xfId="13860" xr:uid="{00000000-0005-0000-0000-000021360000}"/>
    <cellStyle name="Comma 2 4 3 7 3 2 5" xfId="13861" xr:uid="{00000000-0005-0000-0000-000022360000}"/>
    <cellStyle name="Comma 2 4 3 7 3 2 6" xfId="13862" xr:uid="{00000000-0005-0000-0000-000023360000}"/>
    <cellStyle name="Comma 2 4 3 7 3 3" xfId="13863" xr:uid="{00000000-0005-0000-0000-000024360000}"/>
    <cellStyle name="Comma 2 4 3 7 3 3 2" xfId="13864" xr:uid="{00000000-0005-0000-0000-000025360000}"/>
    <cellStyle name="Comma 2 4 3 7 3 3 2 2" xfId="13865" xr:uid="{00000000-0005-0000-0000-000026360000}"/>
    <cellStyle name="Comma 2 4 3 7 3 3 3" xfId="13866" xr:uid="{00000000-0005-0000-0000-000027360000}"/>
    <cellStyle name="Comma 2 4 3 7 3 3 4" xfId="13867" xr:uid="{00000000-0005-0000-0000-000028360000}"/>
    <cellStyle name="Comma 2 4 3 7 3 3 5" xfId="13868" xr:uid="{00000000-0005-0000-0000-000029360000}"/>
    <cellStyle name="Comma 2 4 3 7 3 4" xfId="13869" xr:uid="{00000000-0005-0000-0000-00002A360000}"/>
    <cellStyle name="Comma 2 4 3 7 3 4 2" xfId="13870" xr:uid="{00000000-0005-0000-0000-00002B360000}"/>
    <cellStyle name="Comma 2 4 3 7 3 4 3" xfId="13871" xr:uid="{00000000-0005-0000-0000-00002C360000}"/>
    <cellStyle name="Comma 2 4 3 7 3 4 4" xfId="13872" xr:uid="{00000000-0005-0000-0000-00002D360000}"/>
    <cellStyle name="Comma 2 4 3 7 3 5" xfId="13873" xr:uid="{00000000-0005-0000-0000-00002E360000}"/>
    <cellStyle name="Comma 2 4 3 7 3 5 2" xfId="13874" xr:uid="{00000000-0005-0000-0000-00002F360000}"/>
    <cellStyle name="Comma 2 4 3 7 3 6" xfId="13875" xr:uid="{00000000-0005-0000-0000-000030360000}"/>
    <cellStyle name="Comma 2 4 3 7 3 7" xfId="13876" xr:uid="{00000000-0005-0000-0000-000031360000}"/>
    <cellStyle name="Comma 2 4 3 7 3 8" xfId="13877" xr:uid="{00000000-0005-0000-0000-000032360000}"/>
    <cellStyle name="Comma 2 4 3 7 3 9" xfId="13878" xr:uid="{00000000-0005-0000-0000-000033360000}"/>
    <cellStyle name="Comma 2 4 3 7 4" xfId="13879" xr:uid="{00000000-0005-0000-0000-000034360000}"/>
    <cellStyle name="Comma 2 4 3 7 4 2" xfId="13880" xr:uid="{00000000-0005-0000-0000-000035360000}"/>
    <cellStyle name="Comma 2 4 3 7 4 2 2" xfId="13881" xr:uid="{00000000-0005-0000-0000-000036360000}"/>
    <cellStyle name="Comma 2 4 3 7 4 2 3" xfId="13882" xr:uid="{00000000-0005-0000-0000-000037360000}"/>
    <cellStyle name="Comma 2 4 3 7 4 3" xfId="13883" xr:uid="{00000000-0005-0000-0000-000038360000}"/>
    <cellStyle name="Comma 2 4 3 7 4 4" xfId="13884" xr:uid="{00000000-0005-0000-0000-000039360000}"/>
    <cellStyle name="Comma 2 4 3 7 4 5" xfId="13885" xr:uid="{00000000-0005-0000-0000-00003A360000}"/>
    <cellStyle name="Comma 2 4 3 7 4 6" xfId="13886" xr:uid="{00000000-0005-0000-0000-00003B360000}"/>
    <cellStyle name="Comma 2 4 3 7 5" xfId="13887" xr:uid="{00000000-0005-0000-0000-00003C360000}"/>
    <cellStyle name="Comma 2 4 3 7 5 2" xfId="13888" xr:uid="{00000000-0005-0000-0000-00003D360000}"/>
    <cellStyle name="Comma 2 4 3 7 5 2 2" xfId="13889" xr:uid="{00000000-0005-0000-0000-00003E360000}"/>
    <cellStyle name="Comma 2 4 3 7 5 3" xfId="13890" xr:uid="{00000000-0005-0000-0000-00003F360000}"/>
    <cellStyle name="Comma 2 4 3 7 5 4" xfId="13891" xr:uid="{00000000-0005-0000-0000-000040360000}"/>
    <cellStyle name="Comma 2 4 3 7 5 5" xfId="13892" xr:uid="{00000000-0005-0000-0000-000041360000}"/>
    <cellStyle name="Comma 2 4 3 7 6" xfId="13893" xr:uid="{00000000-0005-0000-0000-000042360000}"/>
    <cellStyle name="Comma 2 4 3 7 6 2" xfId="13894" xr:uid="{00000000-0005-0000-0000-000043360000}"/>
    <cellStyle name="Comma 2 4 3 7 6 3" xfId="13895" xr:uid="{00000000-0005-0000-0000-000044360000}"/>
    <cellStyle name="Comma 2 4 3 7 6 4" xfId="13896" xr:uid="{00000000-0005-0000-0000-000045360000}"/>
    <cellStyle name="Comma 2 4 3 7 7" xfId="13897" xr:uid="{00000000-0005-0000-0000-000046360000}"/>
    <cellStyle name="Comma 2 4 3 7 7 2" xfId="13898" xr:uid="{00000000-0005-0000-0000-000047360000}"/>
    <cellStyle name="Comma 2 4 3 7 8" xfId="13899" xr:uid="{00000000-0005-0000-0000-000048360000}"/>
    <cellStyle name="Comma 2 4 3 7 9" xfId="13900" xr:uid="{00000000-0005-0000-0000-000049360000}"/>
    <cellStyle name="Comma 2 4 3 8" xfId="13901" xr:uid="{00000000-0005-0000-0000-00004A360000}"/>
    <cellStyle name="Comma 2 4 3 8 10" xfId="13902" xr:uid="{00000000-0005-0000-0000-00004B360000}"/>
    <cellStyle name="Comma 2 4 3 8 2" xfId="13903" xr:uid="{00000000-0005-0000-0000-00004C360000}"/>
    <cellStyle name="Comma 2 4 3 8 2 2" xfId="13904" xr:uid="{00000000-0005-0000-0000-00004D360000}"/>
    <cellStyle name="Comma 2 4 3 8 2 2 2" xfId="13905" xr:uid="{00000000-0005-0000-0000-00004E360000}"/>
    <cellStyle name="Comma 2 4 3 8 2 2 3" xfId="13906" xr:uid="{00000000-0005-0000-0000-00004F360000}"/>
    <cellStyle name="Comma 2 4 3 8 2 3" xfId="13907" xr:uid="{00000000-0005-0000-0000-000050360000}"/>
    <cellStyle name="Comma 2 4 3 8 2 4" xfId="13908" xr:uid="{00000000-0005-0000-0000-000051360000}"/>
    <cellStyle name="Comma 2 4 3 8 2 5" xfId="13909" xr:uid="{00000000-0005-0000-0000-000052360000}"/>
    <cellStyle name="Comma 2 4 3 8 2 6" xfId="13910" xr:uid="{00000000-0005-0000-0000-000053360000}"/>
    <cellStyle name="Comma 2 4 3 8 3" xfId="13911" xr:uid="{00000000-0005-0000-0000-000054360000}"/>
    <cellStyle name="Comma 2 4 3 8 3 2" xfId="13912" xr:uid="{00000000-0005-0000-0000-000055360000}"/>
    <cellStyle name="Comma 2 4 3 8 3 2 2" xfId="13913" xr:uid="{00000000-0005-0000-0000-000056360000}"/>
    <cellStyle name="Comma 2 4 3 8 3 2 3" xfId="13914" xr:uid="{00000000-0005-0000-0000-000057360000}"/>
    <cellStyle name="Comma 2 4 3 8 3 3" xfId="13915" xr:uid="{00000000-0005-0000-0000-000058360000}"/>
    <cellStyle name="Comma 2 4 3 8 3 4" xfId="13916" xr:uid="{00000000-0005-0000-0000-000059360000}"/>
    <cellStyle name="Comma 2 4 3 8 3 5" xfId="13917" xr:uid="{00000000-0005-0000-0000-00005A360000}"/>
    <cellStyle name="Comma 2 4 3 8 3 6" xfId="13918" xr:uid="{00000000-0005-0000-0000-00005B360000}"/>
    <cellStyle name="Comma 2 4 3 8 4" xfId="13919" xr:uid="{00000000-0005-0000-0000-00005C360000}"/>
    <cellStyle name="Comma 2 4 3 8 4 2" xfId="13920" xr:uid="{00000000-0005-0000-0000-00005D360000}"/>
    <cellStyle name="Comma 2 4 3 8 4 2 2" xfId="13921" xr:uid="{00000000-0005-0000-0000-00005E360000}"/>
    <cellStyle name="Comma 2 4 3 8 4 3" xfId="13922" xr:uid="{00000000-0005-0000-0000-00005F360000}"/>
    <cellStyle name="Comma 2 4 3 8 4 4" xfId="13923" xr:uid="{00000000-0005-0000-0000-000060360000}"/>
    <cellStyle name="Comma 2 4 3 8 4 5" xfId="13924" xr:uid="{00000000-0005-0000-0000-000061360000}"/>
    <cellStyle name="Comma 2 4 3 8 5" xfId="13925" xr:uid="{00000000-0005-0000-0000-000062360000}"/>
    <cellStyle name="Comma 2 4 3 8 5 2" xfId="13926" xr:uid="{00000000-0005-0000-0000-000063360000}"/>
    <cellStyle name="Comma 2 4 3 8 5 3" xfId="13927" xr:uid="{00000000-0005-0000-0000-000064360000}"/>
    <cellStyle name="Comma 2 4 3 8 5 4" xfId="13928" xr:uid="{00000000-0005-0000-0000-000065360000}"/>
    <cellStyle name="Comma 2 4 3 8 6" xfId="13929" xr:uid="{00000000-0005-0000-0000-000066360000}"/>
    <cellStyle name="Comma 2 4 3 8 6 2" xfId="13930" xr:uid="{00000000-0005-0000-0000-000067360000}"/>
    <cellStyle name="Comma 2 4 3 8 7" xfId="13931" xr:uid="{00000000-0005-0000-0000-000068360000}"/>
    <cellStyle name="Comma 2 4 3 8 8" xfId="13932" xr:uid="{00000000-0005-0000-0000-000069360000}"/>
    <cellStyle name="Comma 2 4 3 8 9" xfId="13933" xr:uid="{00000000-0005-0000-0000-00006A360000}"/>
    <cellStyle name="Comma 2 4 3 9" xfId="13934" xr:uid="{00000000-0005-0000-0000-00006B360000}"/>
    <cellStyle name="Comma 2 4 3 9 10" xfId="13935" xr:uid="{00000000-0005-0000-0000-00006C360000}"/>
    <cellStyle name="Comma 2 4 3 9 2" xfId="13936" xr:uid="{00000000-0005-0000-0000-00006D360000}"/>
    <cellStyle name="Comma 2 4 3 9 2 2" xfId="13937" xr:uid="{00000000-0005-0000-0000-00006E360000}"/>
    <cellStyle name="Comma 2 4 3 9 2 2 2" xfId="13938" xr:uid="{00000000-0005-0000-0000-00006F360000}"/>
    <cellStyle name="Comma 2 4 3 9 2 2 3" xfId="13939" xr:uid="{00000000-0005-0000-0000-000070360000}"/>
    <cellStyle name="Comma 2 4 3 9 2 3" xfId="13940" xr:uid="{00000000-0005-0000-0000-000071360000}"/>
    <cellStyle name="Comma 2 4 3 9 2 4" xfId="13941" xr:uid="{00000000-0005-0000-0000-000072360000}"/>
    <cellStyle name="Comma 2 4 3 9 2 5" xfId="13942" xr:uid="{00000000-0005-0000-0000-000073360000}"/>
    <cellStyle name="Comma 2 4 3 9 2 6" xfId="13943" xr:uid="{00000000-0005-0000-0000-000074360000}"/>
    <cellStyle name="Comma 2 4 3 9 3" xfId="13944" xr:uid="{00000000-0005-0000-0000-000075360000}"/>
    <cellStyle name="Comma 2 4 3 9 3 2" xfId="13945" xr:uid="{00000000-0005-0000-0000-000076360000}"/>
    <cellStyle name="Comma 2 4 3 9 3 2 2" xfId="13946" xr:uid="{00000000-0005-0000-0000-000077360000}"/>
    <cellStyle name="Comma 2 4 3 9 3 2 3" xfId="13947" xr:uid="{00000000-0005-0000-0000-000078360000}"/>
    <cellStyle name="Comma 2 4 3 9 3 3" xfId="13948" xr:uid="{00000000-0005-0000-0000-000079360000}"/>
    <cellStyle name="Comma 2 4 3 9 3 4" xfId="13949" xr:uid="{00000000-0005-0000-0000-00007A360000}"/>
    <cellStyle name="Comma 2 4 3 9 3 5" xfId="13950" xr:uid="{00000000-0005-0000-0000-00007B360000}"/>
    <cellStyle name="Comma 2 4 3 9 3 6" xfId="13951" xr:uid="{00000000-0005-0000-0000-00007C360000}"/>
    <cellStyle name="Comma 2 4 3 9 4" xfId="13952" xr:uid="{00000000-0005-0000-0000-00007D360000}"/>
    <cellStyle name="Comma 2 4 3 9 4 2" xfId="13953" xr:uid="{00000000-0005-0000-0000-00007E360000}"/>
    <cellStyle name="Comma 2 4 3 9 4 2 2" xfId="13954" xr:uid="{00000000-0005-0000-0000-00007F360000}"/>
    <cellStyle name="Comma 2 4 3 9 4 3" xfId="13955" xr:uid="{00000000-0005-0000-0000-000080360000}"/>
    <cellStyle name="Comma 2 4 3 9 4 4" xfId="13956" xr:uid="{00000000-0005-0000-0000-000081360000}"/>
    <cellStyle name="Comma 2 4 3 9 4 5" xfId="13957" xr:uid="{00000000-0005-0000-0000-000082360000}"/>
    <cellStyle name="Comma 2 4 3 9 5" xfId="13958" xr:uid="{00000000-0005-0000-0000-000083360000}"/>
    <cellStyle name="Comma 2 4 3 9 5 2" xfId="13959" xr:uid="{00000000-0005-0000-0000-000084360000}"/>
    <cellStyle name="Comma 2 4 3 9 5 3" xfId="13960" xr:uid="{00000000-0005-0000-0000-000085360000}"/>
    <cellStyle name="Comma 2 4 3 9 5 4" xfId="13961" xr:uid="{00000000-0005-0000-0000-000086360000}"/>
    <cellStyle name="Comma 2 4 3 9 6" xfId="13962" xr:uid="{00000000-0005-0000-0000-000087360000}"/>
    <cellStyle name="Comma 2 4 3 9 6 2" xfId="13963" xr:uid="{00000000-0005-0000-0000-000088360000}"/>
    <cellStyle name="Comma 2 4 3 9 7" xfId="13964" xr:uid="{00000000-0005-0000-0000-000089360000}"/>
    <cellStyle name="Comma 2 4 3 9 8" xfId="13965" xr:uid="{00000000-0005-0000-0000-00008A360000}"/>
    <cellStyle name="Comma 2 4 3 9 9" xfId="13966" xr:uid="{00000000-0005-0000-0000-00008B360000}"/>
    <cellStyle name="Comma 2 4 30" xfId="13967" xr:uid="{00000000-0005-0000-0000-00008C360000}"/>
    <cellStyle name="Comma 2 4 30 2" xfId="13968" xr:uid="{00000000-0005-0000-0000-00008D360000}"/>
    <cellStyle name="Comma 2 4 30 2 2" xfId="13969" xr:uid="{00000000-0005-0000-0000-00008E360000}"/>
    <cellStyle name="Comma 2 4 30 2 2 2" xfId="13970" xr:uid="{00000000-0005-0000-0000-00008F360000}"/>
    <cellStyle name="Comma 2 4 30 2 2 3" xfId="13971" xr:uid="{00000000-0005-0000-0000-000090360000}"/>
    <cellStyle name="Comma 2 4 30 2 3" xfId="13972" xr:uid="{00000000-0005-0000-0000-000091360000}"/>
    <cellStyle name="Comma 2 4 30 2 4" xfId="13973" xr:uid="{00000000-0005-0000-0000-000092360000}"/>
    <cellStyle name="Comma 2 4 30 2 5" xfId="13974" xr:uid="{00000000-0005-0000-0000-000093360000}"/>
    <cellStyle name="Comma 2 4 30 2 6" xfId="13975" xr:uid="{00000000-0005-0000-0000-000094360000}"/>
    <cellStyle name="Comma 2 4 30 3" xfId="13976" xr:uid="{00000000-0005-0000-0000-000095360000}"/>
    <cellStyle name="Comma 2 4 30 3 2" xfId="13977" xr:uid="{00000000-0005-0000-0000-000096360000}"/>
    <cellStyle name="Comma 2 4 30 3 2 2" xfId="13978" xr:uid="{00000000-0005-0000-0000-000097360000}"/>
    <cellStyle name="Comma 2 4 30 3 3" xfId="13979" xr:uid="{00000000-0005-0000-0000-000098360000}"/>
    <cellStyle name="Comma 2 4 30 3 4" xfId="13980" xr:uid="{00000000-0005-0000-0000-000099360000}"/>
    <cellStyle name="Comma 2 4 30 3 5" xfId="13981" xr:uid="{00000000-0005-0000-0000-00009A360000}"/>
    <cellStyle name="Comma 2 4 30 4" xfId="13982" xr:uid="{00000000-0005-0000-0000-00009B360000}"/>
    <cellStyle name="Comma 2 4 30 4 2" xfId="13983" xr:uid="{00000000-0005-0000-0000-00009C360000}"/>
    <cellStyle name="Comma 2 4 30 4 3" xfId="13984" xr:uid="{00000000-0005-0000-0000-00009D360000}"/>
    <cellStyle name="Comma 2 4 30 4 4" xfId="13985" xr:uid="{00000000-0005-0000-0000-00009E360000}"/>
    <cellStyle name="Comma 2 4 30 5" xfId="13986" xr:uid="{00000000-0005-0000-0000-00009F360000}"/>
    <cellStyle name="Comma 2 4 30 5 2" xfId="13987" xr:uid="{00000000-0005-0000-0000-0000A0360000}"/>
    <cellStyle name="Comma 2 4 30 6" xfId="13988" xr:uid="{00000000-0005-0000-0000-0000A1360000}"/>
    <cellStyle name="Comma 2 4 30 7" xfId="13989" xr:uid="{00000000-0005-0000-0000-0000A2360000}"/>
    <cellStyle name="Comma 2 4 30 8" xfId="13990" xr:uid="{00000000-0005-0000-0000-0000A3360000}"/>
    <cellStyle name="Comma 2 4 30 9" xfId="13991" xr:uid="{00000000-0005-0000-0000-0000A4360000}"/>
    <cellStyle name="Comma 2 4 31" xfId="13992" xr:uid="{00000000-0005-0000-0000-0000A5360000}"/>
    <cellStyle name="Comma 2 4 31 2" xfId="13993" xr:uid="{00000000-0005-0000-0000-0000A6360000}"/>
    <cellStyle name="Comma 2 4 31 2 2" xfId="13994" xr:uid="{00000000-0005-0000-0000-0000A7360000}"/>
    <cellStyle name="Comma 2 4 31 2 3" xfId="13995" xr:uid="{00000000-0005-0000-0000-0000A8360000}"/>
    <cellStyle name="Comma 2 4 31 3" xfId="13996" xr:uid="{00000000-0005-0000-0000-0000A9360000}"/>
    <cellStyle name="Comma 2 4 31 4" xfId="13997" xr:uid="{00000000-0005-0000-0000-0000AA360000}"/>
    <cellStyle name="Comma 2 4 31 5" xfId="13998" xr:uid="{00000000-0005-0000-0000-0000AB360000}"/>
    <cellStyle name="Comma 2 4 31 6" xfId="13999" xr:uid="{00000000-0005-0000-0000-0000AC360000}"/>
    <cellStyle name="Comma 2 4 32" xfId="14000" xr:uid="{00000000-0005-0000-0000-0000AD360000}"/>
    <cellStyle name="Comma 2 4 32 2" xfId="14001" xr:uid="{00000000-0005-0000-0000-0000AE360000}"/>
    <cellStyle name="Comma 2 4 32 2 2" xfId="14002" xr:uid="{00000000-0005-0000-0000-0000AF360000}"/>
    <cellStyle name="Comma 2 4 32 3" xfId="14003" xr:uid="{00000000-0005-0000-0000-0000B0360000}"/>
    <cellStyle name="Comma 2 4 32 4" xfId="14004" xr:uid="{00000000-0005-0000-0000-0000B1360000}"/>
    <cellStyle name="Comma 2 4 32 5" xfId="14005" xr:uid="{00000000-0005-0000-0000-0000B2360000}"/>
    <cellStyle name="Comma 2 4 33" xfId="14006" xr:uid="{00000000-0005-0000-0000-0000B3360000}"/>
    <cellStyle name="Comma 2 4 33 2" xfId="14007" xr:uid="{00000000-0005-0000-0000-0000B4360000}"/>
    <cellStyle name="Comma 2 4 33 2 2" xfId="14008" xr:uid="{00000000-0005-0000-0000-0000B5360000}"/>
    <cellStyle name="Comma 2 4 33 3" xfId="14009" xr:uid="{00000000-0005-0000-0000-0000B6360000}"/>
    <cellStyle name="Comma 2 4 33 4" xfId="14010" xr:uid="{00000000-0005-0000-0000-0000B7360000}"/>
    <cellStyle name="Comma 2 4 33 5" xfId="14011" xr:uid="{00000000-0005-0000-0000-0000B8360000}"/>
    <cellStyle name="Comma 2 4 34" xfId="14012" xr:uid="{00000000-0005-0000-0000-0000B9360000}"/>
    <cellStyle name="Comma 2 4 34 2" xfId="14013" xr:uid="{00000000-0005-0000-0000-0000BA360000}"/>
    <cellStyle name="Comma 2 4 35" xfId="14014" xr:uid="{00000000-0005-0000-0000-0000BB360000}"/>
    <cellStyle name="Comma 2 4 36" xfId="14015" xr:uid="{00000000-0005-0000-0000-0000BC360000}"/>
    <cellStyle name="Comma 2 4 37" xfId="14016" xr:uid="{00000000-0005-0000-0000-0000BD360000}"/>
    <cellStyle name="Comma 2 4 38" xfId="14017" xr:uid="{00000000-0005-0000-0000-0000BE360000}"/>
    <cellStyle name="Comma 2 4 4" xfId="14018" xr:uid="{00000000-0005-0000-0000-0000BF360000}"/>
    <cellStyle name="Comma 2 4 4 10" xfId="14019" xr:uid="{00000000-0005-0000-0000-0000C0360000}"/>
    <cellStyle name="Comma 2 4 4 11" xfId="14020" xr:uid="{00000000-0005-0000-0000-0000C1360000}"/>
    <cellStyle name="Comma 2 4 4 2" xfId="14021" xr:uid="{00000000-0005-0000-0000-0000C2360000}"/>
    <cellStyle name="Comma 2 4 4 2 2" xfId="14022" xr:uid="{00000000-0005-0000-0000-0000C3360000}"/>
    <cellStyle name="Comma 2 4 4 2 2 2" xfId="14023" xr:uid="{00000000-0005-0000-0000-0000C4360000}"/>
    <cellStyle name="Comma 2 4 4 2 2 2 2" xfId="14024" xr:uid="{00000000-0005-0000-0000-0000C5360000}"/>
    <cellStyle name="Comma 2 4 4 2 2 2 3" xfId="14025" xr:uid="{00000000-0005-0000-0000-0000C6360000}"/>
    <cellStyle name="Comma 2 4 4 2 2 3" xfId="14026" xr:uid="{00000000-0005-0000-0000-0000C7360000}"/>
    <cellStyle name="Comma 2 4 4 2 2 4" xfId="14027" xr:uid="{00000000-0005-0000-0000-0000C8360000}"/>
    <cellStyle name="Comma 2 4 4 2 2 5" xfId="14028" xr:uid="{00000000-0005-0000-0000-0000C9360000}"/>
    <cellStyle name="Comma 2 4 4 2 2 6" xfId="14029" xr:uid="{00000000-0005-0000-0000-0000CA360000}"/>
    <cellStyle name="Comma 2 4 4 2 3" xfId="14030" xr:uid="{00000000-0005-0000-0000-0000CB360000}"/>
    <cellStyle name="Comma 2 4 4 2 3 2" xfId="14031" xr:uid="{00000000-0005-0000-0000-0000CC360000}"/>
    <cellStyle name="Comma 2 4 4 2 3 2 2" xfId="14032" xr:uid="{00000000-0005-0000-0000-0000CD360000}"/>
    <cellStyle name="Comma 2 4 4 2 3 3" xfId="14033" xr:uid="{00000000-0005-0000-0000-0000CE360000}"/>
    <cellStyle name="Comma 2 4 4 2 3 4" xfId="14034" xr:uid="{00000000-0005-0000-0000-0000CF360000}"/>
    <cellStyle name="Comma 2 4 4 2 3 5" xfId="14035" xr:uid="{00000000-0005-0000-0000-0000D0360000}"/>
    <cellStyle name="Comma 2 4 4 2 4" xfId="14036" xr:uid="{00000000-0005-0000-0000-0000D1360000}"/>
    <cellStyle name="Comma 2 4 4 2 4 2" xfId="14037" xr:uid="{00000000-0005-0000-0000-0000D2360000}"/>
    <cellStyle name="Comma 2 4 4 2 4 3" xfId="14038" xr:uid="{00000000-0005-0000-0000-0000D3360000}"/>
    <cellStyle name="Comma 2 4 4 2 4 4" xfId="14039" xr:uid="{00000000-0005-0000-0000-0000D4360000}"/>
    <cellStyle name="Comma 2 4 4 2 5" xfId="14040" xr:uid="{00000000-0005-0000-0000-0000D5360000}"/>
    <cellStyle name="Comma 2 4 4 2 5 2" xfId="14041" xr:uid="{00000000-0005-0000-0000-0000D6360000}"/>
    <cellStyle name="Comma 2 4 4 2 6" xfId="14042" xr:uid="{00000000-0005-0000-0000-0000D7360000}"/>
    <cellStyle name="Comma 2 4 4 2 7" xfId="14043" xr:uid="{00000000-0005-0000-0000-0000D8360000}"/>
    <cellStyle name="Comma 2 4 4 2 8" xfId="14044" xr:uid="{00000000-0005-0000-0000-0000D9360000}"/>
    <cellStyle name="Comma 2 4 4 2 9" xfId="14045" xr:uid="{00000000-0005-0000-0000-0000DA360000}"/>
    <cellStyle name="Comma 2 4 4 3" xfId="14046" xr:uid="{00000000-0005-0000-0000-0000DB360000}"/>
    <cellStyle name="Comma 2 4 4 3 2" xfId="14047" xr:uid="{00000000-0005-0000-0000-0000DC360000}"/>
    <cellStyle name="Comma 2 4 4 3 2 2" xfId="14048" xr:uid="{00000000-0005-0000-0000-0000DD360000}"/>
    <cellStyle name="Comma 2 4 4 3 2 2 2" xfId="14049" xr:uid="{00000000-0005-0000-0000-0000DE360000}"/>
    <cellStyle name="Comma 2 4 4 3 2 2 3" xfId="14050" xr:uid="{00000000-0005-0000-0000-0000DF360000}"/>
    <cellStyle name="Comma 2 4 4 3 2 3" xfId="14051" xr:uid="{00000000-0005-0000-0000-0000E0360000}"/>
    <cellStyle name="Comma 2 4 4 3 2 4" xfId="14052" xr:uid="{00000000-0005-0000-0000-0000E1360000}"/>
    <cellStyle name="Comma 2 4 4 3 2 5" xfId="14053" xr:uid="{00000000-0005-0000-0000-0000E2360000}"/>
    <cellStyle name="Comma 2 4 4 3 2 6" xfId="14054" xr:uid="{00000000-0005-0000-0000-0000E3360000}"/>
    <cellStyle name="Comma 2 4 4 3 3" xfId="14055" xr:uid="{00000000-0005-0000-0000-0000E4360000}"/>
    <cellStyle name="Comma 2 4 4 3 3 2" xfId="14056" xr:uid="{00000000-0005-0000-0000-0000E5360000}"/>
    <cellStyle name="Comma 2 4 4 3 3 2 2" xfId="14057" xr:uid="{00000000-0005-0000-0000-0000E6360000}"/>
    <cellStyle name="Comma 2 4 4 3 3 3" xfId="14058" xr:uid="{00000000-0005-0000-0000-0000E7360000}"/>
    <cellStyle name="Comma 2 4 4 3 3 4" xfId="14059" xr:uid="{00000000-0005-0000-0000-0000E8360000}"/>
    <cellStyle name="Comma 2 4 4 3 3 5" xfId="14060" xr:uid="{00000000-0005-0000-0000-0000E9360000}"/>
    <cellStyle name="Comma 2 4 4 3 4" xfId="14061" xr:uid="{00000000-0005-0000-0000-0000EA360000}"/>
    <cellStyle name="Comma 2 4 4 3 4 2" xfId="14062" xr:uid="{00000000-0005-0000-0000-0000EB360000}"/>
    <cellStyle name="Comma 2 4 4 3 4 3" xfId="14063" xr:uid="{00000000-0005-0000-0000-0000EC360000}"/>
    <cellStyle name="Comma 2 4 4 3 4 4" xfId="14064" xr:uid="{00000000-0005-0000-0000-0000ED360000}"/>
    <cellStyle name="Comma 2 4 4 3 5" xfId="14065" xr:uid="{00000000-0005-0000-0000-0000EE360000}"/>
    <cellStyle name="Comma 2 4 4 3 5 2" xfId="14066" xr:uid="{00000000-0005-0000-0000-0000EF360000}"/>
    <cellStyle name="Comma 2 4 4 3 6" xfId="14067" xr:uid="{00000000-0005-0000-0000-0000F0360000}"/>
    <cellStyle name="Comma 2 4 4 3 7" xfId="14068" xr:uid="{00000000-0005-0000-0000-0000F1360000}"/>
    <cellStyle name="Comma 2 4 4 3 8" xfId="14069" xr:uid="{00000000-0005-0000-0000-0000F2360000}"/>
    <cellStyle name="Comma 2 4 4 3 9" xfId="14070" xr:uid="{00000000-0005-0000-0000-0000F3360000}"/>
    <cellStyle name="Comma 2 4 4 4" xfId="14071" xr:uid="{00000000-0005-0000-0000-0000F4360000}"/>
    <cellStyle name="Comma 2 4 4 4 2" xfId="14072" xr:uid="{00000000-0005-0000-0000-0000F5360000}"/>
    <cellStyle name="Comma 2 4 4 4 2 2" xfId="14073" xr:uid="{00000000-0005-0000-0000-0000F6360000}"/>
    <cellStyle name="Comma 2 4 4 4 2 3" xfId="14074" xr:uid="{00000000-0005-0000-0000-0000F7360000}"/>
    <cellStyle name="Comma 2 4 4 4 3" xfId="14075" xr:uid="{00000000-0005-0000-0000-0000F8360000}"/>
    <cellStyle name="Comma 2 4 4 4 4" xfId="14076" xr:uid="{00000000-0005-0000-0000-0000F9360000}"/>
    <cellStyle name="Comma 2 4 4 4 5" xfId="14077" xr:uid="{00000000-0005-0000-0000-0000FA360000}"/>
    <cellStyle name="Comma 2 4 4 4 6" xfId="14078" xr:uid="{00000000-0005-0000-0000-0000FB360000}"/>
    <cellStyle name="Comma 2 4 4 5" xfId="14079" xr:uid="{00000000-0005-0000-0000-0000FC360000}"/>
    <cellStyle name="Comma 2 4 4 5 2" xfId="14080" xr:uid="{00000000-0005-0000-0000-0000FD360000}"/>
    <cellStyle name="Comma 2 4 4 5 2 2" xfId="14081" xr:uid="{00000000-0005-0000-0000-0000FE360000}"/>
    <cellStyle name="Comma 2 4 4 5 3" xfId="14082" xr:uid="{00000000-0005-0000-0000-0000FF360000}"/>
    <cellStyle name="Comma 2 4 4 5 4" xfId="14083" xr:uid="{00000000-0005-0000-0000-000000370000}"/>
    <cellStyle name="Comma 2 4 4 5 5" xfId="14084" xr:uid="{00000000-0005-0000-0000-000001370000}"/>
    <cellStyle name="Comma 2 4 4 6" xfId="14085" xr:uid="{00000000-0005-0000-0000-000002370000}"/>
    <cellStyle name="Comma 2 4 4 6 2" xfId="14086" xr:uid="{00000000-0005-0000-0000-000003370000}"/>
    <cellStyle name="Comma 2 4 4 6 3" xfId="14087" xr:uid="{00000000-0005-0000-0000-000004370000}"/>
    <cellStyle name="Comma 2 4 4 6 4" xfId="14088" xr:uid="{00000000-0005-0000-0000-000005370000}"/>
    <cellStyle name="Comma 2 4 4 7" xfId="14089" xr:uid="{00000000-0005-0000-0000-000006370000}"/>
    <cellStyle name="Comma 2 4 4 7 2" xfId="14090" xr:uid="{00000000-0005-0000-0000-000007370000}"/>
    <cellStyle name="Comma 2 4 4 8" xfId="14091" xr:uid="{00000000-0005-0000-0000-000008370000}"/>
    <cellStyle name="Comma 2 4 4 9" xfId="14092" xr:uid="{00000000-0005-0000-0000-000009370000}"/>
    <cellStyle name="Comma 2 4 5" xfId="14093" xr:uid="{00000000-0005-0000-0000-00000A370000}"/>
    <cellStyle name="Comma 2 4 5 10" xfId="14094" xr:uid="{00000000-0005-0000-0000-00000B370000}"/>
    <cellStyle name="Comma 2 4 5 11" xfId="14095" xr:uid="{00000000-0005-0000-0000-00000C370000}"/>
    <cellStyle name="Comma 2 4 5 2" xfId="14096" xr:uid="{00000000-0005-0000-0000-00000D370000}"/>
    <cellStyle name="Comma 2 4 5 2 2" xfId="14097" xr:uid="{00000000-0005-0000-0000-00000E370000}"/>
    <cellStyle name="Comma 2 4 5 2 2 2" xfId="14098" xr:uid="{00000000-0005-0000-0000-00000F370000}"/>
    <cellStyle name="Comma 2 4 5 2 2 2 2" xfId="14099" xr:uid="{00000000-0005-0000-0000-000010370000}"/>
    <cellStyle name="Comma 2 4 5 2 2 2 3" xfId="14100" xr:uid="{00000000-0005-0000-0000-000011370000}"/>
    <cellStyle name="Comma 2 4 5 2 2 3" xfId="14101" xr:uid="{00000000-0005-0000-0000-000012370000}"/>
    <cellStyle name="Comma 2 4 5 2 2 4" xfId="14102" xr:uid="{00000000-0005-0000-0000-000013370000}"/>
    <cellStyle name="Comma 2 4 5 2 2 5" xfId="14103" xr:uid="{00000000-0005-0000-0000-000014370000}"/>
    <cellStyle name="Comma 2 4 5 2 2 6" xfId="14104" xr:uid="{00000000-0005-0000-0000-000015370000}"/>
    <cellStyle name="Comma 2 4 5 2 3" xfId="14105" xr:uid="{00000000-0005-0000-0000-000016370000}"/>
    <cellStyle name="Comma 2 4 5 2 3 2" xfId="14106" xr:uid="{00000000-0005-0000-0000-000017370000}"/>
    <cellStyle name="Comma 2 4 5 2 3 2 2" xfId="14107" xr:uid="{00000000-0005-0000-0000-000018370000}"/>
    <cellStyle name="Comma 2 4 5 2 3 3" xfId="14108" xr:uid="{00000000-0005-0000-0000-000019370000}"/>
    <cellStyle name="Comma 2 4 5 2 3 4" xfId="14109" xr:uid="{00000000-0005-0000-0000-00001A370000}"/>
    <cellStyle name="Comma 2 4 5 2 3 5" xfId="14110" xr:uid="{00000000-0005-0000-0000-00001B370000}"/>
    <cellStyle name="Comma 2 4 5 2 4" xfId="14111" xr:uid="{00000000-0005-0000-0000-00001C370000}"/>
    <cellStyle name="Comma 2 4 5 2 4 2" xfId="14112" xr:uid="{00000000-0005-0000-0000-00001D370000}"/>
    <cellStyle name="Comma 2 4 5 2 4 3" xfId="14113" xr:uid="{00000000-0005-0000-0000-00001E370000}"/>
    <cellStyle name="Comma 2 4 5 2 4 4" xfId="14114" xr:uid="{00000000-0005-0000-0000-00001F370000}"/>
    <cellStyle name="Comma 2 4 5 2 5" xfId="14115" xr:uid="{00000000-0005-0000-0000-000020370000}"/>
    <cellStyle name="Comma 2 4 5 2 5 2" xfId="14116" xr:uid="{00000000-0005-0000-0000-000021370000}"/>
    <cellStyle name="Comma 2 4 5 2 6" xfId="14117" xr:uid="{00000000-0005-0000-0000-000022370000}"/>
    <cellStyle name="Comma 2 4 5 2 7" xfId="14118" xr:uid="{00000000-0005-0000-0000-000023370000}"/>
    <cellStyle name="Comma 2 4 5 2 8" xfId="14119" xr:uid="{00000000-0005-0000-0000-000024370000}"/>
    <cellStyle name="Comma 2 4 5 2 9" xfId="14120" xr:uid="{00000000-0005-0000-0000-000025370000}"/>
    <cellStyle name="Comma 2 4 5 3" xfId="14121" xr:uid="{00000000-0005-0000-0000-000026370000}"/>
    <cellStyle name="Comma 2 4 5 3 2" xfId="14122" xr:uid="{00000000-0005-0000-0000-000027370000}"/>
    <cellStyle name="Comma 2 4 5 3 2 2" xfId="14123" xr:uid="{00000000-0005-0000-0000-000028370000}"/>
    <cellStyle name="Comma 2 4 5 3 2 2 2" xfId="14124" xr:uid="{00000000-0005-0000-0000-000029370000}"/>
    <cellStyle name="Comma 2 4 5 3 2 2 3" xfId="14125" xr:uid="{00000000-0005-0000-0000-00002A370000}"/>
    <cellStyle name="Comma 2 4 5 3 2 3" xfId="14126" xr:uid="{00000000-0005-0000-0000-00002B370000}"/>
    <cellStyle name="Comma 2 4 5 3 2 4" xfId="14127" xr:uid="{00000000-0005-0000-0000-00002C370000}"/>
    <cellStyle name="Comma 2 4 5 3 2 5" xfId="14128" xr:uid="{00000000-0005-0000-0000-00002D370000}"/>
    <cellStyle name="Comma 2 4 5 3 2 6" xfId="14129" xr:uid="{00000000-0005-0000-0000-00002E370000}"/>
    <cellStyle name="Comma 2 4 5 3 3" xfId="14130" xr:uid="{00000000-0005-0000-0000-00002F370000}"/>
    <cellStyle name="Comma 2 4 5 3 3 2" xfId="14131" xr:uid="{00000000-0005-0000-0000-000030370000}"/>
    <cellStyle name="Comma 2 4 5 3 3 2 2" xfId="14132" xr:uid="{00000000-0005-0000-0000-000031370000}"/>
    <cellStyle name="Comma 2 4 5 3 3 3" xfId="14133" xr:uid="{00000000-0005-0000-0000-000032370000}"/>
    <cellStyle name="Comma 2 4 5 3 3 4" xfId="14134" xr:uid="{00000000-0005-0000-0000-000033370000}"/>
    <cellStyle name="Comma 2 4 5 3 3 5" xfId="14135" xr:uid="{00000000-0005-0000-0000-000034370000}"/>
    <cellStyle name="Comma 2 4 5 3 4" xfId="14136" xr:uid="{00000000-0005-0000-0000-000035370000}"/>
    <cellStyle name="Comma 2 4 5 3 4 2" xfId="14137" xr:uid="{00000000-0005-0000-0000-000036370000}"/>
    <cellStyle name="Comma 2 4 5 3 4 3" xfId="14138" xr:uid="{00000000-0005-0000-0000-000037370000}"/>
    <cellStyle name="Comma 2 4 5 3 4 4" xfId="14139" xr:uid="{00000000-0005-0000-0000-000038370000}"/>
    <cellStyle name="Comma 2 4 5 3 5" xfId="14140" xr:uid="{00000000-0005-0000-0000-000039370000}"/>
    <cellStyle name="Comma 2 4 5 3 5 2" xfId="14141" xr:uid="{00000000-0005-0000-0000-00003A370000}"/>
    <cellStyle name="Comma 2 4 5 3 6" xfId="14142" xr:uid="{00000000-0005-0000-0000-00003B370000}"/>
    <cellStyle name="Comma 2 4 5 3 7" xfId="14143" xr:uid="{00000000-0005-0000-0000-00003C370000}"/>
    <cellStyle name="Comma 2 4 5 3 8" xfId="14144" xr:uid="{00000000-0005-0000-0000-00003D370000}"/>
    <cellStyle name="Comma 2 4 5 3 9" xfId="14145" xr:uid="{00000000-0005-0000-0000-00003E370000}"/>
    <cellStyle name="Comma 2 4 5 4" xfId="14146" xr:uid="{00000000-0005-0000-0000-00003F370000}"/>
    <cellStyle name="Comma 2 4 5 4 2" xfId="14147" xr:uid="{00000000-0005-0000-0000-000040370000}"/>
    <cellStyle name="Comma 2 4 5 4 2 2" xfId="14148" xr:uid="{00000000-0005-0000-0000-000041370000}"/>
    <cellStyle name="Comma 2 4 5 4 2 3" xfId="14149" xr:uid="{00000000-0005-0000-0000-000042370000}"/>
    <cellStyle name="Comma 2 4 5 4 3" xfId="14150" xr:uid="{00000000-0005-0000-0000-000043370000}"/>
    <cellStyle name="Comma 2 4 5 4 4" xfId="14151" xr:uid="{00000000-0005-0000-0000-000044370000}"/>
    <cellStyle name="Comma 2 4 5 4 5" xfId="14152" xr:uid="{00000000-0005-0000-0000-000045370000}"/>
    <cellStyle name="Comma 2 4 5 4 6" xfId="14153" xr:uid="{00000000-0005-0000-0000-000046370000}"/>
    <cellStyle name="Comma 2 4 5 5" xfId="14154" xr:uid="{00000000-0005-0000-0000-000047370000}"/>
    <cellStyle name="Comma 2 4 5 5 2" xfId="14155" xr:uid="{00000000-0005-0000-0000-000048370000}"/>
    <cellStyle name="Comma 2 4 5 5 2 2" xfId="14156" xr:uid="{00000000-0005-0000-0000-000049370000}"/>
    <cellStyle name="Comma 2 4 5 5 3" xfId="14157" xr:uid="{00000000-0005-0000-0000-00004A370000}"/>
    <cellStyle name="Comma 2 4 5 5 4" xfId="14158" xr:uid="{00000000-0005-0000-0000-00004B370000}"/>
    <cellStyle name="Comma 2 4 5 5 5" xfId="14159" xr:uid="{00000000-0005-0000-0000-00004C370000}"/>
    <cellStyle name="Comma 2 4 5 6" xfId="14160" xr:uid="{00000000-0005-0000-0000-00004D370000}"/>
    <cellStyle name="Comma 2 4 5 6 2" xfId="14161" xr:uid="{00000000-0005-0000-0000-00004E370000}"/>
    <cellStyle name="Comma 2 4 5 6 3" xfId="14162" xr:uid="{00000000-0005-0000-0000-00004F370000}"/>
    <cellStyle name="Comma 2 4 5 6 4" xfId="14163" xr:uid="{00000000-0005-0000-0000-000050370000}"/>
    <cellStyle name="Comma 2 4 5 7" xfId="14164" xr:uid="{00000000-0005-0000-0000-000051370000}"/>
    <cellStyle name="Comma 2 4 5 7 2" xfId="14165" xr:uid="{00000000-0005-0000-0000-000052370000}"/>
    <cellStyle name="Comma 2 4 5 8" xfId="14166" xr:uid="{00000000-0005-0000-0000-000053370000}"/>
    <cellStyle name="Comma 2 4 5 9" xfId="14167" xr:uid="{00000000-0005-0000-0000-000054370000}"/>
    <cellStyle name="Comma 2 4 6" xfId="14168" xr:uid="{00000000-0005-0000-0000-000055370000}"/>
    <cellStyle name="Comma 2 4 6 10" xfId="14169" xr:uid="{00000000-0005-0000-0000-000056370000}"/>
    <cellStyle name="Comma 2 4 6 11" xfId="14170" xr:uid="{00000000-0005-0000-0000-000057370000}"/>
    <cellStyle name="Comma 2 4 6 2" xfId="14171" xr:uid="{00000000-0005-0000-0000-000058370000}"/>
    <cellStyle name="Comma 2 4 6 2 2" xfId="14172" xr:uid="{00000000-0005-0000-0000-000059370000}"/>
    <cellStyle name="Comma 2 4 6 2 2 2" xfId="14173" xr:uid="{00000000-0005-0000-0000-00005A370000}"/>
    <cellStyle name="Comma 2 4 6 2 2 2 2" xfId="14174" xr:uid="{00000000-0005-0000-0000-00005B370000}"/>
    <cellStyle name="Comma 2 4 6 2 2 2 3" xfId="14175" xr:uid="{00000000-0005-0000-0000-00005C370000}"/>
    <cellStyle name="Comma 2 4 6 2 2 3" xfId="14176" xr:uid="{00000000-0005-0000-0000-00005D370000}"/>
    <cellStyle name="Comma 2 4 6 2 2 4" xfId="14177" xr:uid="{00000000-0005-0000-0000-00005E370000}"/>
    <cellStyle name="Comma 2 4 6 2 2 5" xfId="14178" xr:uid="{00000000-0005-0000-0000-00005F370000}"/>
    <cellStyle name="Comma 2 4 6 2 2 6" xfId="14179" xr:uid="{00000000-0005-0000-0000-000060370000}"/>
    <cellStyle name="Comma 2 4 6 2 3" xfId="14180" xr:uid="{00000000-0005-0000-0000-000061370000}"/>
    <cellStyle name="Comma 2 4 6 2 3 2" xfId="14181" xr:uid="{00000000-0005-0000-0000-000062370000}"/>
    <cellStyle name="Comma 2 4 6 2 3 2 2" xfId="14182" xr:uid="{00000000-0005-0000-0000-000063370000}"/>
    <cellStyle name="Comma 2 4 6 2 3 3" xfId="14183" xr:uid="{00000000-0005-0000-0000-000064370000}"/>
    <cellStyle name="Comma 2 4 6 2 3 4" xfId="14184" xr:uid="{00000000-0005-0000-0000-000065370000}"/>
    <cellStyle name="Comma 2 4 6 2 3 5" xfId="14185" xr:uid="{00000000-0005-0000-0000-000066370000}"/>
    <cellStyle name="Comma 2 4 6 2 4" xfId="14186" xr:uid="{00000000-0005-0000-0000-000067370000}"/>
    <cellStyle name="Comma 2 4 6 2 4 2" xfId="14187" xr:uid="{00000000-0005-0000-0000-000068370000}"/>
    <cellStyle name="Comma 2 4 6 2 4 3" xfId="14188" xr:uid="{00000000-0005-0000-0000-000069370000}"/>
    <cellStyle name="Comma 2 4 6 2 4 4" xfId="14189" xr:uid="{00000000-0005-0000-0000-00006A370000}"/>
    <cellStyle name="Comma 2 4 6 2 5" xfId="14190" xr:uid="{00000000-0005-0000-0000-00006B370000}"/>
    <cellStyle name="Comma 2 4 6 2 5 2" xfId="14191" xr:uid="{00000000-0005-0000-0000-00006C370000}"/>
    <cellStyle name="Comma 2 4 6 2 6" xfId="14192" xr:uid="{00000000-0005-0000-0000-00006D370000}"/>
    <cellStyle name="Comma 2 4 6 2 7" xfId="14193" xr:uid="{00000000-0005-0000-0000-00006E370000}"/>
    <cellStyle name="Comma 2 4 6 2 8" xfId="14194" xr:uid="{00000000-0005-0000-0000-00006F370000}"/>
    <cellStyle name="Comma 2 4 6 2 9" xfId="14195" xr:uid="{00000000-0005-0000-0000-000070370000}"/>
    <cellStyle name="Comma 2 4 6 3" xfId="14196" xr:uid="{00000000-0005-0000-0000-000071370000}"/>
    <cellStyle name="Comma 2 4 6 3 2" xfId="14197" xr:uid="{00000000-0005-0000-0000-000072370000}"/>
    <cellStyle name="Comma 2 4 6 3 2 2" xfId="14198" xr:uid="{00000000-0005-0000-0000-000073370000}"/>
    <cellStyle name="Comma 2 4 6 3 2 2 2" xfId="14199" xr:uid="{00000000-0005-0000-0000-000074370000}"/>
    <cellStyle name="Comma 2 4 6 3 2 2 3" xfId="14200" xr:uid="{00000000-0005-0000-0000-000075370000}"/>
    <cellStyle name="Comma 2 4 6 3 2 3" xfId="14201" xr:uid="{00000000-0005-0000-0000-000076370000}"/>
    <cellStyle name="Comma 2 4 6 3 2 4" xfId="14202" xr:uid="{00000000-0005-0000-0000-000077370000}"/>
    <cellStyle name="Comma 2 4 6 3 2 5" xfId="14203" xr:uid="{00000000-0005-0000-0000-000078370000}"/>
    <cellStyle name="Comma 2 4 6 3 2 6" xfId="14204" xr:uid="{00000000-0005-0000-0000-000079370000}"/>
    <cellStyle name="Comma 2 4 6 3 3" xfId="14205" xr:uid="{00000000-0005-0000-0000-00007A370000}"/>
    <cellStyle name="Comma 2 4 6 3 3 2" xfId="14206" xr:uid="{00000000-0005-0000-0000-00007B370000}"/>
    <cellStyle name="Comma 2 4 6 3 3 2 2" xfId="14207" xr:uid="{00000000-0005-0000-0000-00007C370000}"/>
    <cellStyle name="Comma 2 4 6 3 3 3" xfId="14208" xr:uid="{00000000-0005-0000-0000-00007D370000}"/>
    <cellStyle name="Comma 2 4 6 3 3 4" xfId="14209" xr:uid="{00000000-0005-0000-0000-00007E370000}"/>
    <cellStyle name="Comma 2 4 6 3 3 5" xfId="14210" xr:uid="{00000000-0005-0000-0000-00007F370000}"/>
    <cellStyle name="Comma 2 4 6 3 4" xfId="14211" xr:uid="{00000000-0005-0000-0000-000080370000}"/>
    <cellStyle name="Comma 2 4 6 3 4 2" xfId="14212" xr:uid="{00000000-0005-0000-0000-000081370000}"/>
    <cellStyle name="Comma 2 4 6 3 4 3" xfId="14213" xr:uid="{00000000-0005-0000-0000-000082370000}"/>
    <cellStyle name="Comma 2 4 6 3 4 4" xfId="14214" xr:uid="{00000000-0005-0000-0000-000083370000}"/>
    <cellStyle name="Comma 2 4 6 3 5" xfId="14215" xr:uid="{00000000-0005-0000-0000-000084370000}"/>
    <cellStyle name="Comma 2 4 6 3 5 2" xfId="14216" xr:uid="{00000000-0005-0000-0000-000085370000}"/>
    <cellStyle name="Comma 2 4 6 3 6" xfId="14217" xr:uid="{00000000-0005-0000-0000-000086370000}"/>
    <cellStyle name="Comma 2 4 6 3 7" xfId="14218" xr:uid="{00000000-0005-0000-0000-000087370000}"/>
    <cellStyle name="Comma 2 4 6 3 8" xfId="14219" xr:uid="{00000000-0005-0000-0000-000088370000}"/>
    <cellStyle name="Comma 2 4 6 3 9" xfId="14220" xr:uid="{00000000-0005-0000-0000-000089370000}"/>
    <cellStyle name="Comma 2 4 6 4" xfId="14221" xr:uid="{00000000-0005-0000-0000-00008A370000}"/>
    <cellStyle name="Comma 2 4 6 4 2" xfId="14222" xr:uid="{00000000-0005-0000-0000-00008B370000}"/>
    <cellStyle name="Comma 2 4 6 4 2 2" xfId="14223" xr:uid="{00000000-0005-0000-0000-00008C370000}"/>
    <cellStyle name="Comma 2 4 6 4 2 3" xfId="14224" xr:uid="{00000000-0005-0000-0000-00008D370000}"/>
    <cellStyle name="Comma 2 4 6 4 3" xfId="14225" xr:uid="{00000000-0005-0000-0000-00008E370000}"/>
    <cellStyle name="Comma 2 4 6 4 4" xfId="14226" xr:uid="{00000000-0005-0000-0000-00008F370000}"/>
    <cellStyle name="Comma 2 4 6 4 5" xfId="14227" xr:uid="{00000000-0005-0000-0000-000090370000}"/>
    <cellStyle name="Comma 2 4 6 4 6" xfId="14228" xr:uid="{00000000-0005-0000-0000-000091370000}"/>
    <cellStyle name="Comma 2 4 6 5" xfId="14229" xr:uid="{00000000-0005-0000-0000-000092370000}"/>
    <cellStyle name="Comma 2 4 6 5 2" xfId="14230" xr:uid="{00000000-0005-0000-0000-000093370000}"/>
    <cellStyle name="Comma 2 4 6 5 2 2" xfId="14231" xr:uid="{00000000-0005-0000-0000-000094370000}"/>
    <cellStyle name="Comma 2 4 6 5 3" xfId="14232" xr:uid="{00000000-0005-0000-0000-000095370000}"/>
    <cellStyle name="Comma 2 4 6 5 4" xfId="14233" xr:uid="{00000000-0005-0000-0000-000096370000}"/>
    <cellStyle name="Comma 2 4 6 5 5" xfId="14234" xr:uid="{00000000-0005-0000-0000-000097370000}"/>
    <cellStyle name="Comma 2 4 6 6" xfId="14235" xr:uid="{00000000-0005-0000-0000-000098370000}"/>
    <cellStyle name="Comma 2 4 6 6 2" xfId="14236" xr:uid="{00000000-0005-0000-0000-000099370000}"/>
    <cellStyle name="Comma 2 4 6 6 3" xfId="14237" xr:uid="{00000000-0005-0000-0000-00009A370000}"/>
    <cellStyle name="Comma 2 4 6 6 4" xfId="14238" xr:uid="{00000000-0005-0000-0000-00009B370000}"/>
    <cellStyle name="Comma 2 4 6 7" xfId="14239" xr:uid="{00000000-0005-0000-0000-00009C370000}"/>
    <cellStyle name="Comma 2 4 6 7 2" xfId="14240" xr:uid="{00000000-0005-0000-0000-00009D370000}"/>
    <cellStyle name="Comma 2 4 6 8" xfId="14241" xr:uid="{00000000-0005-0000-0000-00009E370000}"/>
    <cellStyle name="Comma 2 4 6 9" xfId="14242" xr:uid="{00000000-0005-0000-0000-00009F370000}"/>
    <cellStyle name="Comma 2 4 7" xfId="14243" xr:uid="{00000000-0005-0000-0000-0000A0370000}"/>
    <cellStyle name="Comma 2 4 7 10" xfId="14244" xr:uid="{00000000-0005-0000-0000-0000A1370000}"/>
    <cellStyle name="Comma 2 4 7 11" xfId="14245" xr:uid="{00000000-0005-0000-0000-0000A2370000}"/>
    <cellStyle name="Comma 2 4 7 2" xfId="14246" xr:uid="{00000000-0005-0000-0000-0000A3370000}"/>
    <cellStyle name="Comma 2 4 7 2 2" xfId="14247" xr:uid="{00000000-0005-0000-0000-0000A4370000}"/>
    <cellStyle name="Comma 2 4 7 2 2 2" xfId="14248" xr:uid="{00000000-0005-0000-0000-0000A5370000}"/>
    <cellStyle name="Comma 2 4 7 2 2 2 2" xfId="14249" xr:uid="{00000000-0005-0000-0000-0000A6370000}"/>
    <cellStyle name="Comma 2 4 7 2 2 2 3" xfId="14250" xr:uid="{00000000-0005-0000-0000-0000A7370000}"/>
    <cellStyle name="Comma 2 4 7 2 2 3" xfId="14251" xr:uid="{00000000-0005-0000-0000-0000A8370000}"/>
    <cellStyle name="Comma 2 4 7 2 2 4" xfId="14252" xr:uid="{00000000-0005-0000-0000-0000A9370000}"/>
    <cellStyle name="Comma 2 4 7 2 2 5" xfId="14253" xr:uid="{00000000-0005-0000-0000-0000AA370000}"/>
    <cellStyle name="Comma 2 4 7 2 2 6" xfId="14254" xr:uid="{00000000-0005-0000-0000-0000AB370000}"/>
    <cellStyle name="Comma 2 4 7 2 3" xfId="14255" xr:uid="{00000000-0005-0000-0000-0000AC370000}"/>
    <cellStyle name="Comma 2 4 7 2 3 2" xfId="14256" xr:uid="{00000000-0005-0000-0000-0000AD370000}"/>
    <cellStyle name="Comma 2 4 7 2 3 2 2" xfId="14257" xr:uid="{00000000-0005-0000-0000-0000AE370000}"/>
    <cellStyle name="Comma 2 4 7 2 3 3" xfId="14258" xr:uid="{00000000-0005-0000-0000-0000AF370000}"/>
    <cellStyle name="Comma 2 4 7 2 3 4" xfId="14259" xr:uid="{00000000-0005-0000-0000-0000B0370000}"/>
    <cellStyle name="Comma 2 4 7 2 3 5" xfId="14260" xr:uid="{00000000-0005-0000-0000-0000B1370000}"/>
    <cellStyle name="Comma 2 4 7 2 4" xfId="14261" xr:uid="{00000000-0005-0000-0000-0000B2370000}"/>
    <cellStyle name="Comma 2 4 7 2 4 2" xfId="14262" xr:uid="{00000000-0005-0000-0000-0000B3370000}"/>
    <cellStyle name="Comma 2 4 7 2 4 3" xfId="14263" xr:uid="{00000000-0005-0000-0000-0000B4370000}"/>
    <cellStyle name="Comma 2 4 7 2 4 4" xfId="14264" xr:uid="{00000000-0005-0000-0000-0000B5370000}"/>
    <cellStyle name="Comma 2 4 7 2 5" xfId="14265" xr:uid="{00000000-0005-0000-0000-0000B6370000}"/>
    <cellStyle name="Comma 2 4 7 2 5 2" xfId="14266" xr:uid="{00000000-0005-0000-0000-0000B7370000}"/>
    <cellStyle name="Comma 2 4 7 2 6" xfId="14267" xr:uid="{00000000-0005-0000-0000-0000B8370000}"/>
    <cellStyle name="Comma 2 4 7 2 7" xfId="14268" xr:uid="{00000000-0005-0000-0000-0000B9370000}"/>
    <cellStyle name="Comma 2 4 7 2 8" xfId="14269" xr:uid="{00000000-0005-0000-0000-0000BA370000}"/>
    <cellStyle name="Comma 2 4 7 2 9" xfId="14270" xr:uid="{00000000-0005-0000-0000-0000BB370000}"/>
    <cellStyle name="Comma 2 4 7 3" xfId="14271" xr:uid="{00000000-0005-0000-0000-0000BC370000}"/>
    <cellStyle name="Comma 2 4 7 3 2" xfId="14272" xr:uid="{00000000-0005-0000-0000-0000BD370000}"/>
    <cellStyle name="Comma 2 4 7 3 2 2" xfId="14273" xr:uid="{00000000-0005-0000-0000-0000BE370000}"/>
    <cellStyle name="Comma 2 4 7 3 2 2 2" xfId="14274" xr:uid="{00000000-0005-0000-0000-0000BF370000}"/>
    <cellStyle name="Comma 2 4 7 3 2 2 3" xfId="14275" xr:uid="{00000000-0005-0000-0000-0000C0370000}"/>
    <cellStyle name="Comma 2 4 7 3 2 3" xfId="14276" xr:uid="{00000000-0005-0000-0000-0000C1370000}"/>
    <cellStyle name="Comma 2 4 7 3 2 4" xfId="14277" xr:uid="{00000000-0005-0000-0000-0000C2370000}"/>
    <cellStyle name="Comma 2 4 7 3 2 5" xfId="14278" xr:uid="{00000000-0005-0000-0000-0000C3370000}"/>
    <cellStyle name="Comma 2 4 7 3 2 6" xfId="14279" xr:uid="{00000000-0005-0000-0000-0000C4370000}"/>
    <cellStyle name="Comma 2 4 7 3 3" xfId="14280" xr:uid="{00000000-0005-0000-0000-0000C5370000}"/>
    <cellStyle name="Comma 2 4 7 3 3 2" xfId="14281" xr:uid="{00000000-0005-0000-0000-0000C6370000}"/>
    <cellStyle name="Comma 2 4 7 3 3 2 2" xfId="14282" xr:uid="{00000000-0005-0000-0000-0000C7370000}"/>
    <cellStyle name="Comma 2 4 7 3 3 3" xfId="14283" xr:uid="{00000000-0005-0000-0000-0000C8370000}"/>
    <cellStyle name="Comma 2 4 7 3 3 4" xfId="14284" xr:uid="{00000000-0005-0000-0000-0000C9370000}"/>
    <cellStyle name="Comma 2 4 7 3 3 5" xfId="14285" xr:uid="{00000000-0005-0000-0000-0000CA370000}"/>
    <cellStyle name="Comma 2 4 7 3 4" xfId="14286" xr:uid="{00000000-0005-0000-0000-0000CB370000}"/>
    <cellStyle name="Comma 2 4 7 3 4 2" xfId="14287" xr:uid="{00000000-0005-0000-0000-0000CC370000}"/>
    <cellStyle name="Comma 2 4 7 3 4 3" xfId="14288" xr:uid="{00000000-0005-0000-0000-0000CD370000}"/>
    <cellStyle name="Comma 2 4 7 3 4 4" xfId="14289" xr:uid="{00000000-0005-0000-0000-0000CE370000}"/>
    <cellStyle name="Comma 2 4 7 3 5" xfId="14290" xr:uid="{00000000-0005-0000-0000-0000CF370000}"/>
    <cellStyle name="Comma 2 4 7 3 5 2" xfId="14291" xr:uid="{00000000-0005-0000-0000-0000D0370000}"/>
    <cellStyle name="Comma 2 4 7 3 6" xfId="14292" xr:uid="{00000000-0005-0000-0000-0000D1370000}"/>
    <cellStyle name="Comma 2 4 7 3 7" xfId="14293" xr:uid="{00000000-0005-0000-0000-0000D2370000}"/>
    <cellStyle name="Comma 2 4 7 3 8" xfId="14294" xr:uid="{00000000-0005-0000-0000-0000D3370000}"/>
    <cellStyle name="Comma 2 4 7 3 9" xfId="14295" xr:uid="{00000000-0005-0000-0000-0000D4370000}"/>
    <cellStyle name="Comma 2 4 7 4" xfId="14296" xr:uid="{00000000-0005-0000-0000-0000D5370000}"/>
    <cellStyle name="Comma 2 4 7 4 2" xfId="14297" xr:uid="{00000000-0005-0000-0000-0000D6370000}"/>
    <cellStyle name="Comma 2 4 7 4 2 2" xfId="14298" xr:uid="{00000000-0005-0000-0000-0000D7370000}"/>
    <cellStyle name="Comma 2 4 7 4 2 3" xfId="14299" xr:uid="{00000000-0005-0000-0000-0000D8370000}"/>
    <cellStyle name="Comma 2 4 7 4 3" xfId="14300" xr:uid="{00000000-0005-0000-0000-0000D9370000}"/>
    <cellStyle name="Comma 2 4 7 4 4" xfId="14301" xr:uid="{00000000-0005-0000-0000-0000DA370000}"/>
    <cellStyle name="Comma 2 4 7 4 5" xfId="14302" xr:uid="{00000000-0005-0000-0000-0000DB370000}"/>
    <cellStyle name="Comma 2 4 7 4 6" xfId="14303" xr:uid="{00000000-0005-0000-0000-0000DC370000}"/>
    <cellStyle name="Comma 2 4 7 5" xfId="14304" xr:uid="{00000000-0005-0000-0000-0000DD370000}"/>
    <cellStyle name="Comma 2 4 7 5 2" xfId="14305" xr:uid="{00000000-0005-0000-0000-0000DE370000}"/>
    <cellStyle name="Comma 2 4 7 5 2 2" xfId="14306" xr:uid="{00000000-0005-0000-0000-0000DF370000}"/>
    <cellStyle name="Comma 2 4 7 5 3" xfId="14307" xr:uid="{00000000-0005-0000-0000-0000E0370000}"/>
    <cellStyle name="Comma 2 4 7 5 4" xfId="14308" xr:uid="{00000000-0005-0000-0000-0000E1370000}"/>
    <cellStyle name="Comma 2 4 7 5 5" xfId="14309" xr:uid="{00000000-0005-0000-0000-0000E2370000}"/>
    <cellStyle name="Comma 2 4 7 6" xfId="14310" xr:uid="{00000000-0005-0000-0000-0000E3370000}"/>
    <cellStyle name="Comma 2 4 7 6 2" xfId="14311" xr:uid="{00000000-0005-0000-0000-0000E4370000}"/>
    <cellStyle name="Comma 2 4 7 6 3" xfId="14312" xr:uid="{00000000-0005-0000-0000-0000E5370000}"/>
    <cellStyle name="Comma 2 4 7 6 4" xfId="14313" xr:uid="{00000000-0005-0000-0000-0000E6370000}"/>
    <cellStyle name="Comma 2 4 7 7" xfId="14314" xr:uid="{00000000-0005-0000-0000-0000E7370000}"/>
    <cellStyle name="Comma 2 4 7 7 2" xfId="14315" xr:uid="{00000000-0005-0000-0000-0000E8370000}"/>
    <cellStyle name="Comma 2 4 7 8" xfId="14316" xr:uid="{00000000-0005-0000-0000-0000E9370000}"/>
    <cellStyle name="Comma 2 4 7 9" xfId="14317" xr:uid="{00000000-0005-0000-0000-0000EA370000}"/>
    <cellStyle name="Comma 2 4 8" xfId="14318" xr:uid="{00000000-0005-0000-0000-0000EB370000}"/>
    <cellStyle name="Comma 2 4 8 10" xfId="14319" xr:uid="{00000000-0005-0000-0000-0000EC370000}"/>
    <cellStyle name="Comma 2 4 8 11" xfId="14320" xr:uid="{00000000-0005-0000-0000-0000ED370000}"/>
    <cellStyle name="Comma 2 4 8 2" xfId="14321" xr:uid="{00000000-0005-0000-0000-0000EE370000}"/>
    <cellStyle name="Comma 2 4 8 2 2" xfId="14322" xr:uid="{00000000-0005-0000-0000-0000EF370000}"/>
    <cellStyle name="Comma 2 4 8 2 2 2" xfId="14323" xr:uid="{00000000-0005-0000-0000-0000F0370000}"/>
    <cellStyle name="Comma 2 4 8 2 2 2 2" xfId="14324" xr:uid="{00000000-0005-0000-0000-0000F1370000}"/>
    <cellStyle name="Comma 2 4 8 2 2 2 3" xfId="14325" xr:uid="{00000000-0005-0000-0000-0000F2370000}"/>
    <cellStyle name="Comma 2 4 8 2 2 3" xfId="14326" xr:uid="{00000000-0005-0000-0000-0000F3370000}"/>
    <cellStyle name="Comma 2 4 8 2 2 4" xfId="14327" xr:uid="{00000000-0005-0000-0000-0000F4370000}"/>
    <cellStyle name="Comma 2 4 8 2 2 5" xfId="14328" xr:uid="{00000000-0005-0000-0000-0000F5370000}"/>
    <cellStyle name="Comma 2 4 8 2 2 6" xfId="14329" xr:uid="{00000000-0005-0000-0000-0000F6370000}"/>
    <cellStyle name="Comma 2 4 8 2 3" xfId="14330" xr:uid="{00000000-0005-0000-0000-0000F7370000}"/>
    <cellStyle name="Comma 2 4 8 2 3 2" xfId="14331" xr:uid="{00000000-0005-0000-0000-0000F8370000}"/>
    <cellStyle name="Comma 2 4 8 2 3 2 2" xfId="14332" xr:uid="{00000000-0005-0000-0000-0000F9370000}"/>
    <cellStyle name="Comma 2 4 8 2 3 3" xfId="14333" xr:uid="{00000000-0005-0000-0000-0000FA370000}"/>
    <cellStyle name="Comma 2 4 8 2 3 4" xfId="14334" xr:uid="{00000000-0005-0000-0000-0000FB370000}"/>
    <cellStyle name="Comma 2 4 8 2 3 5" xfId="14335" xr:uid="{00000000-0005-0000-0000-0000FC370000}"/>
    <cellStyle name="Comma 2 4 8 2 4" xfId="14336" xr:uid="{00000000-0005-0000-0000-0000FD370000}"/>
    <cellStyle name="Comma 2 4 8 2 4 2" xfId="14337" xr:uid="{00000000-0005-0000-0000-0000FE370000}"/>
    <cellStyle name="Comma 2 4 8 2 4 3" xfId="14338" xr:uid="{00000000-0005-0000-0000-0000FF370000}"/>
    <cellStyle name="Comma 2 4 8 2 4 4" xfId="14339" xr:uid="{00000000-0005-0000-0000-000000380000}"/>
    <cellStyle name="Comma 2 4 8 2 5" xfId="14340" xr:uid="{00000000-0005-0000-0000-000001380000}"/>
    <cellStyle name="Comma 2 4 8 2 5 2" xfId="14341" xr:uid="{00000000-0005-0000-0000-000002380000}"/>
    <cellStyle name="Comma 2 4 8 2 6" xfId="14342" xr:uid="{00000000-0005-0000-0000-000003380000}"/>
    <cellStyle name="Comma 2 4 8 2 7" xfId="14343" xr:uid="{00000000-0005-0000-0000-000004380000}"/>
    <cellStyle name="Comma 2 4 8 2 8" xfId="14344" xr:uid="{00000000-0005-0000-0000-000005380000}"/>
    <cellStyle name="Comma 2 4 8 2 9" xfId="14345" xr:uid="{00000000-0005-0000-0000-000006380000}"/>
    <cellStyle name="Comma 2 4 8 3" xfId="14346" xr:uid="{00000000-0005-0000-0000-000007380000}"/>
    <cellStyle name="Comma 2 4 8 3 2" xfId="14347" xr:uid="{00000000-0005-0000-0000-000008380000}"/>
    <cellStyle name="Comma 2 4 8 3 2 2" xfId="14348" xr:uid="{00000000-0005-0000-0000-000009380000}"/>
    <cellStyle name="Comma 2 4 8 3 2 2 2" xfId="14349" xr:uid="{00000000-0005-0000-0000-00000A380000}"/>
    <cellStyle name="Comma 2 4 8 3 2 2 3" xfId="14350" xr:uid="{00000000-0005-0000-0000-00000B380000}"/>
    <cellStyle name="Comma 2 4 8 3 2 3" xfId="14351" xr:uid="{00000000-0005-0000-0000-00000C380000}"/>
    <cellStyle name="Comma 2 4 8 3 2 4" xfId="14352" xr:uid="{00000000-0005-0000-0000-00000D380000}"/>
    <cellStyle name="Comma 2 4 8 3 2 5" xfId="14353" xr:uid="{00000000-0005-0000-0000-00000E380000}"/>
    <cellStyle name="Comma 2 4 8 3 2 6" xfId="14354" xr:uid="{00000000-0005-0000-0000-00000F380000}"/>
    <cellStyle name="Comma 2 4 8 3 3" xfId="14355" xr:uid="{00000000-0005-0000-0000-000010380000}"/>
    <cellStyle name="Comma 2 4 8 3 3 2" xfId="14356" xr:uid="{00000000-0005-0000-0000-000011380000}"/>
    <cellStyle name="Comma 2 4 8 3 3 2 2" xfId="14357" xr:uid="{00000000-0005-0000-0000-000012380000}"/>
    <cellStyle name="Comma 2 4 8 3 3 3" xfId="14358" xr:uid="{00000000-0005-0000-0000-000013380000}"/>
    <cellStyle name="Comma 2 4 8 3 3 4" xfId="14359" xr:uid="{00000000-0005-0000-0000-000014380000}"/>
    <cellStyle name="Comma 2 4 8 3 3 5" xfId="14360" xr:uid="{00000000-0005-0000-0000-000015380000}"/>
    <cellStyle name="Comma 2 4 8 3 4" xfId="14361" xr:uid="{00000000-0005-0000-0000-000016380000}"/>
    <cellStyle name="Comma 2 4 8 3 4 2" xfId="14362" xr:uid="{00000000-0005-0000-0000-000017380000}"/>
    <cellStyle name="Comma 2 4 8 3 4 3" xfId="14363" xr:uid="{00000000-0005-0000-0000-000018380000}"/>
    <cellStyle name="Comma 2 4 8 3 4 4" xfId="14364" xr:uid="{00000000-0005-0000-0000-000019380000}"/>
    <cellStyle name="Comma 2 4 8 3 5" xfId="14365" xr:uid="{00000000-0005-0000-0000-00001A380000}"/>
    <cellStyle name="Comma 2 4 8 3 5 2" xfId="14366" xr:uid="{00000000-0005-0000-0000-00001B380000}"/>
    <cellStyle name="Comma 2 4 8 3 6" xfId="14367" xr:uid="{00000000-0005-0000-0000-00001C380000}"/>
    <cellStyle name="Comma 2 4 8 3 7" xfId="14368" xr:uid="{00000000-0005-0000-0000-00001D380000}"/>
    <cellStyle name="Comma 2 4 8 3 8" xfId="14369" xr:uid="{00000000-0005-0000-0000-00001E380000}"/>
    <cellStyle name="Comma 2 4 8 3 9" xfId="14370" xr:uid="{00000000-0005-0000-0000-00001F380000}"/>
    <cellStyle name="Comma 2 4 8 4" xfId="14371" xr:uid="{00000000-0005-0000-0000-000020380000}"/>
    <cellStyle name="Comma 2 4 8 4 2" xfId="14372" xr:uid="{00000000-0005-0000-0000-000021380000}"/>
    <cellStyle name="Comma 2 4 8 4 2 2" xfId="14373" xr:uid="{00000000-0005-0000-0000-000022380000}"/>
    <cellStyle name="Comma 2 4 8 4 2 3" xfId="14374" xr:uid="{00000000-0005-0000-0000-000023380000}"/>
    <cellStyle name="Comma 2 4 8 4 3" xfId="14375" xr:uid="{00000000-0005-0000-0000-000024380000}"/>
    <cellStyle name="Comma 2 4 8 4 4" xfId="14376" xr:uid="{00000000-0005-0000-0000-000025380000}"/>
    <cellStyle name="Comma 2 4 8 4 5" xfId="14377" xr:uid="{00000000-0005-0000-0000-000026380000}"/>
    <cellStyle name="Comma 2 4 8 4 6" xfId="14378" xr:uid="{00000000-0005-0000-0000-000027380000}"/>
    <cellStyle name="Comma 2 4 8 5" xfId="14379" xr:uid="{00000000-0005-0000-0000-000028380000}"/>
    <cellStyle name="Comma 2 4 8 5 2" xfId="14380" xr:uid="{00000000-0005-0000-0000-000029380000}"/>
    <cellStyle name="Comma 2 4 8 5 2 2" xfId="14381" xr:uid="{00000000-0005-0000-0000-00002A380000}"/>
    <cellStyle name="Comma 2 4 8 5 3" xfId="14382" xr:uid="{00000000-0005-0000-0000-00002B380000}"/>
    <cellStyle name="Comma 2 4 8 5 4" xfId="14383" xr:uid="{00000000-0005-0000-0000-00002C380000}"/>
    <cellStyle name="Comma 2 4 8 5 5" xfId="14384" xr:uid="{00000000-0005-0000-0000-00002D380000}"/>
    <cellStyle name="Comma 2 4 8 6" xfId="14385" xr:uid="{00000000-0005-0000-0000-00002E380000}"/>
    <cellStyle name="Comma 2 4 8 6 2" xfId="14386" xr:uid="{00000000-0005-0000-0000-00002F380000}"/>
    <cellStyle name="Comma 2 4 8 6 3" xfId="14387" xr:uid="{00000000-0005-0000-0000-000030380000}"/>
    <cellStyle name="Comma 2 4 8 6 4" xfId="14388" xr:uid="{00000000-0005-0000-0000-000031380000}"/>
    <cellStyle name="Comma 2 4 8 7" xfId="14389" xr:uid="{00000000-0005-0000-0000-000032380000}"/>
    <cellStyle name="Comma 2 4 8 7 2" xfId="14390" xr:uid="{00000000-0005-0000-0000-000033380000}"/>
    <cellStyle name="Comma 2 4 8 8" xfId="14391" xr:uid="{00000000-0005-0000-0000-000034380000}"/>
    <cellStyle name="Comma 2 4 8 9" xfId="14392" xr:uid="{00000000-0005-0000-0000-000035380000}"/>
    <cellStyle name="Comma 2 4 9" xfId="14393" xr:uid="{00000000-0005-0000-0000-000036380000}"/>
    <cellStyle name="Comma 2 4 9 10" xfId="14394" xr:uid="{00000000-0005-0000-0000-000037380000}"/>
    <cellStyle name="Comma 2 4 9 11" xfId="14395" xr:uid="{00000000-0005-0000-0000-000038380000}"/>
    <cellStyle name="Comma 2 4 9 2" xfId="14396" xr:uid="{00000000-0005-0000-0000-000039380000}"/>
    <cellStyle name="Comma 2 4 9 2 2" xfId="14397" xr:uid="{00000000-0005-0000-0000-00003A380000}"/>
    <cellStyle name="Comma 2 4 9 2 2 2" xfId="14398" xr:uid="{00000000-0005-0000-0000-00003B380000}"/>
    <cellStyle name="Comma 2 4 9 2 2 2 2" xfId="14399" xr:uid="{00000000-0005-0000-0000-00003C380000}"/>
    <cellStyle name="Comma 2 4 9 2 2 2 3" xfId="14400" xr:uid="{00000000-0005-0000-0000-00003D380000}"/>
    <cellStyle name="Comma 2 4 9 2 2 3" xfId="14401" xr:uid="{00000000-0005-0000-0000-00003E380000}"/>
    <cellStyle name="Comma 2 4 9 2 2 4" xfId="14402" xr:uid="{00000000-0005-0000-0000-00003F380000}"/>
    <cellStyle name="Comma 2 4 9 2 2 5" xfId="14403" xr:uid="{00000000-0005-0000-0000-000040380000}"/>
    <cellStyle name="Comma 2 4 9 2 2 6" xfId="14404" xr:uid="{00000000-0005-0000-0000-000041380000}"/>
    <cellStyle name="Comma 2 4 9 2 3" xfId="14405" xr:uid="{00000000-0005-0000-0000-000042380000}"/>
    <cellStyle name="Comma 2 4 9 2 3 2" xfId="14406" xr:uid="{00000000-0005-0000-0000-000043380000}"/>
    <cellStyle name="Comma 2 4 9 2 3 2 2" xfId="14407" xr:uid="{00000000-0005-0000-0000-000044380000}"/>
    <cellStyle name="Comma 2 4 9 2 3 3" xfId="14408" xr:uid="{00000000-0005-0000-0000-000045380000}"/>
    <cellStyle name="Comma 2 4 9 2 3 4" xfId="14409" xr:uid="{00000000-0005-0000-0000-000046380000}"/>
    <cellStyle name="Comma 2 4 9 2 3 5" xfId="14410" xr:uid="{00000000-0005-0000-0000-000047380000}"/>
    <cellStyle name="Comma 2 4 9 2 4" xfId="14411" xr:uid="{00000000-0005-0000-0000-000048380000}"/>
    <cellStyle name="Comma 2 4 9 2 4 2" xfId="14412" xr:uid="{00000000-0005-0000-0000-000049380000}"/>
    <cellStyle name="Comma 2 4 9 2 4 3" xfId="14413" xr:uid="{00000000-0005-0000-0000-00004A380000}"/>
    <cellStyle name="Comma 2 4 9 2 4 4" xfId="14414" xr:uid="{00000000-0005-0000-0000-00004B380000}"/>
    <cellStyle name="Comma 2 4 9 2 5" xfId="14415" xr:uid="{00000000-0005-0000-0000-00004C380000}"/>
    <cellStyle name="Comma 2 4 9 2 5 2" xfId="14416" xr:uid="{00000000-0005-0000-0000-00004D380000}"/>
    <cellStyle name="Comma 2 4 9 2 6" xfId="14417" xr:uid="{00000000-0005-0000-0000-00004E380000}"/>
    <cellStyle name="Comma 2 4 9 2 7" xfId="14418" xr:uid="{00000000-0005-0000-0000-00004F380000}"/>
    <cellStyle name="Comma 2 4 9 2 8" xfId="14419" xr:uid="{00000000-0005-0000-0000-000050380000}"/>
    <cellStyle name="Comma 2 4 9 2 9" xfId="14420" xr:uid="{00000000-0005-0000-0000-000051380000}"/>
    <cellStyle name="Comma 2 4 9 3" xfId="14421" xr:uid="{00000000-0005-0000-0000-000052380000}"/>
    <cellStyle name="Comma 2 4 9 3 2" xfId="14422" xr:uid="{00000000-0005-0000-0000-000053380000}"/>
    <cellStyle name="Comma 2 4 9 3 2 2" xfId="14423" xr:uid="{00000000-0005-0000-0000-000054380000}"/>
    <cellStyle name="Comma 2 4 9 3 2 2 2" xfId="14424" xr:uid="{00000000-0005-0000-0000-000055380000}"/>
    <cellStyle name="Comma 2 4 9 3 2 2 3" xfId="14425" xr:uid="{00000000-0005-0000-0000-000056380000}"/>
    <cellStyle name="Comma 2 4 9 3 2 3" xfId="14426" xr:uid="{00000000-0005-0000-0000-000057380000}"/>
    <cellStyle name="Comma 2 4 9 3 2 4" xfId="14427" xr:uid="{00000000-0005-0000-0000-000058380000}"/>
    <cellStyle name="Comma 2 4 9 3 2 5" xfId="14428" xr:uid="{00000000-0005-0000-0000-000059380000}"/>
    <cellStyle name="Comma 2 4 9 3 2 6" xfId="14429" xr:uid="{00000000-0005-0000-0000-00005A380000}"/>
    <cellStyle name="Comma 2 4 9 3 3" xfId="14430" xr:uid="{00000000-0005-0000-0000-00005B380000}"/>
    <cellStyle name="Comma 2 4 9 3 3 2" xfId="14431" xr:uid="{00000000-0005-0000-0000-00005C380000}"/>
    <cellStyle name="Comma 2 4 9 3 3 2 2" xfId="14432" xr:uid="{00000000-0005-0000-0000-00005D380000}"/>
    <cellStyle name="Comma 2 4 9 3 3 3" xfId="14433" xr:uid="{00000000-0005-0000-0000-00005E380000}"/>
    <cellStyle name="Comma 2 4 9 3 3 4" xfId="14434" xr:uid="{00000000-0005-0000-0000-00005F380000}"/>
    <cellStyle name="Comma 2 4 9 3 3 5" xfId="14435" xr:uid="{00000000-0005-0000-0000-000060380000}"/>
    <cellStyle name="Comma 2 4 9 3 4" xfId="14436" xr:uid="{00000000-0005-0000-0000-000061380000}"/>
    <cellStyle name="Comma 2 4 9 3 4 2" xfId="14437" xr:uid="{00000000-0005-0000-0000-000062380000}"/>
    <cellStyle name="Comma 2 4 9 3 4 3" xfId="14438" xr:uid="{00000000-0005-0000-0000-000063380000}"/>
    <cellStyle name="Comma 2 4 9 3 4 4" xfId="14439" xr:uid="{00000000-0005-0000-0000-000064380000}"/>
    <cellStyle name="Comma 2 4 9 3 5" xfId="14440" xr:uid="{00000000-0005-0000-0000-000065380000}"/>
    <cellStyle name="Comma 2 4 9 3 5 2" xfId="14441" xr:uid="{00000000-0005-0000-0000-000066380000}"/>
    <cellStyle name="Comma 2 4 9 3 6" xfId="14442" xr:uid="{00000000-0005-0000-0000-000067380000}"/>
    <cellStyle name="Comma 2 4 9 3 7" xfId="14443" xr:uid="{00000000-0005-0000-0000-000068380000}"/>
    <cellStyle name="Comma 2 4 9 3 8" xfId="14444" xr:uid="{00000000-0005-0000-0000-000069380000}"/>
    <cellStyle name="Comma 2 4 9 3 9" xfId="14445" xr:uid="{00000000-0005-0000-0000-00006A380000}"/>
    <cellStyle name="Comma 2 4 9 4" xfId="14446" xr:uid="{00000000-0005-0000-0000-00006B380000}"/>
    <cellStyle name="Comma 2 4 9 4 2" xfId="14447" xr:uid="{00000000-0005-0000-0000-00006C380000}"/>
    <cellStyle name="Comma 2 4 9 4 2 2" xfId="14448" xr:uid="{00000000-0005-0000-0000-00006D380000}"/>
    <cellStyle name="Comma 2 4 9 4 2 3" xfId="14449" xr:uid="{00000000-0005-0000-0000-00006E380000}"/>
    <cellStyle name="Comma 2 4 9 4 3" xfId="14450" xr:uid="{00000000-0005-0000-0000-00006F380000}"/>
    <cellStyle name="Comma 2 4 9 4 4" xfId="14451" xr:uid="{00000000-0005-0000-0000-000070380000}"/>
    <cellStyle name="Comma 2 4 9 4 5" xfId="14452" xr:uid="{00000000-0005-0000-0000-000071380000}"/>
    <cellStyle name="Comma 2 4 9 4 6" xfId="14453" xr:uid="{00000000-0005-0000-0000-000072380000}"/>
    <cellStyle name="Comma 2 4 9 5" xfId="14454" xr:uid="{00000000-0005-0000-0000-000073380000}"/>
    <cellStyle name="Comma 2 4 9 5 2" xfId="14455" xr:uid="{00000000-0005-0000-0000-000074380000}"/>
    <cellStyle name="Comma 2 4 9 5 2 2" xfId="14456" xr:uid="{00000000-0005-0000-0000-000075380000}"/>
    <cellStyle name="Comma 2 4 9 5 3" xfId="14457" xr:uid="{00000000-0005-0000-0000-000076380000}"/>
    <cellStyle name="Comma 2 4 9 5 4" xfId="14458" xr:uid="{00000000-0005-0000-0000-000077380000}"/>
    <cellStyle name="Comma 2 4 9 5 5" xfId="14459" xr:uid="{00000000-0005-0000-0000-000078380000}"/>
    <cellStyle name="Comma 2 4 9 6" xfId="14460" xr:uid="{00000000-0005-0000-0000-000079380000}"/>
    <cellStyle name="Comma 2 4 9 6 2" xfId="14461" xr:uid="{00000000-0005-0000-0000-00007A380000}"/>
    <cellStyle name="Comma 2 4 9 6 3" xfId="14462" xr:uid="{00000000-0005-0000-0000-00007B380000}"/>
    <cellStyle name="Comma 2 4 9 6 4" xfId="14463" xr:uid="{00000000-0005-0000-0000-00007C380000}"/>
    <cellStyle name="Comma 2 4 9 7" xfId="14464" xr:uid="{00000000-0005-0000-0000-00007D380000}"/>
    <cellStyle name="Comma 2 4 9 7 2" xfId="14465" xr:uid="{00000000-0005-0000-0000-00007E380000}"/>
    <cellStyle name="Comma 2 4 9 8" xfId="14466" xr:uid="{00000000-0005-0000-0000-00007F380000}"/>
    <cellStyle name="Comma 2 4 9 9" xfId="14467" xr:uid="{00000000-0005-0000-0000-000080380000}"/>
    <cellStyle name="Comma 2 40" xfId="14468" xr:uid="{00000000-0005-0000-0000-000081380000}"/>
    <cellStyle name="Comma 2 40 10" xfId="14469" xr:uid="{00000000-0005-0000-0000-000082380000}"/>
    <cellStyle name="Comma 2 40 2" xfId="14470" xr:uid="{00000000-0005-0000-0000-000083380000}"/>
    <cellStyle name="Comma 2 40 2 2" xfId="14471" xr:uid="{00000000-0005-0000-0000-000084380000}"/>
    <cellStyle name="Comma 2 40 2 2 2" xfId="14472" xr:uid="{00000000-0005-0000-0000-000085380000}"/>
    <cellStyle name="Comma 2 40 2 3" xfId="14473" xr:uid="{00000000-0005-0000-0000-000086380000}"/>
    <cellStyle name="Comma 2 40 2 4" xfId="14474" xr:uid="{00000000-0005-0000-0000-000087380000}"/>
    <cellStyle name="Comma 2 40 3" xfId="14475" xr:uid="{00000000-0005-0000-0000-000088380000}"/>
    <cellStyle name="Comma 2 40 3 2" xfId="14476" xr:uid="{00000000-0005-0000-0000-000089380000}"/>
    <cellStyle name="Comma 2 40 4" xfId="14477" xr:uid="{00000000-0005-0000-0000-00008A380000}"/>
    <cellStyle name="Comma 2 40 4 2" xfId="14478" xr:uid="{00000000-0005-0000-0000-00008B380000}"/>
    <cellStyle name="Comma 2 40 5" xfId="14479" xr:uid="{00000000-0005-0000-0000-00008C380000}"/>
    <cellStyle name="Comma 2 40 6" xfId="14480" xr:uid="{00000000-0005-0000-0000-00008D380000}"/>
    <cellStyle name="Comma 2 40 7" xfId="14481" xr:uid="{00000000-0005-0000-0000-00008E380000}"/>
    <cellStyle name="Comma 2 40 8" xfId="14482" xr:uid="{00000000-0005-0000-0000-00008F380000}"/>
    <cellStyle name="Comma 2 40 9" xfId="14483" xr:uid="{00000000-0005-0000-0000-000090380000}"/>
    <cellStyle name="Comma 2 41" xfId="14484" xr:uid="{00000000-0005-0000-0000-000091380000}"/>
    <cellStyle name="Comma 2 41 2" xfId="14485" xr:uid="{00000000-0005-0000-0000-000092380000}"/>
    <cellStyle name="Comma 2 41 2 2" xfId="14486" xr:uid="{00000000-0005-0000-0000-000093380000}"/>
    <cellStyle name="Comma 2 41 2 3" xfId="14487" xr:uid="{00000000-0005-0000-0000-000094380000}"/>
    <cellStyle name="Comma 2 41 3" xfId="14488" xr:uid="{00000000-0005-0000-0000-000095380000}"/>
    <cellStyle name="Comma 2 41 3 2" xfId="14489" xr:uid="{00000000-0005-0000-0000-000096380000}"/>
    <cellStyle name="Comma 2 41 4" xfId="14490" xr:uid="{00000000-0005-0000-0000-000097380000}"/>
    <cellStyle name="Comma 2 41 5" xfId="14491" xr:uid="{00000000-0005-0000-0000-000098380000}"/>
    <cellStyle name="Comma 2 41 6" xfId="14492" xr:uid="{00000000-0005-0000-0000-000099380000}"/>
    <cellStyle name="Comma 2 41 7" xfId="14493" xr:uid="{00000000-0005-0000-0000-00009A380000}"/>
    <cellStyle name="Comma 2 41 8" xfId="14494" xr:uid="{00000000-0005-0000-0000-00009B380000}"/>
    <cellStyle name="Comma 2 41 9" xfId="14495" xr:uid="{00000000-0005-0000-0000-00009C380000}"/>
    <cellStyle name="Comma 2 42" xfId="14496" xr:uid="{00000000-0005-0000-0000-00009D380000}"/>
    <cellStyle name="Comma 2 42 2" xfId="14497" xr:uid="{00000000-0005-0000-0000-00009E380000}"/>
    <cellStyle name="Comma 2 42 2 2" xfId="14498" xr:uid="{00000000-0005-0000-0000-00009F380000}"/>
    <cellStyle name="Comma 2 42 3" xfId="14499" xr:uid="{00000000-0005-0000-0000-0000A0380000}"/>
    <cellStyle name="Comma 2 42 3 2" xfId="14500" xr:uid="{00000000-0005-0000-0000-0000A1380000}"/>
    <cellStyle name="Comma 2 42 4" xfId="14501" xr:uid="{00000000-0005-0000-0000-0000A2380000}"/>
    <cellStyle name="Comma 2 42 5" xfId="14502" xr:uid="{00000000-0005-0000-0000-0000A3380000}"/>
    <cellStyle name="Comma 2 42 6" xfId="14503" xr:uid="{00000000-0005-0000-0000-0000A4380000}"/>
    <cellStyle name="Comma 2 42 7" xfId="14504" xr:uid="{00000000-0005-0000-0000-0000A5380000}"/>
    <cellStyle name="Comma 2 42 8" xfId="14505" xr:uid="{00000000-0005-0000-0000-0000A6380000}"/>
    <cellStyle name="Comma 2 42 9" xfId="14506" xr:uid="{00000000-0005-0000-0000-0000A7380000}"/>
    <cellStyle name="Comma 2 43" xfId="14507" xr:uid="{00000000-0005-0000-0000-0000A8380000}"/>
    <cellStyle name="Comma 2 43 2" xfId="14508" xr:uid="{00000000-0005-0000-0000-0000A9380000}"/>
    <cellStyle name="Comma 2 43 2 2" xfId="14509" xr:uid="{00000000-0005-0000-0000-0000AA380000}"/>
    <cellStyle name="Comma 2 43 3" xfId="14510" xr:uid="{00000000-0005-0000-0000-0000AB380000}"/>
    <cellStyle name="Comma 2 43 3 2" xfId="14511" xr:uid="{00000000-0005-0000-0000-0000AC380000}"/>
    <cellStyle name="Comma 2 43 4" xfId="14512" xr:uid="{00000000-0005-0000-0000-0000AD380000}"/>
    <cellStyle name="Comma 2 43 5" xfId="14513" xr:uid="{00000000-0005-0000-0000-0000AE380000}"/>
    <cellStyle name="Comma 2 43 6" xfId="14514" xr:uid="{00000000-0005-0000-0000-0000AF380000}"/>
    <cellStyle name="Comma 2 43 7" xfId="14515" xr:uid="{00000000-0005-0000-0000-0000B0380000}"/>
    <cellStyle name="Comma 2 43 8" xfId="14516" xr:uid="{00000000-0005-0000-0000-0000B1380000}"/>
    <cellStyle name="Comma 2 44" xfId="14517" xr:uid="{00000000-0005-0000-0000-0000B2380000}"/>
    <cellStyle name="Comma 2 44 2" xfId="14518" xr:uid="{00000000-0005-0000-0000-0000B3380000}"/>
    <cellStyle name="Comma 2 44 2 2" xfId="14519" xr:uid="{00000000-0005-0000-0000-0000B4380000}"/>
    <cellStyle name="Comma 2 44 3" xfId="14520" xr:uid="{00000000-0005-0000-0000-0000B5380000}"/>
    <cellStyle name="Comma 2 44 4" xfId="14521" xr:uid="{00000000-0005-0000-0000-0000B6380000}"/>
    <cellStyle name="Comma 2 44 5" xfId="14522" xr:uid="{00000000-0005-0000-0000-0000B7380000}"/>
    <cellStyle name="Comma 2 44 6" xfId="14523" xr:uid="{00000000-0005-0000-0000-0000B8380000}"/>
    <cellStyle name="Comma 2 44 7" xfId="14524" xr:uid="{00000000-0005-0000-0000-0000B9380000}"/>
    <cellStyle name="Comma 2 45" xfId="14525" xr:uid="{00000000-0005-0000-0000-0000BA380000}"/>
    <cellStyle name="Comma 2 45 2" xfId="14526" xr:uid="{00000000-0005-0000-0000-0000BB380000}"/>
    <cellStyle name="Comma 2 45 2 2" xfId="14527" xr:uid="{00000000-0005-0000-0000-0000BC380000}"/>
    <cellStyle name="Comma 2 45 3" xfId="14528" xr:uid="{00000000-0005-0000-0000-0000BD380000}"/>
    <cellStyle name="Comma 2 45 4" xfId="14529" xr:uid="{00000000-0005-0000-0000-0000BE380000}"/>
    <cellStyle name="Comma 2 45 5" xfId="14530" xr:uid="{00000000-0005-0000-0000-0000BF380000}"/>
    <cellStyle name="Comma 2 45 6" xfId="14531" xr:uid="{00000000-0005-0000-0000-0000C0380000}"/>
    <cellStyle name="Comma 2 45 7" xfId="14532" xr:uid="{00000000-0005-0000-0000-0000C1380000}"/>
    <cellStyle name="Comma 2 46" xfId="14533" xr:uid="{00000000-0005-0000-0000-0000C2380000}"/>
    <cellStyle name="Comma 2 46 2" xfId="14534" xr:uid="{00000000-0005-0000-0000-0000C3380000}"/>
    <cellStyle name="Comma 2 46 2 2" xfId="14535" xr:uid="{00000000-0005-0000-0000-0000C4380000}"/>
    <cellStyle name="Comma 2 46 3" xfId="14536" xr:uid="{00000000-0005-0000-0000-0000C5380000}"/>
    <cellStyle name="Comma 2 46 4" xfId="14537" xr:uid="{00000000-0005-0000-0000-0000C6380000}"/>
    <cellStyle name="Comma 2 46 5" xfId="14538" xr:uid="{00000000-0005-0000-0000-0000C7380000}"/>
    <cellStyle name="Comma 2 46 6" xfId="14539" xr:uid="{00000000-0005-0000-0000-0000C8380000}"/>
    <cellStyle name="Comma 2 46 7" xfId="14540" xr:uid="{00000000-0005-0000-0000-0000C9380000}"/>
    <cellStyle name="Comma 2 47" xfId="14541" xr:uid="{00000000-0005-0000-0000-0000CA380000}"/>
    <cellStyle name="Comma 2 47 2" xfId="14542" xr:uid="{00000000-0005-0000-0000-0000CB380000}"/>
    <cellStyle name="Comma 2 47 2 2" xfId="14543" xr:uid="{00000000-0005-0000-0000-0000CC380000}"/>
    <cellStyle name="Comma 2 47 3" xfId="14544" xr:uid="{00000000-0005-0000-0000-0000CD380000}"/>
    <cellStyle name="Comma 2 47 4" xfId="14545" xr:uid="{00000000-0005-0000-0000-0000CE380000}"/>
    <cellStyle name="Comma 2 47 5" xfId="14546" xr:uid="{00000000-0005-0000-0000-0000CF380000}"/>
    <cellStyle name="Comma 2 47 6" xfId="14547" xr:uid="{00000000-0005-0000-0000-0000D0380000}"/>
    <cellStyle name="Comma 2 47 7" xfId="14548" xr:uid="{00000000-0005-0000-0000-0000D1380000}"/>
    <cellStyle name="Comma 2 48" xfId="14549" xr:uid="{00000000-0005-0000-0000-0000D2380000}"/>
    <cellStyle name="Comma 2 48 2" xfId="14550" xr:uid="{00000000-0005-0000-0000-0000D3380000}"/>
    <cellStyle name="Comma 2 48 2 2" xfId="14551" xr:uid="{00000000-0005-0000-0000-0000D4380000}"/>
    <cellStyle name="Comma 2 48 3" xfId="14552" xr:uid="{00000000-0005-0000-0000-0000D5380000}"/>
    <cellStyle name="Comma 2 48 4" xfId="14553" xr:uid="{00000000-0005-0000-0000-0000D6380000}"/>
    <cellStyle name="Comma 2 48 5" xfId="14554" xr:uid="{00000000-0005-0000-0000-0000D7380000}"/>
    <cellStyle name="Comma 2 48 6" xfId="14555" xr:uid="{00000000-0005-0000-0000-0000D8380000}"/>
    <cellStyle name="Comma 2 48 7" xfId="14556" xr:uid="{00000000-0005-0000-0000-0000D9380000}"/>
    <cellStyle name="Comma 2 49" xfId="14557" xr:uid="{00000000-0005-0000-0000-0000DA380000}"/>
    <cellStyle name="Comma 2 49 2" xfId="14558" xr:uid="{00000000-0005-0000-0000-0000DB380000}"/>
    <cellStyle name="Comma 2 49 2 2" xfId="14559" xr:uid="{00000000-0005-0000-0000-0000DC380000}"/>
    <cellStyle name="Comma 2 49 3" xfId="14560" xr:uid="{00000000-0005-0000-0000-0000DD380000}"/>
    <cellStyle name="Comma 2 49 4" xfId="14561" xr:uid="{00000000-0005-0000-0000-0000DE380000}"/>
    <cellStyle name="Comma 2 49 5" xfId="14562" xr:uid="{00000000-0005-0000-0000-0000DF380000}"/>
    <cellStyle name="Comma 2 49 6" xfId="14563" xr:uid="{00000000-0005-0000-0000-0000E0380000}"/>
    <cellStyle name="Comma 2 49 7" xfId="14564" xr:uid="{00000000-0005-0000-0000-0000E1380000}"/>
    <cellStyle name="Comma 2 5" xfId="14565" xr:uid="{00000000-0005-0000-0000-0000E2380000}"/>
    <cellStyle name="Comma 2 5 10" xfId="14566" xr:uid="{00000000-0005-0000-0000-0000E3380000}"/>
    <cellStyle name="Comma 2 5 10 10" xfId="14567" xr:uid="{00000000-0005-0000-0000-0000E4380000}"/>
    <cellStyle name="Comma 2 5 10 2" xfId="14568" xr:uid="{00000000-0005-0000-0000-0000E5380000}"/>
    <cellStyle name="Comma 2 5 10 2 2" xfId="14569" xr:uid="{00000000-0005-0000-0000-0000E6380000}"/>
    <cellStyle name="Comma 2 5 10 2 2 2" xfId="14570" xr:uid="{00000000-0005-0000-0000-0000E7380000}"/>
    <cellStyle name="Comma 2 5 10 2 2 3" xfId="14571" xr:uid="{00000000-0005-0000-0000-0000E8380000}"/>
    <cellStyle name="Comma 2 5 10 2 3" xfId="14572" xr:uid="{00000000-0005-0000-0000-0000E9380000}"/>
    <cellStyle name="Comma 2 5 10 2 4" xfId="14573" xr:uid="{00000000-0005-0000-0000-0000EA380000}"/>
    <cellStyle name="Comma 2 5 10 2 5" xfId="14574" xr:uid="{00000000-0005-0000-0000-0000EB380000}"/>
    <cellStyle name="Comma 2 5 10 2 6" xfId="14575" xr:uid="{00000000-0005-0000-0000-0000EC380000}"/>
    <cellStyle name="Comma 2 5 10 3" xfId="14576" xr:uid="{00000000-0005-0000-0000-0000ED380000}"/>
    <cellStyle name="Comma 2 5 10 3 2" xfId="14577" xr:uid="{00000000-0005-0000-0000-0000EE380000}"/>
    <cellStyle name="Comma 2 5 10 3 2 2" xfId="14578" xr:uid="{00000000-0005-0000-0000-0000EF380000}"/>
    <cellStyle name="Comma 2 5 10 3 2 3" xfId="14579" xr:uid="{00000000-0005-0000-0000-0000F0380000}"/>
    <cellStyle name="Comma 2 5 10 3 3" xfId="14580" xr:uid="{00000000-0005-0000-0000-0000F1380000}"/>
    <cellStyle name="Comma 2 5 10 3 4" xfId="14581" xr:uid="{00000000-0005-0000-0000-0000F2380000}"/>
    <cellStyle name="Comma 2 5 10 3 5" xfId="14582" xr:uid="{00000000-0005-0000-0000-0000F3380000}"/>
    <cellStyle name="Comma 2 5 10 3 6" xfId="14583" xr:uid="{00000000-0005-0000-0000-0000F4380000}"/>
    <cellStyle name="Comma 2 5 10 4" xfId="14584" xr:uid="{00000000-0005-0000-0000-0000F5380000}"/>
    <cellStyle name="Comma 2 5 10 4 2" xfId="14585" xr:uid="{00000000-0005-0000-0000-0000F6380000}"/>
    <cellStyle name="Comma 2 5 10 4 2 2" xfId="14586" xr:uid="{00000000-0005-0000-0000-0000F7380000}"/>
    <cellStyle name="Comma 2 5 10 4 3" xfId="14587" xr:uid="{00000000-0005-0000-0000-0000F8380000}"/>
    <cellStyle name="Comma 2 5 10 4 4" xfId="14588" xr:uid="{00000000-0005-0000-0000-0000F9380000}"/>
    <cellStyle name="Comma 2 5 10 4 5" xfId="14589" xr:uid="{00000000-0005-0000-0000-0000FA380000}"/>
    <cellStyle name="Comma 2 5 10 5" xfId="14590" xr:uid="{00000000-0005-0000-0000-0000FB380000}"/>
    <cellStyle name="Comma 2 5 10 5 2" xfId="14591" xr:uid="{00000000-0005-0000-0000-0000FC380000}"/>
    <cellStyle name="Comma 2 5 10 5 3" xfId="14592" xr:uid="{00000000-0005-0000-0000-0000FD380000}"/>
    <cellStyle name="Comma 2 5 10 5 4" xfId="14593" xr:uid="{00000000-0005-0000-0000-0000FE380000}"/>
    <cellStyle name="Comma 2 5 10 6" xfId="14594" xr:uid="{00000000-0005-0000-0000-0000FF380000}"/>
    <cellStyle name="Comma 2 5 10 6 2" xfId="14595" xr:uid="{00000000-0005-0000-0000-000000390000}"/>
    <cellStyle name="Comma 2 5 10 7" xfId="14596" xr:uid="{00000000-0005-0000-0000-000001390000}"/>
    <cellStyle name="Comma 2 5 10 8" xfId="14597" xr:uid="{00000000-0005-0000-0000-000002390000}"/>
    <cellStyle name="Comma 2 5 10 9" xfId="14598" xr:uid="{00000000-0005-0000-0000-000003390000}"/>
    <cellStyle name="Comma 2 5 11" xfId="14599" xr:uid="{00000000-0005-0000-0000-000004390000}"/>
    <cellStyle name="Comma 2 5 11 10" xfId="14600" xr:uid="{00000000-0005-0000-0000-000005390000}"/>
    <cellStyle name="Comma 2 5 11 2" xfId="14601" xr:uid="{00000000-0005-0000-0000-000006390000}"/>
    <cellStyle name="Comma 2 5 11 2 2" xfId="14602" xr:uid="{00000000-0005-0000-0000-000007390000}"/>
    <cellStyle name="Comma 2 5 11 2 2 2" xfId="14603" xr:uid="{00000000-0005-0000-0000-000008390000}"/>
    <cellStyle name="Comma 2 5 11 2 2 3" xfId="14604" xr:uid="{00000000-0005-0000-0000-000009390000}"/>
    <cellStyle name="Comma 2 5 11 2 3" xfId="14605" xr:uid="{00000000-0005-0000-0000-00000A390000}"/>
    <cellStyle name="Comma 2 5 11 2 4" xfId="14606" xr:uid="{00000000-0005-0000-0000-00000B390000}"/>
    <cellStyle name="Comma 2 5 11 2 5" xfId="14607" xr:uid="{00000000-0005-0000-0000-00000C390000}"/>
    <cellStyle name="Comma 2 5 11 2 6" xfId="14608" xr:uid="{00000000-0005-0000-0000-00000D390000}"/>
    <cellStyle name="Comma 2 5 11 3" xfId="14609" xr:uid="{00000000-0005-0000-0000-00000E390000}"/>
    <cellStyle name="Comma 2 5 11 3 2" xfId="14610" xr:uid="{00000000-0005-0000-0000-00000F390000}"/>
    <cellStyle name="Comma 2 5 11 3 2 2" xfId="14611" xr:uid="{00000000-0005-0000-0000-000010390000}"/>
    <cellStyle name="Comma 2 5 11 3 2 3" xfId="14612" xr:uid="{00000000-0005-0000-0000-000011390000}"/>
    <cellStyle name="Comma 2 5 11 3 3" xfId="14613" xr:uid="{00000000-0005-0000-0000-000012390000}"/>
    <cellStyle name="Comma 2 5 11 3 4" xfId="14614" xr:uid="{00000000-0005-0000-0000-000013390000}"/>
    <cellStyle name="Comma 2 5 11 3 5" xfId="14615" xr:uid="{00000000-0005-0000-0000-000014390000}"/>
    <cellStyle name="Comma 2 5 11 3 6" xfId="14616" xr:uid="{00000000-0005-0000-0000-000015390000}"/>
    <cellStyle name="Comma 2 5 11 4" xfId="14617" xr:uid="{00000000-0005-0000-0000-000016390000}"/>
    <cellStyle name="Comma 2 5 11 4 2" xfId="14618" xr:uid="{00000000-0005-0000-0000-000017390000}"/>
    <cellStyle name="Comma 2 5 11 4 2 2" xfId="14619" xr:uid="{00000000-0005-0000-0000-000018390000}"/>
    <cellStyle name="Comma 2 5 11 4 3" xfId="14620" xr:uid="{00000000-0005-0000-0000-000019390000}"/>
    <cellStyle name="Comma 2 5 11 4 4" xfId="14621" xr:uid="{00000000-0005-0000-0000-00001A390000}"/>
    <cellStyle name="Comma 2 5 11 4 5" xfId="14622" xr:uid="{00000000-0005-0000-0000-00001B390000}"/>
    <cellStyle name="Comma 2 5 11 5" xfId="14623" xr:uid="{00000000-0005-0000-0000-00001C390000}"/>
    <cellStyle name="Comma 2 5 11 5 2" xfId="14624" xr:uid="{00000000-0005-0000-0000-00001D390000}"/>
    <cellStyle name="Comma 2 5 11 5 3" xfId="14625" xr:uid="{00000000-0005-0000-0000-00001E390000}"/>
    <cellStyle name="Comma 2 5 11 5 4" xfId="14626" xr:uid="{00000000-0005-0000-0000-00001F390000}"/>
    <cellStyle name="Comma 2 5 11 6" xfId="14627" xr:uid="{00000000-0005-0000-0000-000020390000}"/>
    <cellStyle name="Comma 2 5 11 6 2" xfId="14628" xr:uid="{00000000-0005-0000-0000-000021390000}"/>
    <cellStyle name="Comma 2 5 11 7" xfId="14629" xr:uid="{00000000-0005-0000-0000-000022390000}"/>
    <cellStyle name="Comma 2 5 11 8" xfId="14630" xr:uid="{00000000-0005-0000-0000-000023390000}"/>
    <cellStyle name="Comma 2 5 11 9" xfId="14631" xr:uid="{00000000-0005-0000-0000-000024390000}"/>
    <cellStyle name="Comma 2 5 12" xfId="14632" xr:uid="{00000000-0005-0000-0000-000025390000}"/>
    <cellStyle name="Comma 2 5 12 10" xfId="14633" xr:uid="{00000000-0005-0000-0000-000026390000}"/>
    <cellStyle name="Comma 2 5 12 2" xfId="14634" xr:uid="{00000000-0005-0000-0000-000027390000}"/>
    <cellStyle name="Comma 2 5 12 2 2" xfId="14635" xr:uid="{00000000-0005-0000-0000-000028390000}"/>
    <cellStyle name="Comma 2 5 12 2 2 2" xfId="14636" xr:uid="{00000000-0005-0000-0000-000029390000}"/>
    <cellStyle name="Comma 2 5 12 2 2 3" xfId="14637" xr:uid="{00000000-0005-0000-0000-00002A390000}"/>
    <cellStyle name="Comma 2 5 12 2 3" xfId="14638" xr:uid="{00000000-0005-0000-0000-00002B390000}"/>
    <cellStyle name="Comma 2 5 12 2 4" xfId="14639" xr:uid="{00000000-0005-0000-0000-00002C390000}"/>
    <cellStyle name="Comma 2 5 12 2 5" xfId="14640" xr:uid="{00000000-0005-0000-0000-00002D390000}"/>
    <cellStyle name="Comma 2 5 12 2 6" xfId="14641" xr:uid="{00000000-0005-0000-0000-00002E390000}"/>
    <cellStyle name="Comma 2 5 12 3" xfId="14642" xr:uid="{00000000-0005-0000-0000-00002F390000}"/>
    <cellStyle name="Comma 2 5 12 3 2" xfId="14643" xr:uid="{00000000-0005-0000-0000-000030390000}"/>
    <cellStyle name="Comma 2 5 12 3 2 2" xfId="14644" xr:uid="{00000000-0005-0000-0000-000031390000}"/>
    <cellStyle name="Comma 2 5 12 3 2 3" xfId="14645" xr:uid="{00000000-0005-0000-0000-000032390000}"/>
    <cellStyle name="Comma 2 5 12 3 3" xfId="14646" xr:uid="{00000000-0005-0000-0000-000033390000}"/>
    <cellStyle name="Comma 2 5 12 3 4" xfId="14647" xr:uid="{00000000-0005-0000-0000-000034390000}"/>
    <cellStyle name="Comma 2 5 12 3 5" xfId="14648" xr:uid="{00000000-0005-0000-0000-000035390000}"/>
    <cellStyle name="Comma 2 5 12 3 6" xfId="14649" xr:uid="{00000000-0005-0000-0000-000036390000}"/>
    <cellStyle name="Comma 2 5 12 4" xfId="14650" xr:uid="{00000000-0005-0000-0000-000037390000}"/>
    <cellStyle name="Comma 2 5 12 4 2" xfId="14651" xr:uid="{00000000-0005-0000-0000-000038390000}"/>
    <cellStyle name="Comma 2 5 12 4 2 2" xfId="14652" xr:uid="{00000000-0005-0000-0000-000039390000}"/>
    <cellStyle name="Comma 2 5 12 4 3" xfId="14653" xr:uid="{00000000-0005-0000-0000-00003A390000}"/>
    <cellStyle name="Comma 2 5 12 4 4" xfId="14654" xr:uid="{00000000-0005-0000-0000-00003B390000}"/>
    <cellStyle name="Comma 2 5 12 4 5" xfId="14655" xr:uid="{00000000-0005-0000-0000-00003C390000}"/>
    <cellStyle name="Comma 2 5 12 5" xfId="14656" xr:uid="{00000000-0005-0000-0000-00003D390000}"/>
    <cellStyle name="Comma 2 5 12 5 2" xfId="14657" xr:uid="{00000000-0005-0000-0000-00003E390000}"/>
    <cellStyle name="Comma 2 5 12 5 3" xfId="14658" xr:uid="{00000000-0005-0000-0000-00003F390000}"/>
    <cellStyle name="Comma 2 5 12 5 4" xfId="14659" xr:uid="{00000000-0005-0000-0000-000040390000}"/>
    <cellStyle name="Comma 2 5 12 6" xfId="14660" xr:uid="{00000000-0005-0000-0000-000041390000}"/>
    <cellStyle name="Comma 2 5 12 6 2" xfId="14661" xr:uid="{00000000-0005-0000-0000-000042390000}"/>
    <cellStyle name="Comma 2 5 12 7" xfId="14662" xr:uid="{00000000-0005-0000-0000-000043390000}"/>
    <cellStyle name="Comma 2 5 12 8" xfId="14663" xr:uid="{00000000-0005-0000-0000-000044390000}"/>
    <cellStyle name="Comma 2 5 12 9" xfId="14664" xr:uid="{00000000-0005-0000-0000-000045390000}"/>
    <cellStyle name="Comma 2 5 13" xfId="14665" xr:uid="{00000000-0005-0000-0000-000046390000}"/>
    <cellStyle name="Comma 2 5 13 2" xfId="14666" xr:uid="{00000000-0005-0000-0000-000047390000}"/>
    <cellStyle name="Comma 2 5 13 2 2" xfId="14667" xr:uid="{00000000-0005-0000-0000-000048390000}"/>
    <cellStyle name="Comma 2 5 13 2 2 2" xfId="14668" xr:uid="{00000000-0005-0000-0000-000049390000}"/>
    <cellStyle name="Comma 2 5 13 2 2 3" xfId="14669" xr:uid="{00000000-0005-0000-0000-00004A390000}"/>
    <cellStyle name="Comma 2 5 13 2 3" xfId="14670" xr:uid="{00000000-0005-0000-0000-00004B390000}"/>
    <cellStyle name="Comma 2 5 13 2 4" xfId="14671" xr:uid="{00000000-0005-0000-0000-00004C390000}"/>
    <cellStyle name="Comma 2 5 13 2 5" xfId="14672" xr:uid="{00000000-0005-0000-0000-00004D390000}"/>
    <cellStyle name="Comma 2 5 13 2 6" xfId="14673" xr:uid="{00000000-0005-0000-0000-00004E390000}"/>
    <cellStyle name="Comma 2 5 13 3" xfId="14674" xr:uid="{00000000-0005-0000-0000-00004F390000}"/>
    <cellStyle name="Comma 2 5 13 3 2" xfId="14675" xr:uid="{00000000-0005-0000-0000-000050390000}"/>
    <cellStyle name="Comma 2 5 13 3 2 2" xfId="14676" xr:uid="{00000000-0005-0000-0000-000051390000}"/>
    <cellStyle name="Comma 2 5 13 3 3" xfId="14677" xr:uid="{00000000-0005-0000-0000-000052390000}"/>
    <cellStyle name="Comma 2 5 13 3 4" xfId="14678" xr:uid="{00000000-0005-0000-0000-000053390000}"/>
    <cellStyle name="Comma 2 5 13 3 5" xfId="14679" xr:uid="{00000000-0005-0000-0000-000054390000}"/>
    <cellStyle name="Comma 2 5 13 4" xfId="14680" xr:uid="{00000000-0005-0000-0000-000055390000}"/>
    <cellStyle name="Comma 2 5 13 4 2" xfId="14681" xr:uid="{00000000-0005-0000-0000-000056390000}"/>
    <cellStyle name="Comma 2 5 13 4 3" xfId="14682" xr:uid="{00000000-0005-0000-0000-000057390000}"/>
    <cellStyle name="Comma 2 5 13 4 4" xfId="14683" xr:uid="{00000000-0005-0000-0000-000058390000}"/>
    <cellStyle name="Comma 2 5 13 5" xfId="14684" xr:uid="{00000000-0005-0000-0000-000059390000}"/>
    <cellStyle name="Comma 2 5 13 5 2" xfId="14685" xr:uid="{00000000-0005-0000-0000-00005A390000}"/>
    <cellStyle name="Comma 2 5 13 6" xfId="14686" xr:uid="{00000000-0005-0000-0000-00005B390000}"/>
    <cellStyle name="Comma 2 5 13 7" xfId="14687" xr:uid="{00000000-0005-0000-0000-00005C390000}"/>
    <cellStyle name="Comma 2 5 13 8" xfId="14688" xr:uid="{00000000-0005-0000-0000-00005D390000}"/>
    <cellStyle name="Comma 2 5 13 9" xfId="14689" xr:uid="{00000000-0005-0000-0000-00005E390000}"/>
    <cellStyle name="Comma 2 5 14" xfId="14690" xr:uid="{00000000-0005-0000-0000-00005F390000}"/>
    <cellStyle name="Comma 2 5 14 2" xfId="14691" xr:uid="{00000000-0005-0000-0000-000060390000}"/>
    <cellStyle name="Comma 2 5 14 2 2" xfId="14692" xr:uid="{00000000-0005-0000-0000-000061390000}"/>
    <cellStyle name="Comma 2 5 14 2 2 2" xfId="14693" xr:uid="{00000000-0005-0000-0000-000062390000}"/>
    <cellStyle name="Comma 2 5 14 2 2 3" xfId="14694" xr:uid="{00000000-0005-0000-0000-000063390000}"/>
    <cellStyle name="Comma 2 5 14 2 3" xfId="14695" xr:uid="{00000000-0005-0000-0000-000064390000}"/>
    <cellStyle name="Comma 2 5 14 2 4" xfId="14696" xr:uid="{00000000-0005-0000-0000-000065390000}"/>
    <cellStyle name="Comma 2 5 14 2 5" xfId="14697" xr:uid="{00000000-0005-0000-0000-000066390000}"/>
    <cellStyle name="Comma 2 5 14 2 6" xfId="14698" xr:uid="{00000000-0005-0000-0000-000067390000}"/>
    <cellStyle name="Comma 2 5 14 3" xfId="14699" xr:uid="{00000000-0005-0000-0000-000068390000}"/>
    <cellStyle name="Comma 2 5 14 3 2" xfId="14700" xr:uid="{00000000-0005-0000-0000-000069390000}"/>
    <cellStyle name="Comma 2 5 14 3 2 2" xfId="14701" xr:uid="{00000000-0005-0000-0000-00006A390000}"/>
    <cellStyle name="Comma 2 5 14 3 3" xfId="14702" xr:uid="{00000000-0005-0000-0000-00006B390000}"/>
    <cellStyle name="Comma 2 5 14 3 4" xfId="14703" xr:uid="{00000000-0005-0000-0000-00006C390000}"/>
    <cellStyle name="Comma 2 5 14 3 5" xfId="14704" xr:uid="{00000000-0005-0000-0000-00006D390000}"/>
    <cellStyle name="Comma 2 5 14 4" xfId="14705" xr:uid="{00000000-0005-0000-0000-00006E390000}"/>
    <cellStyle name="Comma 2 5 14 4 2" xfId="14706" xr:uid="{00000000-0005-0000-0000-00006F390000}"/>
    <cellStyle name="Comma 2 5 14 4 3" xfId="14707" xr:uid="{00000000-0005-0000-0000-000070390000}"/>
    <cellStyle name="Comma 2 5 14 4 4" xfId="14708" xr:uid="{00000000-0005-0000-0000-000071390000}"/>
    <cellStyle name="Comma 2 5 14 5" xfId="14709" xr:uid="{00000000-0005-0000-0000-000072390000}"/>
    <cellStyle name="Comma 2 5 14 5 2" xfId="14710" xr:uid="{00000000-0005-0000-0000-000073390000}"/>
    <cellStyle name="Comma 2 5 14 6" xfId="14711" xr:uid="{00000000-0005-0000-0000-000074390000}"/>
    <cellStyle name="Comma 2 5 14 7" xfId="14712" xr:uid="{00000000-0005-0000-0000-000075390000}"/>
    <cellStyle name="Comma 2 5 14 8" xfId="14713" xr:uid="{00000000-0005-0000-0000-000076390000}"/>
    <cellStyle name="Comma 2 5 14 9" xfId="14714" xr:uid="{00000000-0005-0000-0000-000077390000}"/>
    <cellStyle name="Comma 2 5 15" xfId="14715" xr:uid="{00000000-0005-0000-0000-000078390000}"/>
    <cellStyle name="Comma 2 5 15 2" xfId="14716" xr:uid="{00000000-0005-0000-0000-000079390000}"/>
    <cellStyle name="Comma 2 5 15 2 2" xfId="14717" xr:uid="{00000000-0005-0000-0000-00007A390000}"/>
    <cellStyle name="Comma 2 5 15 2 3" xfId="14718" xr:uid="{00000000-0005-0000-0000-00007B390000}"/>
    <cellStyle name="Comma 2 5 15 3" xfId="14719" xr:uid="{00000000-0005-0000-0000-00007C390000}"/>
    <cellStyle name="Comma 2 5 15 4" xfId="14720" xr:uid="{00000000-0005-0000-0000-00007D390000}"/>
    <cellStyle name="Comma 2 5 15 5" xfId="14721" xr:uid="{00000000-0005-0000-0000-00007E390000}"/>
    <cellStyle name="Comma 2 5 15 6" xfId="14722" xr:uid="{00000000-0005-0000-0000-00007F390000}"/>
    <cellStyle name="Comma 2 5 16" xfId="14723" xr:uid="{00000000-0005-0000-0000-000080390000}"/>
    <cellStyle name="Comma 2 5 16 2" xfId="14724" xr:uid="{00000000-0005-0000-0000-000081390000}"/>
    <cellStyle name="Comma 2 5 16 2 2" xfId="14725" xr:uid="{00000000-0005-0000-0000-000082390000}"/>
    <cellStyle name="Comma 2 5 16 3" xfId="14726" xr:uid="{00000000-0005-0000-0000-000083390000}"/>
    <cellStyle name="Comma 2 5 16 4" xfId="14727" xr:uid="{00000000-0005-0000-0000-000084390000}"/>
    <cellStyle name="Comma 2 5 16 5" xfId="14728" xr:uid="{00000000-0005-0000-0000-000085390000}"/>
    <cellStyle name="Comma 2 5 17" xfId="14729" xr:uid="{00000000-0005-0000-0000-000086390000}"/>
    <cellStyle name="Comma 2 5 17 2" xfId="14730" xr:uid="{00000000-0005-0000-0000-000087390000}"/>
    <cellStyle name="Comma 2 5 17 2 2" xfId="14731" xr:uid="{00000000-0005-0000-0000-000088390000}"/>
    <cellStyle name="Comma 2 5 17 3" xfId="14732" xr:uid="{00000000-0005-0000-0000-000089390000}"/>
    <cellStyle name="Comma 2 5 17 4" xfId="14733" xr:uid="{00000000-0005-0000-0000-00008A390000}"/>
    <cellStyle name="Comma 2 5 17 5" xfId="14734" xr:uid="{00000000-0005-0000-0000-00008B390000}"/>
    <cellStyle name="Comma 2 5 18" xfId="14735" xr:uid="{00000000-0005-0000-0000-00008C390000}"/>
    <cellStyle name="Comma 2 5 18 2" xfId="14736" xr:uid="{00000000-0005-0000-0000-00008D390000}"/>
    <cellStyle name="Comma 2 5 19" xfId="14737" xr:uid="{00000000-0005-0000-0000-00008E390000}"/>
    <cellStyle name="Comma 2 5 2" xfId="14738" xr:uid="{00000000-0005-0000-0000-00008F390000}"/>
    <cellStyle name="Comma 2 5 2 10" xfId="14739" xr:uid="{00000000-0005-0000-0000-000090390000}"/>
    <cellStyle name="Comma 2 5 2 11" xfId="14740" xr:uid="{00000000-0005-0000-0000-000091390000}"/>
    <cellStyle name="Comma 2 5 2 2" xfId="14741" xr:uid="{00000000-0005-0000-0000-000092390000}"/>
    <cellStyle name="Comma 2 5 2 2 2" xfId="14742" xr:uid="{00000000-0005-0000-0000-000093390000}"/>
    <cellStyle name="Comma 2 5 2 2 2 2" xfId="14743" xr:uid="{00000000-0005-0000-0000-000094390000}"/>
    <cellStyle name="Comma 2 5 2 2 2 2 2" xfId="14744" xr:uid="{00000000-0005-0000-0000-000095390000}"/>
    <cellStyle name="Comma 2 5 2 2 2 2 3" xfId="14745" xr:uid="{00000000-0005-0000-0000-000096390000}"/>
    <cellStyle name="Comma 2 5 2 2 2 3" xfId="14746" xr:uid="{00000000-0005-0000-0000-000097390000}"/>
    <cellStyle name="Comma 2 5 2 2 2 4" xfId="14747" xr:uid="{00000000-0005-0000-0000-000098390000}"/>
    <cellStyle name="Comma 2 5 2 2 2 5" xfId="14748" xr:uid="{00000000-0005-0000-0000-000099390000}"/>
    <cellStyle name="Comma 2 5 2 2 2 6" xfId="14749" xr:uid="{00000000-0005-0000-0000-00009A390000}"/>
    <cellStyle name="Comma 2 5 2 2 3" xfId="14750" xr:uid="{00000000-0005-0000-0000-00009B390000}"/>
    <cellStyle name="Comma 2 5 2 2 3 2" xfId="14751" xr:uid="{00000000-0005-0000-0000-00009C390000}"/>
    <cellStyle name="Comma 2 5 2 2 3 2 2" xfId="14752" xr:uid="{00000000-0005-0000-0000-00009D390000}"/>
    <cellStyle name="Comma 2 5 2 2 3 3" xfId="14753" xr:uid="{00000000-0005-0000-0000-00009E390000}"/>
    <cellStyle name="Comma 2 5 2 2 3 4" xfId="14754" xr:uid="{00000000-0005-0000-0000-00009F390000}"/>
    <cellStyle name="Comma 2 5 2 2 3 5" xfId="14755" xr:uid="{00000000-0005-0000-0000-0000A0390000}"/>
    <cellStyle name="Comma 2 5 2 2 4" xfId="14756" xr:uid="{00000000-0005-0000-0000-0000A1390000}"/>
    <cellStyle name="Comma 2 5 2 2 4 2" xfId="14757" xr:uid="{00000000-0005-0000-0000-0000A2390000}"/>
    <cellStyle name="Comma 2 5 2 2 4 3" xfId="14758" xr:uid="{00000000-0005-0000-0000-0000A3390000}"/>
    <cellStyle name="Comma 2 5 2 2 4 4" xfId="14759" xr:uid="{00000000-0005-0000-0000-0000A4390000}"/>
    <cellStyle name="Comma 2 5 2 2 5" xfId="14760" xr:uid="{00000000-0005-0000-0000-0000A5390000}"/>
    <cellStyle name="Comma 2 5 2 2 5 2" xfId="14761" xr:uid="{00000000-0005-0000-0000-0000A6390000}"/>
    <cellStyle name="Comma 2 5 2 2 6" xfId="14762" xr:uid="{00000000-0005-0000-0000-0000A7390000}"/>
    <cellStyle name="Comma 2 5 2 2 7" xfId="14763" xr:uid="{00000000-0005-0000-0000-0000A8390000}"/>
    <cellStyle name="Comma 2 5 2 2 8" xfId="14764" xr:uid="{00000000-0005-0000-0000-0000A9390000}"/>
    <cellStyle name="Comma 2 5 2 2 9" xfId="14765" xr:uid="{00000000-0005-0000-0000-0000AA390000}"/>
    <cellStyle name="Comma 2 5 2 3" xfId="14766" xr:uid="{00000000-0005-0000-0000-0000AB390000}"/>
    <cellStyle name="Comma 2 5 2 3 2" xfId="14767" xr:uid="{00000000-0005-0000-0000-0000AC390000}"/>
    <cellStyle name="Comma 2 5 2 3 2 2" xfId="14768" xr:uid="{00000000-0005-0000-0000-0000AD390000}"/>
    <cellStyle name="Comma 2 5 2 3 2 2 2" xfId="14769" xr:uid="{00000000-0005-0000-0000-0000AE390000}"/>
    <cellStyle name="Comma 2 5 2 3 2 2 3" xfId="14770" xr:uid="{00000000-0005-0000-0000-0000AF390000}"/>
    <cellStyle name="Comma 2 5 2 3 2 3" xfId="14771" xr:uid="{00000000-0005-0000-0000-0000B0390000}"/>
    <cellStyle name="Comma 2 5 2 3 2 4" xfId="14772" xr:uid="{00000000-0005-0000-0000-0000B1390000}"/>
    <cellStyle name="Comma 2 5 2 3 2 5" xfId="14773" xr:uid="{00000000-0005-0000-0000-0000B2390000}"/>
    <cellStyle name="Comma 2 5 2 3 2 6" xfId="14774" xr:uid="{00000000-0005-0000-0000-0000B3390000}"/>
    <cellStyle name="Comma 2 5 2 3 3" xfId="14775" xr:uid="{00000000-0005-0000-0000-0000B4390000}"/>
    <cellStyle name="Comma 2 5 2 3 3 2" xfId="14776" xr:uid="{00000000-0005-0000-0000-0000B5390000}"/>
    <cellStyle name="Comma 2 5 2 3 3 2 2" xfId="14777" xr:uid="{00000000-0005-0000-0000-0000B6390000}"/>
    <cellStyle name="Comma 2 5 2 3 3 3" xfId="14778" xr:uid="{00000000-0005-0000-0000-0000B7390000}"/>
    <cellStyle name="Comma 2 5 2 3 3 4" xfId="14779" xr:uid="{00000000-0005-0000-0000-0000B8390000}"/>
    <cellStyle name="Comma 2 5 2 3 3 5" xfId="14780" xr:uid="{00000000-0005-0000-0000-0000B9390000}"/>
    <cellStyle name="Comma 2 5 2 3 4" xfId="14781" xr:uid="{00000000-0005-0000-0000-0000BA390000}"/>
    <cellStyle name="Comma 2 5 2 3 4 2" xfId="14782" xr:uid="{00000000-0005-0000-0000-0000BB390000}"/>
    <cellStyle name="Comma 2 5 2 3 4 3" xfId="14783" xr:uid="{00000000-0005-0000-0000-0000BC390000}"/>
    <cellStyle name="Comma 2 5 2 3 4 4" xfId="14784" xr:uid="{00000000-0005-0000-0000-0000BD390000}"/>
    <cellStyle name="Comma 2 5 2 3 5" xfId="14785" xr:uid="{00000000-0005-0000-0000-0000BE390000}"/>
    <cellStyle name="Comma 2 5 2 3 5 2" xfId="14786" xr:uid="{00000000-0005-0000-0000-0000BF390000}"/>
    <cellStyle name="Comma 2 5 2 3 6" xfId="14787" xr:uid="{00000000-0005-0000-0000-0000C0390000}"/>
    <cellStyle name="Comma 2 5 2 3 7" xfId="14788" xr:uid="{00000000-0005-0000-0000-0000C1390000}"/>
    <cellStyle name="Comma 2 5 2 3 8" xfId="14789" xr:uid="{00000000-0005-0000-0000-0000C2390000}"/>
    <cellStyle name="Comma 2 5 2 3 9" xfId="14790" xr:uid="{00000000-0005-0000-0000-0000C3390000}"/>
    <cellStyle name="Comma 2 5 2 4" xfId="14791" xr:uid="{00000000-0005-0000-0000-0000C4390000}"/>
    <cellStyle name="Comma 2 5 2 4 2" xfId="14792" xr:uid="{00000000-0005-0000-0000-0000C5390000}"/>
    <cellStyle name="Comma 2 5 2 4 2 2" xfId="14793" xr:uid="{00000000-0005-0000-0000-0000C6390000}"/>
    <cellStyle name="Comma 2 5 2 4 2 3" xfId="14794" xr:uid="{00000000-0005-0000-0000-0000C7390000}"/>
    <cellStyle name="Comma 2 5 2 4 3" xfId="14795" xr:uid="{00000000-0005-0000-0000-0000C8390000}"/>
    <cellStyle name="Comma 2 5 2 4 4" xfId="14796" xr:uid="{00000000-0005-0000-0000-0000C9390000}"/>
    <cellStyle name="Comma 2 5 2 4 5" xfId="14797" xr:uid="{00000000-0005-0000-0000-0000CA390000}"/>
    <cellStyle name="Comma 2 5 2 4 6" xfId="14798" xr:uid="{00000000-0005-0000-0000-0000CB390000}"/>
    <cellStyle name="Comma 2 5 2 5" xfId="14799" xr:uid="{00000000-0005-0000-0000-0000CC390000}"/>
    <cellStyle name="Comma 2 5 2 5 2" xfId="14800" xr:uid="{00000000-0005-0000-0000-0000CD390000}"/>
    <cellStyle name="Comma 2 5 2 5 2 2" xfId="14801" xr:uid="{00000000-0005-0000-0000-0000CE390000}"/>
    <cellStyle name="Comma 2 5 2 5 3" xfId="14802" xr:uid="{00000000-0005-0000-0000-0000CF390000}"/>
    <cellStyle name="Comma 2 5 2 5 4" xfId="14803" xr:uid="{00000000-0005-0000-0000-0000D0390000}"/>
    <cellStyle name="Comma 2 5 2 5 5" xfId="14804" xr:uid="{00000000-0005-0000-0000-0000D1390000}"/>
    <cellStyle name="Comma 2 5 2 6" xfId="14805" xr:uid="{00000000-0005-0000-0000-0000D2390000}"/>
    <cellStyle name="Comma 2 5 2 6 2" xfId="14806" xr:uid="{00000000-0005-0000-0000-0000D3390000}"/>
    <cellStyle name="Comma 2 5 2 6 3" xfId="14807" xr:uid="{00000000-0005-0000-0000-0000D4390000}"/>
    <cellStyle name="Comma 2 5 2 6 4" xfId="14808" xr:uid="{00000000-0005-0000-0000-0000D5390000}"/>
    <cellStyle name="Comma 2 5 2 7" xfId="14809" xr:uid="{00000000-0005-0000-0000-0000D6390000}"/>
    <cellStyle name="Comma 2 5 2 7 2" xfId="14810" xr:uid="{00000000-0005-0000-0000-0000D7390000}"/>
    <cellStyle name="Comma 2 5 2 8" xfId="14811" xr:uid="{00000000-0005-0000-0000-0000D8390000}"/>
    <cellStyle name="Comma 2 5 2 9" xfId="14812" xr:uid="{00000000-0005-0000-0000-0000D9390000}"/>
    <cellStyle name="Comma 2 5 20" xfId="14813" xr:uid="{00000000-0005-0000-0000-0000DA390000}"/>
    <cellStyle name="Comma 2 5 21" xfId="14814" xr:uid="{00000000-0005-0000-0000-0000DB390000}"/>
    <cellStyle name="Comma 2 5 22" xfId="14815" xr:uid="{00000000-0005-0000-0000-0000DC390000}"/>
    <cellStyle name="Comma 2 5 3" xfId="14816" xr:uid="{00000000-0005-0000-0000-0000DD390000}"/>
    <cellStyle name="Comma 2 5 3 10" xfId="14817" xr:uid="{00000000-0005-0000-0000-0000DE390000}"/>
    <cellStyle name="Comma 2 5 3 11" xfId="14818" xr:uid="{00000000-0005-0000-0000-0000DF390000}"/>
    <cellStyle name="Comma 2 5 3 2" xfId="14819" xr:uid="{00000000-0005-0000-0000-0000E0390000}"/>
    <cellStyle name="Comma 2 5 3 2 2" xfId="14820" xr:uid="{00000000-0005-0000-0000-0000E1390000}"/>
    <cellStyle name="Comma 2 5 3 2 2 2" xfId="14821" xr:uid="{00000000-0005-0000-0000-0000E2390000}"/>
    <cellStyle name="Comma 2 5 3 2 2 2 2" xfId="14822" xr:uid="{00000000-0005-0000-0000-0000E3390000}"/>
    <cellStyle name="Comma 2 5 3 2 2 2 3" xfId="14823" xr:uid="{00000000-0005-0000-0000-0000E4390000}"/>
    <cellStyle name="Comma 2 5 3 2 2 3" xfId="14824" xr:uid="{00000000-0005-0000-0000-0000E5390000}"/>
    <cellStyle name="Comma 2 5 3 2 2 4" xfId="14825" xr:uid="{00000000-0005-0000-0000-0000E6390000}"/>
    <cellStyle name="Comma 2 5 3 2 2 5" xfId="14826" xr:uid="{00000000-0005-0000-0000-0000E7390000}"/>
    <cellStyle name="Comma 2 5 3 2 2 6" xfId="14827" xr:uid="{00000000-0005-0000-0000-0000E8390000}"/>
    <cellStyle name="Comma 2 5 3 2 3" xfId="14828" xr:uid="{00000000-0005-0000-0000-0000E9390000}"/>
    <cellStyle name="Comma 2 5 3 2 3 2" xfId="14829" xr:uid="{00000000-0005-0000-0000-0000EA390000}"/>
    <cellStyle name="Comma 2 5 3 2 3 2 2" xfId="14830" xr:uid="{00000000-0005-0000-0000-0000EB390000}"/>
    <cellStyle name="Comma 2 5 3 2 3 3" xfId="14831" xr:uid="{00000000-0005-0000-0000-0000EC390000}"/>
    <cellStyle name="Comma 2 5 3 2 3 4" xfId="14832" xr:uid="{00000000-0005-0000-0000-0000ED390000}"/>
    <cellStyle name="Comma 2 5 3 2 3 5" xfId="14833" xr:uid="{00000000-0005-0000-0000-0000EE390000}"/>
    <cellStyle name="Comma 2 5 3 2 4" xfId="14834" xr:uid="{00000000-0005-0000-0000-0000EF390000}"/>
    <cellStyle name="Comma 2 5 3 2 4 2" xfId="14835" xr:uid="{00000000-0005-0000-0000-0000F0390000}"/>
    <cellStyle name="Comma 2 5 3 2 4 3" xfId="14836" xr:uid="{00000000-0005-0000-0000-0000F1390000}"/>
    <cellStyle name="Comma 2 5 3 2 4 4" xfId="14837" xr:uid="{00000000-0005-0000-0000-0000F2390000}"/>
    <cellStyle name="Comma 2 5 3 2 5" xfId="14838" xr:uid="{00000000-0005-0000-0000-0000F3390000}"/>
    <cellStyle name="Comma 2 5 3 2 5 2" xfId="14839" xr:uid="{00000000-0005-0000-0000-0000F4390000}"/>
    <cellStyle name="Comma 2 5 3 2 6" xfId="14840" xr:uid="{00000000-0005-0000-0000-0000F5390000}"/>
    <cellStyle name="Comma 2 5 3 2 7" xfId="14841" xr:uid="{00000000-0005-0000-0000-0000F6390000}"/>
    <cellStyle name="Comma 2 5 3 2 8" xfId="14842" xr:uid="{00000000-0005-0000-0000-0000F7390000}"/>
    <cellStyle name="Comma 2 5 3 2 9" xfId="14843" xr:uid="{00000000-0005-0000-0000-0000F8390000}"/>
    <cellStyle name="Comma 2 5 3 3" xfId="14844" xr:uid="{00000000-0005-0000-0000-0000F9390000}"/>
    <cellStyle name="Comma 2 5 3 3 2" xfId="14845" xr:uid="{00000000-0005-0000-0000-0000FA390000}"/>
    <cellStyle name="Comma 2 5 3 3 2 2" xfId="14846" xr:uid="{00000000-0005-0000-0000-0000FB390000}"/>
    <cellStyle name="Comma 2 5 3 3 2 2 2" xfId="14847" xr:uid="{00000000-0005-0000-0000-0000FC390000}"/>
    <cellStyle name="Comma 2 5 3 3 2 2 3" xfId="14848" xr:uid="{00000000-0005-0000-0000-0000FD390000}"/>
    <cellStyle name="Comma 2 5 3 3 2 3" xfId="14849" xr:uid="{00000000-0005-0000-0000-0000FE390000}"/>
    <cellStyle name="Comma 2 5 3 3 2 4" xfId="14850" xr:uid="{00000000-0005-0000-0000-0000FF390000}"/>
    <cellStyle name="Comma 2 5 3 3 2 5" xfId="14851" xr:uid="{00000000-0005-0000-0000-0000003A0000}"/>
    <cellStyle name="Comma 2 5 3 3 2 6" xfId="14852" xr:uid="{00000000-0005-0000-0000-0000013A0000}"/>
    <cellStyle name="Comma 2 5 3 3 3" xfId="14853" xr:uid="{00000000-0005-0000-0000-0000023A0000}"/>
    <cellStyle name="Comma 2 5 3 3 3 2" xfId="14854" xr:uid="{00000000-0005-0000-0000-0000033A0000}"/>
    <cellStyle name="Comma 2 5 3 3 3 2 2" xfId="14855" xr:uid="{00000000-0005-0000-0000-0000043A0000}"/>
    <cellStyle name="Comma 2 5 3 3 3 3" xfId="14856" xr:uid="{00000000-0005-0000-0000-0000053A0000}"/>
    <cellStyle name="Comma 2 5 3 3 3 4" xfId="14857" xr:uid="{00000000-0005-0000-0000-0000063A0000}"/>
    <cellStyle name="Comma 2 5 3 3 3 5" xfId="14858" xr:uid="{00000000-0005-0000-0000-0000073A0000}"/>
    <cellStyle name="Comma 2 5 3 3 4" xfId="14859" xr:uid="{00000000-0005-0000-0000-0000083A0000}"/>
    <cellStyle name="Comma 2 5 3 3 4 2" xfId="14860" xr:uid="{00000000-0005-0000-0000-0000093A0000}"/>
    <cellStyle name="Comma 2 5 3 3 4 3" xfId="14861" xr:uid="{00000000-0005-0000-0000-00000A3A0000}"/>
    <cellStyle name="Comma 2 5 3 3 4 4" xfId="14862" xr:uid="{00000000-0005-0000-0000-00000B3A0000}"/>
    <cellStyle name="Comma 2 5 3 3 5" xfId="14863" xr:uid="{00000000-0005-0000-0000-00000C3A0000}"/>
    <cellStyle name="Comma 2 5 3 3 5 2" xfId="14864" xr:uid="{00000000-0005-0000-0000-00000D3A0000}"/>
    <cellStyle name="Comma 2 5 3 3 6" xfId="14865" xr:uid="{00000000-0005-0000-0000-00000E3A0000}"/>
    <cellStyle name="Comma 2 5 3 3 7" xfId="14866" xr:uid="{00000000-0005-0000-0000-00000F3A0000}"/>
    <cellStyle name="Comma 2 5 3 3 8" xfId="14867" xr:uid="{00000000-0005-0000-0000-0000103A0000}"/>
    <cellStyle name="Comma 2 5 3 3 9" xfId="14868" xr:uid="{00000000-0005-0000-0000-0000113A0000}"/>
    <cellStyle name="Comma 2 5 3 4" xfId="14869" xr:uid="{00000000-0005-0000-0000-0000123A0000}"/>
    <cellStyle name="Comma 2 5 3 4 2" xfId="14870" xr:uid="{00000000-0005-0000-0000-0000133A0000}"/>
    <cellStyle name="Comma 2 5 3 4 2 2" xfId="14871" xr:uid="{00000000-0005-0000-0000-0000143A0000}"/>
    <cellStyle name="Comma 2 5 3 4 2 3" xfId="14872" xr:uid="{00000000-0005-0000-0000-0000153A0000}"/>
    <cellStyle name="Comma 2 5 3 4 3" xfId="14873" xr:uid="{00000000-0005-0000-0000-0000163A0000}"/>
    <cellStyle name="Comma 2 5 3 4 4" xfId="14874" xr:uid="{00000000-0005-0000-0000-0000173A0000}"/>
    <cellStyle name="Comma 2 5 3 4 5" xfId="14875" xr:uid="{00000000-0005-0000-0000-0000183A0000}"/>
    <cellStyle name="Comma 2 5 3 4 6" xfId="14876" xr:uid="{00000000-0005-0000-0000-0000193A0000}"/>
    <cellStyle name="Comma 2 5 3 5" xfId="14877" xr:uid="{00000000-0005-0000-0000-00001A3A0000}"/>
    <cellStyle name="Comma 2 5 3 5 2" xfId="14878" xr:uid="{00000000-0005-0000-0000-00001B3A0000}"/>
    <cellStyle name="Comma 2 5 3 5 2 2" xfId="14879" xr:uid="{00000000-0005-0000-0000-00001C3A0000}"/>
    <cellStyle name="Comma 2 5 3 5 3" xfId="14880" xr:uid="{00000000-0005-0000-0000-00001D3A0000}"/>
    <cellStyle name="Comma 2 5 3 5 4" xfId="14881" xr:uid="{00000000-0005-0000-0000-00001E3A0000}"/>
    <cellStyle name="Comma 2 5 3 5 5" xfId="14882" xr:uid="{00000000-0005-0000-0000-00001F3A0000}"/>
    <cellStyle name="Comma 2 5 3 6" xfId="14883" xr:uid="{00000000-0005-0000-0000-0000203A0000}"/>
    <cellStyle name="Comma 2 5 3 6 2" xfId="14884" xr:uid="{00000000-0005-0000-0000-0000213A0000}"/>
    <cellStyle name="Comma 2 5 3 6 3" xfId="14885" xr:uid="{00000000-0005-0000-0000-0000223A0000}"/>
    <cellStyle name="Comma 2 5 3 6 4" xfId="14886" xr:uid="{00000000-0005-0000-0000-0000233A0000}"/>
    <cellStyle name="Comma 2 5 3 7" xfId="14887" xr:uid="{00000000-0005-0000-0000-0000243A0000}"/>
    <cellStyle name="Comma 2 5 3 7 2" xfId="14888" xr:uid="{00000000-0005-0000-0000-0000253A0000}"/>
    <cellStyle name="Comma 2 5 3 8" xfId="14889" xr:uid="{00000000-0005-0000-0000-0000263A0000}"/>
    <cellStyle name="Comma 2 5 3 9" xfId="14890" xr:uid="{00000000-0005-0000-0000-0000273A0000}"/>
    <cellStyle name="Comma 2 5 4" xfId="14891" xr:uid="{00000000-0005-0000-0000-0000283A0000}"/>
    <cellStyle name="Comma 2 5 4 10" xfId="14892" xr:uid="{00000000-0005-0000-0000-0000293A0000}"/>
    <cellStyle name="Comma 2 5 4 11" xfId="14893" xr:uid="{00000000-0005-0000-0000-00002A3A0000}"/>
    <cellStyle name="Comma 2 5 4 2" xfId="14894" xr:uid="{00000000-0005-0000-0000-00002B3A0000}"/>
    <cellStyle name="Comma 2 5 4 2 2" xfId="14895" xr:uid="{00000000-0005-0000-0000-00002C3A0000}"/>
    <cellStyle name="Comma 2 5 4 2 2 2" xfId="14896" xr:uid="{00000000-0005-0000-0000-00002D3A0000}"/>
    <cellStyle name="Comma 2 5 4 2 2 2 2" xfId="14897" xr:uid="{00000000-0005-0000-0000-00002E3A0000}"/>
    <cellStyle name="Comma 2 5 4 2 2 2 3" xfId="14898" xr:uid="{00000000-0005-0000-0000-00002F3A0000}"/>
    <cellStyle name="Comma 2 5 4 2 2 3" xfId="14899" xr:uid="{00000000-0005-0000-0000-0000303A0000}"/>
    <cellStyle name="Comma 2 5 4 2 2 4" xfId="14900" xr:uid="{00000000-0005-0000-0000-0000313A0000}"/>
    <cellStyle name="Comma 2 5 4 2 2 5" xfId="14901" xr:uid="{00000000-0005-0000-0000-0000323A0000}"/>
    <cellStyle name="Comma 2 5 4 2 2 6" xfId="14902" xr:uid="{00000000-0005-0000-0000-0000333A0000}"/>
    <cellStyle name="Comma 2 5 4 2 3" xfId="14903" xr:uid="{00000000-0005-0000-0000-0000343A0000}"/>
    <cellStyle name="Comma 2 5 4 2 3 2" xfId="14904" xr:uid="{00000000-0005-0000-0000-0000353A0000}"/>
    <cellStyle name="Comma 2 5 4 2 3 2 2" xfId="14905" xr:uid="{00000000-0005-0000-0000-0000363A0000}"/>
    <cellStyle name="Comma 2 5 4 2 3 3" xfId="14906" xr:uid="{00000000-0005-0000-0000-0000373A0000}"/>
    <cellStyle name="Comma 2 5 4 2 3 4" xfId="14907" xr:uid="{00000000-0005-0000-0000-0000383A0000}"/>
    <cellStyle name="Comma 2 5 4 2 3 5" xfId="14908" xr:uid="{00000000-0005-0000-0000-0000393A0000}"/>
    <cellStyle name="Comma 2 5 4 2 4" xfId="14909" xr:uid="{00000000-0005-0000-0000-00003A3A0000}"/>
    <cellStyle name="Comma 2 5 4 2 4 2" xfId="14910" xr:uid="{00000000-0005-0000-0000-00003B3A0000}"/>
    <cellStyle name="Comma 2 5 4 2 4 3" xfId="14911" xr:uid="{00000000-0005-0000-0000-00003C3A0000}"/>
    <cellStyle name="Comma 2 5 4 2 4 4" xfId="14912" xr:uid="{00000000-0005-0000-0000-00003D3A0000}"/>
    <cellStyle name="Comma 2 5 4 2 5" xfId="14913" xr:uid="{00000000-0005-0000-0000-00003E3A0000}"/>
    <cellStyle name="Comma 2 5 4 2 5 2" xfId="14914" xr:uid="{00000000-0005-0000-0000-00003F3A0000}"/>
    <cellStyle name="Comma 2 5 4 2 6" xfId="14915" xr:uid="{00000000-0005-0000-0000-0000403A0000}"/>
    <cellStyle name="Comma 2 5 4 2 7" xfId="14916" xr:uid="{00000000-0005-0000-0000-0000413A0000}"/>
    <cellStyle name="Comma 2 5 4 2 8" xfId="14917" xr:uid="{00000000-0005-0000-0000-0000423A0000}"/>
    <cellStyle name="Comma 2 5 4 2 9" xfId="14918" xr:uid="{00000000-0005-0000-0000-0000433A0000}"/>
    <cellStyle name="Comma 2 5 4 3" xfId="14919" xr:uid="{00000000-0005-0000-0000-0000443A0000}"/>
    <cellStyle name="Comma 2 5 4 3 2" xfId="14920" xr:uid="{00000000-0005-0000-0000-0000453A0000}"/>
    <cellStyle name="Comma 2 5 4 3 2 2" xfId="14921" xr:uid="{00000000-0005-0000-0000-0000463A0000}"/>
    <cellStyle name="Comma 2 5 4 3 2 2 2" xfId="14922" xr:uid="{00000000-0005-0000-0000-0000473A0000}"/>
    <cellStyle name="Comma 2 5 4 3 2 2 3" xfId="14923" xr:uid="{00000000-0005-0000-0000-0000483A0000}"/>
    <cellStyle name="Comma 2 5 4 3 2 3" xfId="14924" xr:uid="{00000000-0005-0000-0000-0000493A0000}"/>
    <cellStyle name="Comma 2 5 4 3 2 4" xfId="14925" xr:uid="{00000000-0005-0000-0000-00004A3A0000}"/>
    <cellStyle name="Comma 2 5 4 3 2 5" xfId="14926" xr:uid="{00000000-0005-0000-0000-00004B3A0000}"/>
    <cellStyle name="Comma 2 5 4 3 2 6" xfId="14927" xr:uid="{00000000-0005-0000-0000-00004C3A0000}"/>
    <cellStyle name="Comma 2 5 4 3 3" xfId="14928" xr:uid="{00000000-0005-0000-0000-00004D3A0000}"/>
    <cellStyle name="Comma 2 5 4 3 3 2" xfId="14929" xr:uid="{00000000-0005-0000-0000-00004E3A0000}"/>
    <cellStyle name="Comma 2 5 4 3 3 2 2" xfId="14930" xr:uid="{00000000-0005-0000-0000-00004F3A0000}"/>
    <cellStyle name="Comma 2 5 4 3 3 3" xfId="14931" xr:uid="{00000000-0005-0000-0000-0000503A0000}"/>
    <cellStyle name="Comma 2 5 4 3 3 4" xfId="14932" xr:uid="{00000000-0005-0000-0000-0000513A0000}"/>
    <cellStyle name="Comma 2 5 4 3 3 5" xfId="14933" xr:uid="{00000000-0005-0000-0000-0000523A0000}"/>
    <cellStyle name="Comma 2 5 4 3 4" xfId="14934" xr:uid="{00000000-0005-0000-0000-0000533A0000}"/>
    <cellStyle name="Comma 2 5 4 3 4 2" xfId="14935" xr:uid="{00000000-0005-0000-0000-0000543A0000}"/>
    <cellStyle name="Comma 2 5 4 3 4 3" xfId="14936" xr:uid="{00000000-0005-0000-0000-0000553A0000}"/>
    <cellStyle name="Comma 2 5 4 3 4 4" xfId="14937" xr:uid="{00000000-0005-0000-0000-0000563A0000}"/>
    <cellStyle name="Comma 2 5 4 3 5" xfId="14938" xr:uid="{00000000-0005-0000-0000-0000573A0000}"/>
    <cellStyle name="Comma 2 5 4 3 5 2" xfId="14939" xr:uid="{00000000-0005-0000-0000-0000583A0000}"/>
    <cellStyle name="Comma 2 5 4 3 6" xfId="14940" xr:uid="{00000000-0005-0000-0000-0000593A0000}"/>
    <cellStyle name="Comma 2 5 4 3 7" xfId="14941" xr:uid="{00000000-0005-0000-0000-00005A3A0000}"/>
    <cellStyle name="Comma 2 5 4 3 8" xfId="14942" xr:uid="{00000000-0005-0000-0000-00005B3A0000}"/>
    <cellStyle name="Comma 2 5 4 3 9" xfId="14943" xr:uid="{00000000-0005-0000-0000-00005C3A0000}"/>
    <cellStyle name="Comma 2 5 4 4" xfId="14944" xr:uid="{00000000-0005-0000-0000-00005D3A0000}"/>
    <cellStyle name="Comma 2 5 4 4 2" xfId="14945" xr:uid="{00000000-0005-0000-0000-00005E3A0000}"/>
    <cellStyle name="Comma 2 5 4 4 2 2" xfId="14946" xr:uid="{00000000-0005-0000-0000-00005F3A0000}"/>
    <cellStyle name="Comma 2 5 4 4 2 3" xfId="14947" xr:uid="{00000000-0005-0000-0000-0000603A0000}"/>
    <cellStyle name="Comma 2 5 4 4 3" xfId="14948" xr:uid="{00000000-0005-0000-0000-0000613A0000}"/>
    <cellStyle name="Comma 2 5 4 4 4" xfId="14949" xr:uid="{00000000-0005-0000-0000-0000623A0000}"/>
    <cellStyle name="Comma 2 5 4 4 5" xfId="14950" xr:uid="{00000000-0005-0000-0000-0000633A0000}"/>
    <cellStyle name="Comma 2 5 4 4 6" xfId="14951" xr:uid="{00000000-0005-0000-0000-0000643A0000}"/>
    <cellStyle name="Comma 2 5 4 5" xfId="14952" xr:uid="{00000000-0005-0000-0000-0000653A0000}"/>
    <cellStyle name="Comma 2 5 4 5 2" xfId="14953" xr:uid="{00000000-0005-0000-0000-0000663A0000}"/>
    <cellStyle name="Comma 2 5 4 5 2 2" xfId="14954" xr:uid="{00000000-0005-0000-0000-0000673A0000}"/>
    <cellStyle name="Comma 2 5 4 5 3" xfId="14955" xr:uid="{00000000-0005-0000-0000-0000683A0000}"/>
    <cellStyle name="Comma 2 5 4 5 4" xfId="14956" xr:uid="{00000000-0005-0000-0000-0000693A0000}"/>
    <cellStyle name="Comma 2 5 4 5 5" xfId="14957" xr:uid="{00000000-0005-0000-0000-00006A3A0000}"/>
    <cellStyle name="Comma 2 5 4 6" xfId="14958" xr:uid="{00000000-0005-0000-0000-00006B3A0000}"/>
    <cellStyle name="Comma 2 5 4 6 2" xfId="14959" xr:uid="{00000000-0005-0000-0000-00006C3A0000}"/>
    <cellStyle name="Comma 2 5 4 6 3" xfId="14960" xr:uid="{00000000-0005-0000-0000-00006D3A0000}"/>
    <cellStyle name="Comma 2 5 4 6 4" xfId="14961" xr:uid="{00000000-0005-0000-0000-00006E3A0000}"/>
    <cellStyle name="Comma 2 5 4 7" xfId="14962" xr:uid="{00000000-0005-0000-0000-00006F3A0000}"/>
    <cellStyle name="Comma 2 5 4 7 2" xfId="14963" xr:uid="{00000000-0005-0000-0000-0000703A0000}"/>
    <cellStyle name="Comma 2 5 4 8" xfId="14964" xr:uid="{00000000-0005-0000-0000-0000713A0000}"/>
    <cellStyle name="Comma 2 5 4 9" xfId="14965" xr:uid="{00000000-0005-0000-0000-0000723A0000}"/>
    <cellStyle name="Comma 2 5 5" xfId="14966" xr:uid="{00000000-0005-0000-0000-0000733A0000}"/>
    <cellStyle name="Comma 2 5 5 10" xfId="14967" xr:uid="{00000000-0005-0000-0000-0000743A0000}"/>
    <cellStyle name="Comma 2 5 5 11" xfId="14968" xr:uid="{00000000-0005-0000-0000-0000753A0000}"/>
    <cellStyle name="Comma 2 5 5 2" xfId="14969" xr:uid="{00000000-0005-0000-0000-0000763A0000}"/>
    <cellStyle name="Comma 2 5 5 2 2" xfId="14970" xr:uid="{00000000-0005-0000-0000-0000773A0000}"/>
    <cellStyle name="Comma 2 5 5 2 2 2" xfId="14971" xr:uid="{00000000-0005-0000-0000-0000783A0000}"/>
    <cellStyle name="Comma 2 5 5 2 2 2 2" xfId="14972" xr:uid="{00000000-0005-0000-0000-0000793A0000}"/>
    <cellStyle name="Comma 2 5 5 2 2 2 3" xfId="14973" xr:uid="{00000000-0005-0000-0000-00007A3A0000}"/>
    <cellStyle name="Comma 2 5 5 2 2 3" xfId="14974" xr:uid="{00000000-0005-0000-0000-00007B3A0000}"/>
    <cellStyle name="Comma 2 5 5 2 2 4" xfId="14975" xr:uid="{00000000-0005-0000-0000-00007C3A0000}"/>
    <cellStyle name="Comma 2 5 5 2 2 5" xfId="14976" xr:uid="{00000000-0005-0000-0000-00007D3A0000}"/>
    <cellStyle name="Comma 2 5 5 2 2 6" xfId="14977" xr:uid="{00000000-0005-0000-0000-00007E3A0000}"/>
    <cellStyle name="Comma 2 5 5 2 3" xfId="14978" xr:uid="{00000000-0005-0000-0000-00007F3A0000}"/>
    <cellStyle name="Comma 2 5 5 2 3 2" xfId="14979" xr:uid="{00000000-0005-0000-0000-0000803A0000}"/>
    <cellStyle name="Comma 2 5 5 2 3 2 2" xfId="14980" xr:uid="{00000000-0005-0000-0000-0000813A0000}"/>
    <cellStyle name="Comma 2 5 5 2 3 3" xfId="14981" xr:uid="{00000000-0005-0000-0000-0000823A0000}"/>
    <cellStyle name="Comma 2 5 5 2 3 4" xfId="14982" xr:uid="{00000000-0005-0000-0000-0000833A0000}"/>
    <cellStyle name="Comma 2 5 5 2 3 5" xfId="14983" xr:uid="{00000000-0005-0000-0000-0000843A0000}"/>
    <cellStyle name="Comma 2 5 5 2 4" xfId="14984" xr:uid="{00000000-0005-0000-0000-0000853A0000}"/>
    <cellStyle name="Comma 2 5 5 2 4 2" xfId="14985" xr:uid="{00000000-0005-0000-0000-0000863A0000}"/>
    <cellStyle name="Comma 2 5 5 2 4 3" xfId="14986" xr:uid="{00000000-0005-0000-0000-0000873A0000}"/>
    <cellStyle name="Comma 2 5 5 2 4 4" xfId="14987" xr:uid="{00000000-0005-0000-0000-0000883A0000}"/>
    <cellStyle name="Comma 2 5 5 2 5" xfId="14988" xr:uid="{00000000-0005-0000-0000-0000893A0000}"/>
    <cellStyle name="Comma 2 5 5 2 5 2" xfId="14989" xr:uid="{00000000-0005-0000-0000-00008A3A0000}"/>
    <cellStyle name="Comma 2 5 5 2 6" xfId="14990" xr:uid="{00000000-0005-0000-0000-00008B3A0000}"/>
    <cellStyle name="Comma 2 5 5 2 7" xfId="14991" xr:uid="{00000000-0005-0000-0000-00008C3A0000}"/>
    <cellStyle name="Comma 2 5 5 2 8" xfId="14992" xr:uid="{00000000-0005-0000-0000-00008D3A0000}"/>
    <cellStyle name="Comma 2 5 5 2 9" xfId="14993" xr:uid="{00000000-0005-0000-0000-00008E3A0000}"/>
    <cellStyle name="Comma 2 5 5 3" xfId="14994" xr:uid="{00000000-0005-0000-0000-00008F3A0000}"/>
    <cellStyle name="Comma 2 5 5 3 2" xfId="14995" xr:uid="{00000000-0005-0000-0000-0000903A0000}"/>
    <cellStyle name="Comma 2 5 5 3 2 2" xfId="14996" xr:uid="{00000000-0005-0000-0000-0000913A0000}"/>
    <cellStyle name="Comma 2 5 5 3 2 2 2" xfId="14997" xr:uid="{00000000-0005-0000-0000-0000923A0000}"/>
    <cellStyle name="Comma 2 5 5 3 2 2 3" xfId="14998" xr:uid="{00000000-0005-0000-0000-0000933A0000}"/>
    <cellStyle name="Comma 2 5 5 3 2 3" xfId="14999" xr:uid="{00000000-0005-0000-0000-0000943A0000}"/>
    <cellStyle name="Comma 2 5 5 3 2 4" xfId="15000" xr:uid="{00000000-0005-0000-0000-0000953A0000}"/>
    <cellStyle name="Comma 2 5 5 3 2 5" xfId="15001" xr:uid="{00000000-0005-0000-0000-0000963A0000}"/>
    <cellStyle name="Comma 2 5 5 3 2 6" xfId="15002" xr:uid="{00000000-0005-0000-0000-0000973A0000}"/>
    <cellStyle name="Comma 2 5 5 3 3" xfId="15003" xr:uid="{00000000-0005-0000-0000-0000983A0000}"/>
    <cellStyle name="Comma 2 5 5 3 3 2" xfId="15004" xr:uid="{00000000-0005-0000-0000-0000993A0000}"/>
    <cellStyle name="Comma 2 5 5 3 3 2 2" xfId="15005" xr:uid="{00000000-0005-0000-0000-00009A3A0000}"/>
    <cellStyle name="Comma 2 5 5 3 3 3" xfId="15006" xr:uid="{00000000-0005-0000-0000-00009B3A0000}"/>
    <cellStyle name="Comma 2 5 5 3 3 4" xfId="15007" xr:uid="{00000000-0005-0000-0000-00009C3A0000}"/>
    <cellStyle name="Comma 2 5 5 3 3 5" xfId="15008" xr:uid="{00000000-0005-0000-0000-00009D3A0000}"/>
    <cellStyle name="Comma 2 5 5 3 4" xfId="15009" xr:uid="{00000000-0005-0000-0000-00009E3A0000}"/>
    <cellStyle name="Comma 2 5 5 3 4 2" xfId="15010" xr:uid="{00000000-0005-0000-0000-00009F3A0000}"/>
    <cellStyle name="Comma 2 5 5 3 4 3" xfId="15011" xr:uid="{00000000-0005-0000-0000-0000A03A0000}"/>
    <cellStyle name="Comma 2 5 5 3 4 4" xfId="15012" xr:uid="{00000000-0005-0000-0000-0000A13A0000}"/>
    <cellStyle name="Comma 2 5 5 3 5" xfId="15013" xr:uid="{00000000-0005-0000-0000-0000A23A0000}"/>
    <cellStyle name="Comma 2 5 5 3 5 2" xfId="15014" xr:uid="{00000000-0005-0000-0000-0000A33A0000}"/>
    <cellStyle name="Comma 2 5 5 3 6" xfId="15015" xr:uid="{00000000-0005-0000-0000-0000A43A0000}"/>
    <cellStyle name="Comma 2 5 5 3 7" xfId="15016" xr:uid="{00000000-0005-0000-0000-0000A53A0000}"/>
    <cellStyle name="Comma 2 5 5 3 8" xfId="15017" xr:uid="{00000000-0005-0000-0000-0000A63A0000}"/>
    <cellStyle name="Comma 2 5 5 3 9" xfId="15018" xr:uid="{00000000-0005-0000-0000-0000A73A0000}"/>
    <cellStyle name="Comma 2 5 5 4" xfId="15019" xr:uid="{00000000-0005-0000-0000-0000A83A0000}"/>
    <cellStyle name="Comma 2 5 5 4 2" xfId="15020" xr:uid="{00000000-0005-0000-0000-0000A93A0000}"/>
    <cellStyle name="Comma 2 5 5 4 2 2" xfId="15021" xr:uid="{00000000-0005-0000-0000-0000AA3A0000}"/>
    <cellStyle name="Comma 2 5 5 4 2 3" xfId="15022" xr:uid="{00000000-0005-0000-0000-0000AB3A0000}"/>
    <cellStyle name="Comma 2 5 5 4 3" xfId="15023" xr:uid="{00000000-0005-0000-0000-0000AC3A0000}"/>
    <cellStyle name="Comma 2 5 5 4 4" xfId="15024" xr:uid="{00000000-0005-0000-0000-0000AD3A0000}"/>
    <cellStyle name="Comma 2 5 5 4 5" xfId="15025" xr:uid="{00000000-0005-0000-0000-0000AE3A0000}"/>
    <cellStyle name="Comma 2 5 5 4 6" xfId="15026" xr:uid="{00000000-0005-0000-0000-0000AF3A0000}"/>
    <cellStyle name="Comma 2 5 5 5" xfId="15027" xr:uid="{00000000-0005-0000-0000-0000B03A0000}"/>
    <cellStyle name="Comma 2 5 5 5 2" xfId="15028" xr:uid="{00000000-0005-0000-0000-0000B13A0000}"/>
    <cellStyle name="Comma 2 5 5 5 2 2" xfId="15029" xr:uid="{00000000-0005-0000-0000-0000B23A0000}"/>
    <cellStyle name="Comma 2 5 5 5 3" xfId="15030" xr:uid="{00000000-0005-0000-0000-0000B33A0000}"/>
    <cellStyle name="Comma 2 5 5 5 4" xfId="15031" xr:uid="{00000000-0005-0000-0000-0000B43A0000}"/>
    <cellStyle name="Comma 2 5 5 5 5" xfId="15032" xr:uid="{00000000-0005-0000-0000-0000B53A0000}"/>
    <cellStyle name="Comma 2 5 5 6" xfId="15033" xr:uid="{00000000-0005-0000-0000-0000B63A0000}"/>
    <cellStyle name="Comma 2 5 5 6 2" xfId="15034" xr:uid="{00000000-0005-0000-0000-0000B73A0000}"/>
    <cellStyle name="Comma 2 5 5 6 3" xfId="15035" xr:uid="{00000000-0005-0000-0000-0000B83A0000}"/>
    <cellStyle name="Comma 2 5 5 6 4" xfId="15036" xr:uid="{00000000-0005-0000-0000-0000B93A0000}"/>
    <cellStyle name="Comma 2 5 5 7" xfId="15037" xr:uid="{00000000-0005-0000-0000-0000BA3A0000}"/>
    <cellStyle name="Comma 2 5 5 7 2" xfId="15038" xr:uid="{00000000-0005-0000-0000-0000BB3A0000}"/>
    <cellStyle name="Comma 2 5 5 8" xfId="15039" xr:uid="{00000000-0005-0000-0000-0000BC3A0000}"/>
    <cellStyle name="Comma 2 5 5 9" xfId="15040" xr:uid="{00000000-0005-0000-0000-0000BD3A0000}"/>
    <cellStyle name="Comma 2 5 6" xfId="15041" xr:uid="{00000000-0005-0000-0000-0000BE3A0000}"/>
    <cellStyle name="Comma 2 5 6 10" xfId="15042" xr:uid="{00000000-0005-0000-0000-0000BF3A0000}"/>
    <cellStyle name="Comma 2 5 6 11" xfId="15043" xr:uid="{00000000-0005-0000-0000-0000C03A0000}"/>
    <cellStyle name="Comma 2 5 6 2" xfId="15044" xr:uid="{00000000-0005-0000-0000-0000C13A0000}"/>
    <cellStyle name="Comma 2 5 6 2 2" xfId="15045" xr:uid="{00000000-0005-0000-0000-0000C23A0000}"/>
    <cellStyle name="Comma 2 5 6 2 2 2" xfId="15046" xr:uid="{00000000-0005-0000-0000-0000C33A0000}"/>
    <cellStyle name="Comma 2 5 6 2 2 2 2" xfId="15047" xr:uid="{00000000-0005-0000-0000-0000C43A0000}"/>
    <cellStyle name="Comma 2 5 6 2 2 2 3" xfId="15048" xr:uid="{00000000-0005-0000-0000-0000C53A0000}"/>
    <cellStyle name="Comma 2 5 6 2 2 3" xfId="15049" xr:uid="{00000000-0005-0000-0000-0000C63A0000}"/>
    <cellStyle name="Comma 2 5 6 2 2 4" xfId="15050" xr:uid="{00000000-0005-0000-0000-0000C73A0000}"/>
    <cellStyle name="Comma 2 5 6 2 2 5" xfId="15051" xr:uid="{00000000-0005-0000-0000-0000C83A0000}"/>
    <cellStyle name="Comma 2 5 6 2 2 6" xfId="15052" xr:uid="{00000000-0005-0000-0000-0000C93A0000}"/>
    <cellStyle name="Comma 2 5 6 2 3" xfId="15053" xr:uid="{00000000-0005-0000-0000-0000CA3A0000}"/>
    <cellStyle name="Comma 2 5 6 2 3 2" xfId="15054" xr:uid="{00000000-0005-0000-0000-0000CB3A0000}"/>
    <cellStyle name="Comma 2 5 6 2 3 2 2" xfId="15055" xr:uid="{00000000-0005-0000-0000-0000CC3A0000}"/>
    <cellStyle name="Comma 2 5 6 2 3 3" xfId="15056" xr:uid="{00000000-0005-0000-0000-0000CD3A0000}"/>
    <cellStyle name="Comma 2 5 6 2 3 4" xfId="15057" xr:uid="{00000000-0005-0000-0000-0000CE3A0000}"/>
    <cellStyle name="Comma 2 5 6 2 3 5" xfId="15058" xr:uid="{00000000-0005-0000-0000-0000CF3A0000}"/>
    <cellStyle name="Comma 2 5 6 2 4" xfId="15059" xr:uid="{00000000-0005-0000-0000-0000D03A0000}"/>
    <cellStyle name="Comma 2 5 6 2 4 2" xfId="15060" xr:uid="{00000000-0005-0000-0000-0000D13A0000}"/>
    <cellStyle name="Comma 2 5 6 2 4 3" xfId="15061" xr:uid="{00000000-0005-0000-0000-0000D23A0000}"/>
    <cellStyle name="Comma 2 5 6 2 4 4" xfId="15062" xr:uid="{00000000-0005-0000-0000-0000D33A0000}"/>
    <cellStyle name="Comma 2 5 6 2 5" xfId="15063" xr:uid="{00000000-0005-0000-0000-0000D43A0000}"/>
    <cellStyle name="Comma 2 5 6 2 5 2" xfId="15064" xr:uid="{00000000-0005-0000-0000-0000D53A0000}"/>
    <cellStyle name="Comma 2 5 6 2 6" xfId="15065" xr:uid="{00000000-0005-0000-0000-0000D63A0000}"/>
    <cellStyle name="Comma 2 5 6 2 7" xfId="15066" xr:uid="{00000000-0005-0000-0000-0000D73A0000}"/>
    <cellStyle name="Comma 2 5 6 2 8" xfId="15067" xr:uid="{00000000-0005-0000-0000-0000D83A0000}"/>
    <cellStyle name="Comma 2 5 6 2 9" xfId="15068" xr:uid="{00000000-0005-0000-0000-0000D93A0000}"/>
    <cellStyle name="Comma 2 5 6 3" xfId="15069" xr:uid="{00000000-0005-0000-0000-0000DA3A0000}"/>
    <cellStyle name="Comma 2 5 6 3 2" xfId="15070" xr:uid="{00000000-0005-0000-0000-0000DB3A0000}"/>
    <cellStyle name="Comma 2 5 6 3 2 2" xfId="15071" xr:uid="{00000000-0005-0000-0000-0000DC3A0000}"/>
    <cellStyle name="Comma 2 5 6 3 2 2 2" xfId="15072" xr:uid="{00000000-0005-0000-0000-0000DD3A0000}"/>
    <cellStyle name="Comma 2 5 6 3 2 2 3" xfId="15073" xr:uid="{00000000-0005-0000-0000-0000DE3A0000}"/>
    <cellStyle name="Comma 2 5 6 3 2 3" xfId="15074" xr:uid="{00000000-0005-0000-0000-0000DF3A0000}"/>
    <cellStyle name="Comma 2 5 6 3 2 4" xfId="15075" xr:uid="{00000000-0005-0000-0000-0000E03A0000}"/>
    <cellStyle name="Comma 2 5 6 3 2 5" xfId="15076" xr:uid="{00000000-0005-0000-0000-0000E13A0000}"/>
    <cellStyle name="Comma 2 5 6 3 2 6" xfId="15077" xr:uid="{00000000-0005-0000-0000-0000E23A0000}"/>
    <cellStyle name="Comma 2 5 6 3 3" xfId="15078" xr:uid="{00000000-0005-0000-0000-0000E33A0000}"/>
    <cellStyle name="Comma 2 5 6 3 3 2" xfId="15079" xr:uid="{00000000-0005-0000-0000-0000E43A0000}"/>
    <cellStyle name="Comma 2 5 6 3 3 2 2" xfId="15080" xr:uid="{00000000-0005-0000-0000-0000E53A0000}"/>
    <cellStyle name="Comma 2 5 6 3 3 3" xfId="15081" xr:uid="{00000000-0005-0000-0000-0000E63A0000}"/>
    <cellStyle name="Comma 2 5 6 3 3 4" xfId="15082" xr:uid="{00000000-0005-0000-0000-0000E73A0000}"/>
    <cellStyle name="Comma 2 5 6 3 3 5" xfId="15083" xr:uid="{00000000-0005-0000-0000-0000E83A0000}"/>
    <cellStyle name="Comma 2 5 6 3 4" xfId="15084" xr:uid="{00000000-0005-0000-0000-0000E93A0000}"/>
    <cellStyle name="Comma 2 5 6 3 4 2" xfId="15085" xr:uid="{00000000-0005-0000-0000-0000EA3A0000}"/>
    <cellStyle name="Comma 2 5 6 3 4 3" xfId="15086" xr:uid="{00000000-0005-0000-0000-0000EB3A0000}"/>
    <cellStyle name="Comma 2 5 6 3 4 4" xfId="15087" xr:uid="{00000000-0005-0000-0000-0000EC3A0000}"/>
    <cellStyle name="Comma 2 5 6 3 5" xfId="15088" xr:uid="{00000000-0005-0000-0000-0000ED3A0000}"/>
    <cellStyle name="Comma 2 5 6 3 5 2" xfId="15089" xr:uid="{00000000-0005-0000-0000-0000EE3A0000}"/>
    <cellStyle name="Comma 2 5 6 3 6" xfId="15090" xr:uid="{00000000-0005-0000-0000-0000EF3A0000}"/>
    <cellStyle name="Comma 2 5 6 3 7" xfId="15091" xr:uid="{00000000-0005-0000-0000-0000F03A0000}"/>
    <cellStyle name="Comma 2 5 6 3 8" xfId="15092" xr:uid="{00000000-0005-0000-0000-0000F13A0000}"/>
    <cellStyle name="Comma 2 5 6 3 9" xfId="15093" xr:uid="{00000000-0005-0000-0000-0000F23A0000}"/>
    <cellStyle name="Comma 2 5 6 4" xfId="15094" xr:uid="{00000000-0005-0000-0000-0000F33A0000}"/>
    <cellStyle name="Comma 2 5 6 4 2" xfId="15095" xr:uid="{00000000-0005-0000-0000-0000F43A0000}"/>
    <cellStyle name="Comma 2 5 6 4 2 2" xfId="15096" xr:uid="{00000000-0005-0000-0000-0000F53A0000}"/>
    <cellStyle name="Comma 2 5 6 4 2 3" xfId="15097" xr:uid="{00000000-0005-0000-0000-0000F63A0000}"/>
    <cellStyle name="Comma 2 5 6 4 3" xfId="15098" xr:uid="{00000000-0005-0000-0000-0000F73A0000}"/>
    <cellStyle name="Comma 2 5 6 4 4" xfId="15099" xr:uid="{00000000-0005-0000-0000-0000F83A0000}"/>
    <cellStyle name="Comma 2 5 6 4 5" xfId="15100" xr:uid="{00000000-0005-0000-0000-0000F93A0000}"/>
    <cellStyle name="Comma 2 5 6 4 6" xfId="15101" xr:uid="{00000000-0005-0000-0000-0000FA3A0000}"/>
    <cellStyle name="Comma 2 5 6 5" xfId="15102" xr:uid="{00000000-0005-0000-0000-0000FB3A0000}"/>
    <cellStyle name="Comma 2 5 6 5 2" xfId="15103" xr:uid="{00000000-0005-0000-0000-0000FC3A0000}"/>
    <cellStyle name="Comma 2 5 6 5 2 2" xfId="15104" xr:uid="{00000000-0005-0000-0000-0000FD3A0000}"/>
    <cellStyle name="Comma 2 5 6 5 3" xfId="15105" xr:uid="{00000000-0005-0000-0000-0000FE3A0000}"/>
    <cellStyle name="Comma 2 5 6 5 4" xfId="15106" xr:uid="{00000000-0005-0000-0000-0000FF3A0000}"/>
    <cellStyle name="Comma 2 5 6 5 5" xfId="15107" xr:uid="{00000000-0005-0000-0000-0000003B0000}"/>
    <cellStyle name="Comma 2 5 6 6" xfId="15108" xr:uid="{00000000-0005-0000-0000-0000013B0000}"/>
    <cellStyle name="Comma 2 5 6 6 2" xfId="15109" xr:uid="{00000000-0005-0000-0000-0000023B0000}"/>
    <cellStyle name="Comma 2 5 6 6 3" xfId="15110" xr:uid="{00000000-0005-0000-0000-0000033B0000}"/>
    <cellStyle name="Comma 2 5 6 6 4" xfId="15111" xr:uid="{00000000-0005-0000-0000-0000043B0000}"/>
    <cellStyle name="Comma 2 5 6 7" xfId="15112" xr:uid="{00000000-0005-0000-0000-0000053B0000}"/>
    <cellStyle name="Comma 2 5 6 7 2" xfId="15113" xr:uid="{00000000-0005-0000-0000-0000063B0000}"/>
    <cellStyle name="Comma 2 5 6 8" xfId="15114" xr:uid="{00000000-0005-0000-0000-0000073B0000}"/>
    <cellStyle name="Comma 2 5 6 9" xfId="15115" xr:uid="{00000000-0005-0000-0000-0000083B0000}"/>
    <cellStyle name="Comma 2 5 7" xfId="15116" xr:uid="{00000000-0005-0000-0000-0000093B0000}"/>
    <cellStyle name="Comma 2 5 7 10" xfId="15117" xr:uid="{00000000-0005-0000-0000-00000A3B0000}"/>
    <cellStyle name="Comma 2 5 7 11" xfId="15118" xr:uid="{00000000-0005-0000-0000-00000B3B0000}"/>
    <cellStyle name="Comma 2 5 7 2" xfId="15119" xr:uid="{00000000-0005-0000-0000-00000C3B0000}"/>
    <cellStyle name="Comma 2 5 7 2 2" xfId="15120" xr:uid="{00000000-0005-0000-0000-00000D3B0000}"/>
    <cellStyle name="Comma 2 5 7 2 2 2" xfId="15121" xr:uid="{00000000-0005-0000-0000-00000E3B0000}"/>
    <cellStyle name="Comma 2 5 7 2 2 2 2" xfId="15122" xr:uid="{00000000-0005-0000-0000-00000F3B0000}"/>
    <cellStyle name="Comma 2 5 7 2 2 2 3" xfId="15123" xr:uid="{00000000-0005-0000-0000-0000103B0000}"/>
    <cellStyle name="Comma 2 5 7 2 2 3" xfId="15124" xr:uid="{00000000-0005-0000-0000-0000113B0000}"/>
    <cellStyle name="Comma 2 5 7 2 2 4" xfId="15125" xr:uid="{00000000-0005-0000-0000-0000123B0000}"/>
    <cellStyle name="Comma 2 5 7 2 2 5" xfId="15126" xr:uid="{00000000-0005-0000-0000-0000133B0000}"/>
    <cellStyle name="Comma 2 5 7 2 2 6" xfId="15127" xr:uid="{00000000-0005-0000-0000-0000143B0000}"/>
    <cellStyle name="Comma 2 5 7 2 3" xfId="15128" xr:uid="{00000000-0005-0000-0000-0000153B0000}"/>
    <cellStyle name="Comma 2 5 7 2 3 2" xfId="15129" xr:uid="{00000000-0005-0000-0000-0000163B0000}"/>
    <cellStyle name="Comma 2 5 7 2 3 2 2" xfId="15130" xr:uid="{00000000-0005-0000-0000-0000173B0000}"/>
    <cellStyle name="Comma 2 5 7 2 3 3" xfId="15131" xr:uid="{00000000-0005-0000-0000-0000183B0000}"/>
    <cellStyle name="Comma 2 5 7 2 3 4" xfId="15132" xr:uid="{00000000-0005-0000-0000-0000193B0000}"/>
    <cellStyle name="Comma 2 5 7 2 3 5" xfId="15133" xr:uid="{00000000-0005-0000-0000-00001A3B0000}"/>
    <cellStyle name="Comma 2 5 7 2 4" xfId="15134" xr:uid="{00000000-0005-0000-0000-00001B3B0000}"/>
    <cellStyle name="Comma 2 5 7 2 4 2" xfId="15135" xr:uid="{00000000-0005-0000-0000-00001C3B0000}"/>
    <cellStyle name="Comma 2 5 7 2 4 3" xfId="15136" xr:uid="{00000000-0005-0000-0000-00001D3B0000}"/>
    <cellStyle name="Comma 2 5 7 2 4 4" xfId="15137" xr:uid="{00000000-0005-0000-0000-00001E3B0000}"/>
    <cellStyle name="Comma 2 5 7 2 5" xfId="15138" xr:uid="{00000000-0005-0000-0000-00001F3B0000}"/>
    <cellStyle name="Comma 2 5 7 2 5 2" xfId="15139" xr:uid="{00000000-0005-0000-0000-0000203B0000}"/>
    <cellStyle name="Comma 2 5 7 2 6" xfId="15140" xr:uid="{00000000-0005-0000-0000-0000213B0000}"/>
    <cellStyle name="Comma 2 5 7 2 7" xfId="15141" xr:uid="{00000000-0005-0000-0000-0000223B0000}"/>
    <cellStyle name="Comma 2 5 7 2 8" xfId="15142" xr:uid="{00000000-0005-0000-0000-0000233B0000}"/>
    <cellStyle name="Comma 2 5 7 2 9" xfId="15143" xr:uid="{00000000-0005-0000-0000-0000243B0000}"/>
    <cellStyle name="Comma 2 5 7 3" xfId="15144" xr:uid="{00000000-0005-0000-0000-0000253B0000}"/>
    <cellStyle name="Comma 2 5 7 3 2" xfId="15145" xr:uid="{00000000-0005-0000-0000-0000263B0000}"/>
    <cellStyle name="Comma 2 5 7 3 2 2" xfId="15146" xr:uid="{00000000-0005-0000-0000-0000273B0000}"/>
    <cellStyle name="Comma 2 5 7 3 2 2 2" xfId="15147" xr:uid="{00000000-0005-0000-0000-0000283B0000}"/>
    <cellStyle name="Comma 2 5 7 3 2 2 3" xfId="15148" xr:uid="{00000000-0005-0000-0000-0000293B0000}"/>
    <cellStyle name="Comma 2 5 7 3 2 3" xfId="15149" xr:uid="{00000000-0005-0000-0000-00002A3B0000}"/>
    <cellStyle name="Comma 2 5 7 3 2 4" xfId="15150" xr:uid="{00000000-0005-0000-0000-00002B3B0000}"/>
    <cellStyle name="Comma 2 5 7 3 2 5" xfId="15151" xr:uid="{00000000-0005-0000-0000-00002C3B0000}"/>
    <cellStyle name="Comma 2 5 7 3 2 6" xfId="15152" xr:uid="{00000000-0005-0000-0000-00002D3B0000}"/>
    <cellStyle name="Comma 2 5 7 3 3" xfId="15153" xr:uid="{00000000-0005-0000-0000-00002E3B0000}"/>
    <cellStyle name="Comma 2 5 7 3 3 2" xfId="15154" xr:uid="{00000000-0005-0000-0000-00002F3B0000}"/>
    <cellStyle name="Comma 2 5 7 3 3 2 2" xfId="15155" xr:uid="{00000000-0005-0000-0000-0000303B0000}"/>
    <cellStyle name="Comma 2 5 7 3 3 3" xfId="15156" xr:uid="{00000000-0005-0000-0000-0000313B0000}"/>
    <cellStyle name="Comma 2 5 7 3 3 4" xfId="15157" xr:uid="{00000000-0005-0000-0000-0000323B0000}"/>
    <cellStyle name="Comma 2 5 7 3 3 5" xfId="15158" xr:uid="{00000000-0005-0000-0000-0000333B0000}"/>
    <cellStyle name="Comma 2 5 7 3 4" xfId="15159" xr:uid="{00000000-0005-0000-0000-0000343B0000}"/>
    <cellStyle name="Comma 2 5 7 3 4 2" xfId="15160" xr:uid="{00000000-0005-0000-0000-0000353B0000}"/>
    <cellStyle name="Comma 2 5 7 3 4 3" xfId="15161" xr:uid="{00000000-0005-0000-0000-0000363B0000}"/>
    <cellStyle name="Comma 2 5 7 3 4 4" xfId="15162" xr:uid="{00000000-0005-0000-0000-0000373B0000}"/>
    <cellStyle name="Comma 2 5 7 3 5" xfId="15163" xr:uid="{00000000-0005-0000-0000-0000383B0000}"/>
    <cellStyle name="Comma 2 5 7 3 5 2" xfId="15164" xr:uid="{00000000-0005-0000-0000-0000393B0000}"/>
    <cellStyle name="Comma 2 5 7 3 6" xfId="15165" xr:uid="{00000000-0005-0000-0000-00003A3B0000}"/>
    <cellStyle name="Comma 2 5 7 3 7" xfId="15166" xr:uid="{00000000-0005-0000-0000-00003B3B0000}"/>
    <cellStyle name="Comma 2 5 7 3 8" xfId="15167" xr:uid="{00000000-0005-0000-0000-00003C3B0000}"/>
    <cellStyle name="Comma 2 5 7 3 9" xfId="15168" xr:uid="{00000000-0005-0000-0000-00003D3B0000}"/>
    <cellStyle name="Comma 2 5 7 4" xfId="15169" xr:uid="{00000000-0005-0000-0000-00003E3B0000}"/>
    <cellStyle name="Comma 2 5 7 4 2" xfId="15170" xr:uid="{00000000-0005-0000-0000-00003F3B0000}"/>
    <cellStyle name="Comma 2 5 7 4 2 2" xfId="15171" xr:uid="{00000000-0005-0000-0000-0000403B0000}"/>
    <cellStyle name="Comma 2 5 7 4 2 3" xfId="15172" xr:uid="{00000000-0005-0000-0000-0000413B0000}"/>
    <cellStyle name="Comma 2 5 7 4 3" xfId="15173" xr:uid="{00000000-0005-0000-0000-0000423B0000}"/>
    <cellStyle name="Comma 2 5 7 4 4" xfId="15174" xr:uid="{00000000-0005-0000-0000-0000433B0000}"/>
    <cellStyle name="Comma 2 5 7 4 5" xfId="15175" xr:uid="{00000000-0005-0000-0000-0000443B0000}"/>
    <cellStyle name="Comma 2 5 7 4 6" xfId="15176" xr:uid="{00000000-0005-0000-0000-0000453B0000}"/>
    <cellStyle name="Comma 2 5 7 5" xfId="15177" xr:uid="{00000000-0005-0000-0000-0000463B0000}"/>
    <cellStyle name="Comma 2 5 7 5 2" xfId="15178" xr:uid="{00000000-0005-0000-0000-0000473B0000}"/>
    <cellStyle name="Comma 2 5 7 5 2 2" xfId="15179" xr:uid="{00000000-0005-0000-0000-0000483B0000}"/>
    <cellStyle name="Comma 2 5 7 5 3" xfId="15180" xr:uid="{00000000-0005-0000-0000-0000493B0000}"/>
    <cellStyle name="Comma 2 5 7 5 4" xfId="15181" xr:uid="{00000000-0005-0000-0000-00004A3B0000}"/>
    <cellStyle name="Comma 2 5 7 5 5" xfId="15182" xr:uid="{00000000-0005-0000-0000-00004B3B0000}"/>
    <cellStyle name="Comma 2 5 7 6" xfId="15183" xr:uid="{00000000-0005-0000-0000-00004C3B0000}"/>
    <cellStyle name="Comma 2 5 7 6 2" xfId="15184" xr:uid="{00000000-0005-0000-0000-00004D3B0000}"/>
    <cellStyle name="Comma 2 5 7 6 3" xfId="15185" xr:uid="{00000000-0005-0000-0000-00004E3B0000}"/>
    <cellStyle name="Comma 2 5 7 6 4" xfId="15186" xr:uid="{00000000-0005-0000-0000-00004F3B0000}"/>
    <cellStyle name="Comma 2 5 7 7" xfId="15187" xr:uid="{00000000-0005-0000-0000-0000503B0000}"/>
    <cellStyle name="Comma 2 5 7 7 2" xfId="15188" xr:uid="{00000000-0005-0000-0000-0000513B0000}"/>
    <cellStyle name="Comma 2 5 7 8" xfId="15189" xr:uid="{00000000-0005-0000-0000-0000523B0000}"/>
    <cellStyle name="Comma 2 5 7 9" xfId="15190" xr:uid="{00000000-0005-0000-0000-0000533B0000}"/>
    <cellStyle name="Comma 2 5 8" xfId="15191" xr:uid="{00000000-0005-0000-0000-0000543B0000}"/>
    <cellStyle name="Comma 2 5 8 10" xfId="15192" xr:uid="{00000000-0005-0000-0000-0000553B0000}"/>
    <cellStyle name="Comma 2 5 8 2" xfId="15193" xr:uid="{00000000-0005-0000-0000-0000563B0000}"/>
    <cellStyle name="Comma 2 5 8 2 2" xfId="15194" xr:uid="{00000000-0005-0000-0000-0000573B0000}"/>
    <cellStyle name="Comma 2 5 8 2 2 2" xfId="15195" xr:uid="{00000000-0005-0000-0000-0000583B0000}"/>
    <cellStyle name="Comma 2 5 8 2 2 3" xfId="15196" xr:uid="{00000000-0005-0000-0000-0000593B0000}"/>
    <cellStyle name="Comma 2 5 8 2 3" xfId="15197" xr:uid="{00000000-0005-0000-0000-00005A3B0000}"/>
    <cellStyle name="Comma 2 5 8 2 4" xfId="15198" xr:uid="{00000000-0005-0000-0000-00005B3B0000}"/>
    <cellStyle name="Comma 2 5 8 2 5" xfId="15199" xr:uid="{00000000-0005-0000-0000-00005C3B0000}"/>
    <cellStyle name="Comma 2 5 8 2 6" xfId="15200" xr:uid="{00000000-0005-0000-0000-00005D3B0000}"/>
    <cellStyle name="Comma 2 5 8 3" xfId="15201" xr:uid="{00000000-0005-0000-0000-00005E3B0000}"/>
    <cellStyle name="Comma 2 5 8 3 2" xfId="15202" xr:uid="{00000000-0005-0000-0000-00005F3B0000}"/>
    <cellStyle name="Comma 2 5 8 3 2 2" xfId="15203" xr:uid="{00000000-0005-0000-0000-0000603B0000}"/>
    <cellStyle name="Comma 2 5 8 3 2 3" xfId="15204" xr:uid="{00000000-0005-0000-0000-0000613B0000}"/>
    <cellStyle name="Comma 2 5 8 3 3" xfId="15205" xr:uid="{00000000-0005-0000-0000-0000623B0000}"/>
    <cellStyle name="Comma 2 5 8 3 4" xfId="15206" xr:uid="{00000000-0005-0000-0000-0000633B0000}"/>
    <cellStyle name="Comma 2 5 8 3 5" xfId="15207" xr:uid="{00000000-0005-0000-0000-0000643B0000}"/>
    <cellStyle name="Comma 2 5 8 3 6" xfId="15208" xr:uid="{00000000-0005-0000-0000-0000653B0000}"/>
    <cellStyle name="Comma 2 5 8 4" xfId="15209" xr:uid="{00000000-0005-0000-0000-0000663B0000}"/>
    <cellStyle name="Comma 2 5 8 4 2" xfId="15210" xr:uid="{00000000-0005-0000-0000-0000673B0000}"/>
    <cellStyle name="Comma 2 5 8 4 2 2" xfId="15211" xr:uid="{00000000-0005-0000-0000-0000683B0000}"/>
    <cellStyle name="Comma 2 5 8 4 3" xfId="15212" xr:uid="{00000000-0005-0000-0000-0000693B0000}"/>
    <cellStyle name="Comma 2 5 8 4 4" xfId="15213" xr:uid="{00000000-0005-0000-0000-00006A3B0000}"/>
    <cellStyle name="Comma 2 5 8 4 5" xfId="15214" xr:uid="{00000000-0005-0000-0000-00006B3B0000}"/>
    <cellStyle name="Comma 2 5 8 5" xfId="15215" xr:uid="{00000000-0005-0000-0000-00006C3B0000}"/>
    <cellStyle name="Comma 2 5 8 5 2" xfId="15216" xr:uid="{00000000-0005-0000-0000-00006D3B0000}"/>
    <cellStyle name="Comma 2 5 8 5 3" xfId="15217" xr:uid="{00000000-0005-0000-0000-00006E3B0000}"/>
    <cellStyle name="Comma 2 5 8 5 4" xfId="15218" xr:uid="{00000000-0005-0000-0000-00006F3B0000}"/>
    <cellStyle name="Comma 2 5 8 6" xfId="15219" xr:uid="{00000000-0005-0000-0000-0000703B0000}"/>
    <cellStyle name="Comma 2 5 8 6 2" xfId="15220" xr:uid="{00000000-0005-0000-0000-0000713B0000}"/>
    <cellStyle name="Comma 2 5 8 7" xfId="15221" xr:uid="{00000000-0005-0000-0000-0000723B0000}"/>
    <cellStyle name="Comma 2 5 8 8" xfId="15222" xr:uid="{00000000-0005-0000-0000-0000733B0000}"/>
    <cellStyle name="Comma 2 5 8 9" xfId="15223" xr:uid="{00000000-0005-0000-0000-0000743B0000}"/>
    <cellStyle name="Comma 2 5 9" xfId="15224" xr:uid="{00000000-0005-0000-0000-0000753B0000}"/>
    <cellStyle name="Comma 2 5 9 10" xfId="15225" xr:uid="{00000000-0005-0000-0000-0000763B0000}"/>
    <cellStyle name="Comma 2 5 9 2" xfId="15226" xr:uid="{00000000-0005-0000-0000-0000773B0000}"/>
    <cellStyle name="Comma 2 5 9 2 2" xfId="15227" xr:uid="{00000000-0005-0000-0000-0000783B0000}"/>
    <cellStyle name="Comma 2 5 9 2 2 2" xfId="15228" xr:uid="{00000000-0005-0000-0000-0000793B0000}"/>
    <cellStyle name="Comma 2 5 9 2 2 3" xfId="15229" xr:uid="{00000000-0005-0000-0000-00007A3B0000}"/>
    <cellStyle name="Comma 2 5 9 2 3" xfId="15230" xr:uid="{00000000-0005-0000-0000-00007B3B0000}"/>
    <cellStyle name="Comma 2 5 9 2 4" xfId="15231" xr:uid="{00000000-0005-0000-0000-00007C3B0000}"/>
    <cellStyle name="Comma 2 5 9 2 5" xfId="15232" xr:uid="{00000000-0005-0000-0000-00007D3B0000}"/>
    <cellStyle name="Comma 2 5 9 2 6" xfId="15233" xr:uid="{00000000-0005-0000-0000-00007E3B0000}"/>
    <cellStyle name="Comma 2 5 9 3" xfId="15234" xr:uid="{00000000-0005-0000-0000-00007F3B0000}"/>
    <cellStyle name="Comma 2 5 9 3 2" xfId="15235" xr:uid="{00000000-0005-0000-0000-0000803B0000}"/>
    <cellStyle name="Comma 2 5 9 3 2 2" xfId="15236" xr:uid="{00000000-0005-0000-0000-0000813B0000}"/>
    <cellStyle name="Comma 2 5 9 3 2 3" xfId="15237" xr:uid="{00000000-0005-0000-0000-0000823B0000}"/>
    <cellStyle name="Comma 2 5 9 3 3" xfId="15238" xr:uid="{00000000-0005-0000-0000-0000833B0000}"/>
    <cellStyle name="Comma 2 5 9 3 4" xfId="15239" xr:uid="{00000000-0005-0000-0000-0000843B0000}"/>
    <cellStyle name="Comma 2 5 9 3 5" xfId="15240" xr:uid="{00000000-0005-0000-0000-0000853B0000}"/>
    <cellStyle name="Comma 2 5 9 3 6" xfId="15241" xr:uid="{00000000-0005-0000-0000-0000863B0000}"/>
    <cellStyle name="Comma 2 5 9 4" xfId="15242" xr:uid="{00000000-0005-0000-0000-0000873B0000}"/>
    <cellStyle name="Comma 2 5 9 4 2" xfId="15243" xr:uid="{00000000-0005-0000-0000-0000883B0000}"/>
    <cellStyle name="Comma 2 5 9 4 2 2" xfId="15244" xr:uid="{00000000-0005-0000-0000-0000893B0000}"/>
    <cellStyle name="Comma 2 5 9 4 3" xfId="15245" xr:uid="{00000000-0005-0000-0000-00008A3B0000}"/>
    <cellStyle name="Comma 2 5 9 4 4" xfId="15246" xr:uid="{00000000-0005-0000-0000-00008B3B0000}"/>
    <cellStyle name="Comma 2 5 9 4 5" xfId="15247" xr:uid="{00000000-0005-0000-0000-00008C3B0000}"/>
    <cellStyle name="Comma 2 5 9 5" xfId="15248" xr:uid="{00000000-0005-0000-0000-00008D3B0000}"/>
    <cellStyle name="Comma 2 5 9 5 2" xfId="15249" xr:uid="{00000000-0005-0000-0000-00008E3B0000}"/>
    <cellStyle name="Comma 2 5 9 5 3" xfId="15250" xr:uid="{00000000-0005-0000-0000-00008F3B0000}"/>
    <cellStyle name="Comma 2 5 9 5 4" xfId="15251" xr:uid="{00000000-0005-0000-0000-0000903B0000}"/>
    <cellStyle name="Comma 2 5 9 6" xfId="15252" xr:uid="{00000000-0005-0000-0000-0000913B0000}"/>
    <cellStyle name="Comma 2 5 9 6 2" xfId="15253" xr:uid="{00000000-0005-0000-0000-0000923B0000}"/>
    <cellStyle name="Comma 2 5 9 7" xfId="15254" xr:uid="{00000000-0005-0000-0000-0000933B0000}"/>
    <cellStyle name="Comma 2 5 9 8" xfId="15255" xr:uid="{00000000-0005-0000-0000-0000943B0000}"/>
    <cellStyle name="Comma 2 5 9 9" xfId="15256" xr:uid="{00000000-0005-0000-0000-0000953B0000}"/>
    <cellStyle name="Comma 2 50" xfId="15257" xr:uid="{00000000-0005-0000-0000-0000963B0000}"/>
    <cellStyle name="Comma 2 50 2" xfId="15258" xr:uid="{00000000-0005-0000-0000-0000973B0000}"/>
    <cellStyle name="Comma 2 50 2 2" xfId="15259" xr:uid="{00000000-0005-0000-0000-0000983B0000}"/>
    <cellStyle name="Comma 2 50 3" xfId="15260" xr:uid="{00000000-0005-0000-0000-0000993B0000}"/>
    <cellStyle name="Comma 2 50 4" xfId="15261" xr:uid="{00000000-0005-0000-0000-00009A3B0000}"/>
    <cellStyle name="Comma 2 50 5" xfId="15262" xr:uid="{00000000-0005-0000-0000-00009B3B0000}"/>
    <cellStyle name="Comma 2 50 6" xfId="15263" xr:uid="{00000000-0005-0000-0000-00009C3B0000}"/>
    <cellStyle name="Comma 2 50 7" xfId="15264" xr:uid="{00000000-0005-0000-0000-00009D3B0000}"/>
    <cellStyle name="Comma 2 51" xfId="15265" xr:uid="{00000000-0005-0000-0000-00009E3B0000}"/>
    <cellStyle name="Comma 2 51 2" xfId="15266" xr:uid="{00000000-0005-0000-0000-00009F3B0000}"/>
    <cellStyle name="Comma 2 51 2 2" xfId="15267" xr:uid="{00000000-0005-0000-0000-0000A03B0000}"/>
    <cellStyle name="Comma 2 51 3" xfId="15268" xr:uid="{00000000-0005-0000-0000-0000A13B0000}"/>
    <cellStyle name="Comma 2 51 4" xfId="15269" xr:uid="{00000000-0005-0000-0000-0000A23B0000}"/>
    <cellStyle name="Comma 2 51 5" xfId="15270" xr:uid="{00000000-0005-0000-0000-0000A33B0000}"/>
    <cellStyle name="Comma 2 51 6" xfId="15271" xr:uid="{00000000-0005-0000-0000-0000A43B0000}"/>
    <cellStyle name="Comma 2 51 7" xfId="15272" xr:uid="{00000000-0005-0000-0000-0000A53B0000}"/>
    <cellStyle name="Comma 2 52" xfId="15273" xr:uid="{00000000-0005-0000-0000-0000A63B0000}"/>
    <cellStyle name="Comma 2 52 2" xfId="15274" xr:uid="{00000000-0005-0000-0000-0000A73B0000}"/>
    <cellStyle name="Comma 2 52 2 2" xfId="15275" xr:uid="{00000000-0005-0000-0000-0000A83B0000}"/>
    <cellStyle name="Comma 2 52 3" xfId="15276" xr:uid="{00000000-0005-0000-0000-0000A93B0000}"/>
    <cellStyle name="Comma 2 52 4" xfId="15277" xr:uid="{00000000-0005-0000-0000-0000AA3B0000}"/>
    <cellStyle name="Comma 2 52 5" xfId="15278" xr:uid="{00000000-0005-0000-0000-0000AB3B0000}"/>
    <cellStyle name="Comma 2 52 6" xfId="15279" xr:uid="{00000000-0005-0000-0000-0000AC3B0000}"/>
    <cellStyle name="Comma 2 52 7" xfId="15280" xr:uid="{00000000-0005-0000-0000-0000AD3B0000}"/>
    <cellStyle name="Comma 2 53" xfId="15281" xr:uid="{00000000-0005-0000-0000-0000AE3B0000}"/>
    <cellStyle name="Comma 2 53 2" xfId="15282" xr:uid="{00000000-0005-0000-0000-0000AF3B0000}"/>
    <cellStyle name="Comma 2 53 2 2" xfId="15283" xr:uid="{00000000-0005-0000-0000-0000B03B0000}"/>
    <cellStyle name="Comma 2 53 3" xfId="15284" xr:uid="{00000000-0005-0000-0000-0000B13B0000}"/>
    <cellStyle name="Comma 2 53 4" xfId="15285" xr:uid="{00000000-0005-0000-0000-0000B23B0000}"/>
    <cellStyle name="Comma 2 53 5" xfId="15286" xr:uid="{00000000-0005-0000-0000-0000B33B0000}"/>
    <cellStyle name="Comma 2 53 6" xfId="15287" xr:uid="{00000000-0005-0000-0000-0000B43B0000}"/>
    <cellStyle name="Comma 2 53 7" xfId="15288" xr:uid="{00000000-0005-0000-0000-0000B53B0000}"/>
    <cellStyle name="Comma 2 54" xfId="15289" xr:uid="{00000000-0005-0000-0000-0000B63B0000}"/>
    <cellStyle name="Comma 2 54 2" xfId="15290" xr:uid="{00000000-0005-0000-0000-0000B73B0000}"/>
    <cellStyle name="Comma 2 54 2 2" xfId="15291" xr:uid="{00000000-0005-0000-0000-0000B83B0000}"/>
    <cellStyle name="Comma 2 54 3" xfId="15292" xr:uid="{00000000-0005-0000-0000-0000B93B0000}"/>
    <cellStyle name="Comma 2 54 4" xfId="15293" xr:uid="{00000000-0005-0000-0000-0000BA3B0000}"/>
    <cellStyle name="Comma 2 54 5" xfId="15294" xr:uid="{00000000-0005-0000-0000-0000BB3B0000}"/>
    <cellStyle name="Comma 2 54 6" xfId="15295" xr:uid="{00000000-0005-0000-0000-0000BC3B0000}"/>
    <cellStyle name="Comma 2 54 7" xfId="15296" xr:uid="{00000000-0005-0000-0000-0000BD3B0000}"/>
    <cellStyle name="Comma 2 55" xfId="15297" xr:uid="{00000000-0005-0000-0000-0000BE3B0000}"/>
    <cellStyle name="Comma 2 55 2" xfId="15298" xr:uid="{00000000-0005-0000-0000-0000BF3B0000}"/>
    <cellStyle name="Comma 2 55 2 2" xfId="15299" xr:uid="{00000000-0005-0000-0000-0000C03B0000}"/>
    <cellStyle name="Comma 2 55 3" xfId="15300" xr:uid="{00000000-0005-0000-0000-0000C13B0000}"/>
    <cellStyle name="Comma 2 55 4" xfId="15301" xr:uid="{00000000-0005-0000-0000-0000C23B0000}"/>
    <cellStyle name="Comma 2 55 5" xfId="15302" xr:uid="{00000000-0005-0000-0000-0000C33B0000}"/>
    <cellStyle name="Comma 2 55 6" xfId="15303" xr:uid="{00000000-0005-0000-0000-0000C43B0000}"/>
    <cellStyle name="Comma 2 55 7" xfId="15304" xr:uid="{00000000-0005-0000-0000-0000C53B0000}"/>
    <cellStyle name="Comma 2 56" xfId="15305" xr:uid="{00000000-0005-0000-0000-0000C63B0000}"/>
    <cellStyle name="Comma 2 56 2" xfId="15306" xr:uid="{00000000-0005-0000-0000-0000C73B0000}"/>
    <cellStyle name="Comma 2 57" xfId="15307" xr:uid="{00000000-0005-0000-0000-0000C83B0000}"/>
    <cellStyle name="Comma 2 57 2" xfId="15308" xr:uid="{00000000-0005-0000-0000-0000C93B0000}"/>
    <cellStyle name="Comma 2 58" xfId="15309" xr:uid="{00000000-0005-0000-0000-0000CA3B0000}"/>
    <cellStyle name="Comma 2 58 2" xfId="15310" xr:uid="{00000000-0005-0000-0000-0000CB3B0000}"/>
    <cellStyle name="Comma 2 59" xfId="15311" xr:uid="{00000000-0005-0000-0000-0000CC3B0000}"/>
    <cellStyle name="Comma 2 59 2" xfId="15312" xr:uid="{00000000-0005-0000-0000-0000CD3B0000}"/>
    <cellStyle name="Comma 2 6" xfId="15313" xr:uid="{00000000-0005-0000-0000-0000CE3B0000}"/>
    <cellStyle name="Comma 2 6 10" xfId="15314" xr:uid="{00000000-0005-0000-0000-0000CF3B0000}"/>
    <cellStyle name="Comma 2 6 10 10" xfId="15315" xr:uid="{00000000-0005-0000-0000-0000D03B0000}"/>
    <cellStyle name="Comma 2 6 10 2" xfId="15316" xr:uid="{00000000-0005-0000-0000-0000D13B0000}"/>
    <cellStyle name="Comma 2 6 10 2 2" xfId="15317" xr:uid="{00000000-0005-0000-0000-0000D23B0000}"/>
    <cellStyle name="Comma 2 6 10 2 2 2" xfId="15318" xr:uid="{00000000-0005-0000-0000-0000D33B0000}"/>
    <cellStyle name="Comma 2 6 10 2 2 3" xfId="15319" xr:uid="{00000000-0005-0000-0000-0000D43B0000}"/>
    <cellStyle name="Comma 2 6 10 2 3" xfId="15320" xr:uid="{00000000-0005-0000-0000-0000D53B0000}"/>
    <cellStyle name="Comma 2 6 10 2 4" xfId="15321" xr:uid="{00000000-0005-0000-0000-0000D63B0000}"/>
    <cellStyle name="Comma 2 6 10 2 5" xfId="15322" xr:uid="{00000000-0005-0000-0000-0000D73B0000}"/>
    <cellStyle name="Comma 2 6 10 2 6" xfId="15323" xr:uid="{00000000-0005-0000-0000-0000D83B0000}"/>
    <cellStyle name="Comma 2 6 10 3" xfId="15324" xr:uid="{00000000-0005-0000-0000-0000D93B0000}"/>
    <cellStyle name="Comma 2 6 10 3 2" xfId="15325" xr:uid="{00000000-0005-0000-0000-0000DA3B0000}"/>
    <cellStyle name="Comma 2 6 10 3 2 2" xfId="15326" xr:uid="{00000000-0005-0000-0000-0000DB3B0000}"/>
    <cellStyle name="Comma 2 6 10 3 2 3" xfId="15327" xr:uid="{00000000-0005-0000-0000-0000DC3B0000}"/>
    <cellStyle name="Comma 2 6 10 3 3" xfId="15328" xr:uid="{00000000-0005-0000-0000-0000DD3B0000}"/>
    <cellStyle name="Comma 2 6 10 3 4" xfId="15329" xr:uid="{00000000-0005-0000-0000-0000DE3B0000}"/>
    <cellStyle name="Comma 2 6 10 3 5" xfId="15330" xr:uid="{00000000-0005-0000-0000-0000DF3B0000}"/>
    <cellStyle name="Comma 2 6 10 3 6" xfId="15331" xr:uid="{00000000-0005-0000-0000-0000E03B0000}"/>
    <cellStyle name="Comma 2 6 10 4" xfId="15332" xr:uid="{00000000-0005-0000-0000-0000E13B0000}"/>
    <cellStyle name="Comma 2 6 10 4 2" xfId="15333" xr:uid="{00000000-0005-0000-0000-0000E23B0000}"/>
    <cellStyle name="Comma 2 6 10 4 2 2" xfId="15334" xr:uid="{00000000-0005-0000-0000-0000E33B0000}"/>
    <cellStyle name="Comma 2 6 10 4 3" xfId="15335" xr:uid="{00000000-0005-0000-0000-0000E43B0000}"/>
    <cellStyle name="Comma 2 6 10 4 4" xfId="15336" xr:uid="{00000000-0005-0000-0000-0000E53B0000}"/>
    <cellStyle name="Comma 2 6 10 4 5" xfId="15337" xr:uid="{00000000-0005-0000-0000-0000E63B0000}"/>
    <cellStyle name="Comma 2 6 10 5" xfId="15338" xr:uid="{00000000-0005-0000-0000-0000E73B0000}"/>
    <cellStyle name="Comma 2 6 10 5 2" xfId="15339" xr:uid="{00000000-0005-0000-0000-0000E83B0000}"/>
    <cellStyle name="Comma 2 6 10 5 3" xfId="15340" xr:uid="{00000000-0005-0000-0000-0000E93B0000}"/>
    <cellStyle name="Comma 2 6 10 5 4" xfId="15341" xr:uid="{00000000-0005-0000-0000-0000EA3B0000}"/>
    <cellStyle name="Comma 2 6 10 6" xfId="15342" xr:uid="{00000000-0005-0000-0000-0000EB3B0000}"/>
    <cellStyle name="Comma 2 6 10 6 2" xfId="15343" xr:uid="{00000000-0005-0000-0000-0000EC3B0000}"/>
    <cellStyle name="Comma 2 6 10 7" xfId="15344" xr:uid="{00000000-0005-0000-0000-0000ED3B0000}"/>
    <cellStyle name="Comma 2 6 10 8" xfId="15345" xr:uid="{00000000-0005-0000-0000-0000EE3B0000}"/>
    <cellStyle name="Comma 2 6 10 9" xfId="15346" xr:uid="{00000000-0005-0000-0000-0000EF3B0000}"/>
    <cellStyle name="Comma 2 6 11" xfId="15347" xr:uid="{00000000-0005-0000-0000-0000F03B0000}"/>
    <cellStyle name="Comma 2 6 11 10" xfId="15348" xr:uid="{00000000-0005-0000-0000-0000F13B0000}"/>
    <cellStyle name="Comma 2 6 11 2" xfId="15349" xr:uid="{00000000-0005-0000-0000-0000F23B0000}"/>
    <cellStyle name="Comma 2 6 11 2 2" xfId="15350" xr:uid="{00000000-0005-0000-0000-0000F33B0000}"/>
    <cellStyle name="Comma 2 6 11 2 2 2" xfId="15351" xr:uid="{00000000-0005-0000-0000-0000F43B0000}"/>
    <cellStyle name="Comma 2 6 11 2 2 3" xfId="15352" xr:uid="{00000000-0005-0000-0000-0000F53B0000}"/>
    <cellStyle name="Comma 2 6 11 2 3" xfId="15353" xr:uid="{00000000-0005-0000-0000-0000F63B0000}"/>
    <cellStyle name="Comma 2 6 11 2 4" xfId="15354" xr:uid="{00000000-0005-0000-0000-0000F73B0000}"/>
    <cellStyle name="Comma 2 6 11 2 5" xfId="15355" xr:uid="{00000000-0005-0000-0000-0000F83B0000}"/>
    <cellStyle name="Comma 2 6 11 2 6" xfId="15356" xr:uid="{00000000-0005-0000-0000-0000F93B0000}"/>
    <cellStyle name="Comma 2 6 11 3" xfId="15357" xr:uid="{00000000-0005-0000-0000-0000FA3B0000}"/>
    <cellStyle name="Comma 2 6 11 3 2" xfId="15358" xr:uid="{00000000-0005-0000-0000-0000FB3B0000}"/>
    <cellStyle name="Comma 2 6 11 3 2 2" xfId="15359" xr:uid="{00000000-0005-0000-0000-0000FC3B0000}"/>
    <cellStyle name="Comma 2 6 11 3 2 3" xfId="15360" xr:uid="{00000000-0005-0000-0000-0000FD3B0000}"/>
    <cellStyle name="Comma 2 6 11 3 3" xfId="15361" xr:uid="{00000000-0005-0000-0000-0000FE3B0000}"/>
    <cellStyle name="Comma 2 6 11 3 4" xfId="15362" xr:uid="{00000000-0005-0000-0000-0000FF3B0000}"/>
    <cellStyle name="Comma 2 6 11 3 5" xfId="15363" xr:uid="{00000000-0005-0000-0000-0000003C0000}"/>
    <cellStyle name="Comma 2 6 11 3 6" xfId="15364" xr:uid="{00000000-0005-0000-0000-0000013C0000}"/>
    <cellStyle name="Comma 2 6 11 4" xfId="15365" xr:uid="{00000000-0005-0000-0000-0000023C0000}"/>
    <cellStyle name="Comma 2 6 11 4 2" xfId="15366" xr:uid="{00000000-0005-0000-0000-0000033C0000}"/>
    <cellStyle name="Comma 2 6 11 4 2 2" xfId="15367" xr:uid="{00000000-0005-0000-0000-0000043C0000}"/>
    <cellStyle name="Comma 2 6 11 4 3" xfId="15368" xr:uid="{00000000-0005-0000-0000-0000053C0000}"/>
    <cellStyle name="Comma 2 6 11 4 4" xfId="15369" xr:uid="{00000000-0005-0000-0000-0000063C0000}"/>
    <cellStyle name="Comma 2 6 11 4 5" xfId="15370" xr:uid="{00000000-0005-0000-0000-0000073C0000}"/>
    <cellStyle name="Comma 2 6 11 5" xfId="15371" xr:uid="{00000000-0005-0000-0000-0000083C0000}"/>
    <cellStyle name="Comma 2 6 11 5 2" xfId="15372" xr:uid="{00000000-0005-0000-0000-0000093C0000}"/>
    <cellStyle name="Comma 2 6 11 5 3" xfId="15373" xr:uid="{00000000-0005-0000-0000-00000A3C0000}"/>
    <cellStyle name="Comma 2 6 11 5 4" xfId="15374" xr:uid="{00000000-0005-0000-0000-00000B3C0000}"/>
    <cellStyle name="Comma 2 6 11 6" xfId="15375" xr:uid="{00000000-0005-0000-0000-00000C3C0000}"/>
    <cellStyle name="Comma 2 6 11 6 2" xfId="15376" xr:uid="{00000000-0005-0000-0000-00000D3C0000}"/>
    <cellStyle name="Comma 2 6 11 7" xfId="15377" xr:uid="{00000000-0005-0000-0000-00000E3C0000}"/>
    <cellStyle name="Comma 2 6 11 8" xfId="15378" xr:uid="{00000000-0005-0000-0000-00000F3C0000}"/>
    <cellStyle name="Comma 2 6 11 9" xfId="15379" xr:uid="{00000000-0005-0000-0000-0000103C0000}"/>
    <cellStyle name="Comma 2 6 12" xfId="15380" xr:uid="{00000000-0005-0000-0000-0000113C0000}"/>
    <cellStyle name="Comma 2 6 12 10" xfId="15381" xr:uid="{00000000-0005-0000-0000-0000123C0000}"/>
    <cellStyle name="Comma 2 6 12 2" xfId="15382" xr:uid="{00000000-0005-0000-0000-0000133C0000}"/>
    <cellStyle name="Comma 2 6 12 2 2" xfId="15383" xr:uid="{00000000-0005-0000-0000-0000143C0000}"/>
    <cellStyle name="Comma 2 6 12 2 2 2" xfId="15384" xr:uid="{00000000-0005-0000-0000-0000153C0000}"/>
    <cellStyle name="Comma 2 6 12 2 2 3" xfId="15385" xr:uid="{00000000-0005-0000-0000-0000163C0000}"/>
    <cellStyle name="Comma 2 6 12 2 3" xfId="15386" xr:uid="{00000000-0005-0000-0000-0000173C0000}"/>
    <cellStyle name="Comma 2 6 12 2 4" xfId="15387" xr:uid="{00000000-0005-0000-0000-0000183C0000}"/>
    <cellStyle name="Comma 2 6 12 2 5" xfId="15388" xr:uid="{00000000-0005-0000-0000-0000193C0000}"/>
    <cellStyle name="Comma 2 6 12 2 6" xfId="15389" xr:uid="{00000000-0005-0000-0000-00001A3C0000}"/>
    <cellStyle name="Comma 2 6 12 3" xfId="15390" xr:uid="{00000000-0005-0000-0000-00001B3C0000}"/>
    <cellStyle name="Comma 2 6 12 3 2" xfId="15391" xr:uid="{00000000-0005-0000-0000-00001C3C0000}"/>
    <cellStyle name="Comma 2 6 12 3 2 2" xfId="15392" xr:uid="{00000000-0005-0000-0000-00001D3C0000}"/>
    <cellStyle name="Comma 2 6 12 3 2 3" xfId="15393" xr:uid="{00000000-0005-0000-0000-00001E3C0000}"/>
    <cellStyle name="Comma 2 6 12 3 3" xfId="15394" xr:uid="{00000000-0005-0000-0000-00001F3C0000}"/>
    <cellStyle name="Comma 2 6 12 3 4" xfId="15395" xr:uid="{00000000-0005-0000-0000-0000203C0000}"/>
    <cellStyle name="Comma 2 6 12 3 5" xfId="15396" xr:uid="{00000000-0005-0000-0000-0000213C0000}"/>
    <cellStyle name="Comma 2 6 12 3 6" xfId="15397" xr:uid="{00000000-0005-0000-0000-0000223C0000}"/>
    <cellStyle name="Comma 2 6 12 4" xfId="15398" xr:uid="{00000000-0005-0000-0000-0000233C0000}"/>
    <cellStyle name="Comma 2 6 12 4 2" xfId="15399" xr:uid="{00000000-0005-0000-0000-0000243C0000}"/>
    <cellStyle name="Comma 2 6 12 4 2 2" xfId="15400" xr:uid="{00000000-0005-0000-0000-0000253C0000}"/>
    <cellStyle name="Comma 2 6 12 4 3" xfId="15401" xr:uid="{00000000-0005-0000-0000-0000263C0000}"/>
    <cellStyle name="Comma 2 6 12 4 4" xfId="15402" xr:uid="{00000000-0005-0000-0000-0000273C0000}"/>
    <cellStyle name="Comma 2 6 12 4 5" xfId="15403" xr:uid="{00000000-0005-0000-0000-0000283C0000}"/>
    <cellStyle name="Comma 2 6 12 5" xfId="15404" xr:uid="{00000000-0005-0000-0000-0000293C0000}"/>
    <cellStyle name="Comma 2 6 12 5 2" xfId="15405" xr:uid="{00000000-0005-0000-0000-00002A3C0000}"/>
    <cellStyle name="Comma 2 6 12 5 3" xfId="15406" xr:uid="{00000000-0005-0000-0000-00002B3C0000}"/>
    <cellStyle name="Comma 2 6 12 5 4" xfId="15407" xr:uid="{00000000-0005-0000-0000-00002C3C0000}"/>
    <cellStyle name="Comma 2 6 12 6" xfId="15408" xr:uid="{00000000-0005-0000-0000-00002D3C0000}"/>
    <cellStyle name="Comma 2 6 12 6 2" xfId="15409" xr:uid="{00000000-0005-0000-0000-00002E3C0000}"/>
    <cellStyle name="Comma 2 6 12 7" xfId="15410" xr:uid="{00000000-0005-0000-0000-00002F3C0000}"/>
    <cellStyle name="Comma 2 6 12 8" xfId="15411" xr:uid="{00000000-0005-0000-0000-0000303C0000}"/>
    <cellStyle name="Comma 2 6 12 9" xfId="15412" xr:uid="{00000000-0005-0000-0000-0000313C0000}"/>
    <cellStyle name="Comma 2 6 13" xfId="15413" xr:uid="{00000000-0005-0000-0000-0000323C0000}"/>
    <cellStyle name="Comma 2 6 13 2" xfId="15414" xr:uid="{00000000-0005-0000-0000-0000333C0000}"/>
    <cellStyle name="Comma 2 6 13 2 2" xfId="15415" xr:uid="{00000000-0005-0000-0000-0000343C0000}"/>
    <cellStyle name="Comma 2 6 13 2 2 2" xfId="15416" xr:uid="{00000000-0005-0000-0000-0000353C0000}"/>
    <cellStyle name="Comma 2 6 13 2 2 3" xfId="15417" xr:uid="{00000000-0005-0000-0000-0000363C0000}"/>
    <cellStyle name="Comma 2 6 13 2 3" xfId="15418" xr:uid="{00000000-0005-0000-0000-0000373C0000}"/>
    <cellStyle name="Comma 2 6 13 2 4" xfId="15419" xr:uid="{00000000-0005-0000-0000-0000383C0000}"/>
    <cellStyle name="Comma 2 6 13 2 5" xfId="15420" xr:uid="{00000000-0005-0000-0000-0000393C0000}"/>
    <cellStyle name="Comma 2 6 13 2 6" xfId="15421" xr:uid="{00000000-0005-0000-0000-00003A3C0000}"/>
    <cellStyle name="Comma 2 6 13 3" xfId="15422" xr:uid="{00000000-0005-0000-0000-00003B3C0000}"/>
    <cellStyle name="Comma 2 6 13 3 2" xfId="15423" xr:uid="{00000000-0005-0000-0000-00003C3C0000}"/>
    <cellStyle name="Comma 2 6 13 3 2 2" xfId="15424" xr:uid="{00000000-0005-0000-0000-00003D3C0000}"/>
    <cellStyle name="Comma 2 6 13 3 3" xfId="15425" xr:uid="{00000000-0005-0000-0000-00003E3C0000}"/>
    <cellStyle name="Comma 2 6 13 3 4" xfId="15426" xr:uid="{00000000-0005-0000-0000-00003F3C0000}"/>
    <cellStyle name="Comma 2 6 13 3 5" xfId="15427" xr:uid="{00000000-0005-0000-0000-0000403C0000}"/>
    <cellStyle name="Comma 2 6 13 4" xfId="15428" xr:uid="{00000000-0005-0000-0000-0000413C0000}"/>
    <cellStyle name="Comma 2 6 13 4 2" xfId="15429" xr:uid="{00000000-0005-0000-0000-0000423C0000}"/>
    <cellStyle name="Comma 2 6 13 4 3" xfId="15430" xr:uid="{00000000-0005-0000-0000-0000433C0000}"/>
    <cellStyle name="Comma 2 6 13 4 4" xfId="15431" xr:uid="{00000000-0005-0000-0000-0000443C0000}"/>
    <cellStyle name="Comma 2 6 13 5" xfId="15432" xr:uid="{00000000-0005-0000-0000-0000453C0000}"/>
    <cellStyle name="Comma 2 6 13 5 2" xfId="15433" xr:uid="{00000000-0005-0000-0000-0000463C0000}"/>
    <cellStyle name="Comma 2 6 13 6" xfId="15434" xr:uid="{00000000-0005-0000-0000-0000473C0000}"/>
    <cellStyle name="Comma 2 6 13 7" xfId="15435" xr:uid="{00000000-0005-0000-0000-0000483C0000}"/>
    <cellStyle name="Comma 2 6 13 8" xfId="15436" xr:uid="{00000000-0005-0000-0000-0000493C0000}"/>
    <cellStyle name="Comma 2 6 13 9" xfId="15437" xr:uid="{00000000-0005-0000-0000-00004A3C0000}"/>
    <cellStyle name="Comma 2 6 14" xfId="15438" xr:uid="{00000000-0005-0000-0000-00004B3C0000}"/>
    <cellStyle name="Comma 2 6 14 2" xfId="15439" xr:uid="{00000000-0005-0000-0000-00004C3C0000}"/>
    <cellStyle name="Comma 2 6 14 2 2" xfId="15440" xr:uid="{00000000-0005-0000-0000-00004D3C0000}"/>
    <cellStyle name="Comma 2 6 14 2 2 2" xfId="15441" xr:uid="{00000000-0005-0000-0000-00004E3C0000}"/>
    <cellStyle name="Comma 2 6 14 2 2 3" xfId="15442" xr:uid="{00000000-0005-0000-0000-00004F3C0000}"/>
    <cellStyle name="Comma 2 6 14 2 3" xfId="15443" xr:uid="{00000000-0005-0000-0000-0000503C0000}"/>
    <cellStyle name="Comma 2 6 14 2 4" xfId="15444" xr:uid="{00000000-0005-0000-0000-0000513C0000}"/>
    <cellStyle name="Comma 2 6 14 2 5" xfId="15445" xr:uid="{00000000-0005-0000-0000-0000523C0000}"/>
    <cellStyle name="Comma 2 6 14 2 6" xfId="15446" xr:uid="{00000000-0005-0000-0000-0000533C0000}"/>
    <cellStyle name="Comma 2 6 14 3" xfId="15447" xr:uid="{00000000-0005-0000-0000-0000543C0000}"/>
    <cellStyle name="Comma 2 6 14 3 2" xfId="15448" xr:uid="{00000000-0005-0000-0000-0000553C0000}"/>
    <cellStyle name="Comma 2 6 14 3 2 2" xfId="15449" xr:uid="{00000000-0005-0000-0000-0000563C0000}"/>
    <cellStyle name="Comma 2 6 14 3 3" xfId="15450" xr:uid="{00000000-0005-0000-0000-0000573C0000}"/>
    <cellStyle name="Comma 2 6 14 3 4" xfId="15451" xr:uid="{00000000-0005-0000-0000-0000583C0000}"/>
    <cellStyle name="Comma 2 6 14 3 5" xfId="15452" xr:uid="{00000000-0005-0000-0000-0000593C0000}"/>
    <cellStyle name="Comma 2 6 14 4" xfId="15453" xr:uid="{00000000-0005-0000-0000-00005A3C0000}"/>
    <cellStyle name="Comma 2 6 14 4 2" xfId="15454" xr:uid="{00000000-0005-0000-0000-00005B3C0000}"/>
    <cellStyle name="Comma 2 6 14 4 3" xfId="15455" xr:uid="{00000000-0005-0000-0000-00005C3C0000}"/>
    <cellStyle name="Comma 2 6 14 4 4" xfId="15456" xr:uid="{00000000-0005-0000-0000-00005D3C0000}"/>
    <cellStyle name="Comma 2 6 14 5" xfId="15457" xr:uid="{00000000-0005-0000-0000-00005E3C0000}"/>
    <cellStyle name="Comma 2 6 14 5 2" xfId="15458" xr:uid="{00000000-0005-0000-0000-00005F3C0000}"/>
    <cellStyle name="Comma 2 6 14 6" xfId="15459" xr:uid="{00000000-0005-0000-0000-0000603C0000}"/>
    <cellStyle name="Comma 2 6 14 7" xfId="15460" xr:uid="{00000000-0005-0000-0000-0000613C0000}"/>
    <cellStyle name="Comma 2 6 14 8" xfId="15461" xr:uid="{00000000-0005-0000-0000-0000623C0000}"/>
    <cellStyle name="Comma 2 6 14 9" xfId="15462" xr:uid="{00000000-0005-0000-0000-0000633C0000}"/>
    <cellStyle name="Comma 2 6 15" xfId="15463" xr:uid="{00000000-0005-0000-0000-0000643C0000}"/>
    <cellStyle name="Comma 2 6 15 2" xfId="15464" xr:uid="{00000000-0005-0000-0000-0000653C0000}"/>
    <cellStyle name="Comma 2 6 15 2 2" xfId="15465" xr:uid="{00000000-0005-0000-0000-0000663C0000}"/>
    <cellStyle name="Comma 2 6 15 2 3" xfId="15466" xr:uid="{00000000-0005-0000-0000-0000673C0000}"/>
    <cellStyle name="Comma 2 6 15 3" xfId="15467" xr:uid="{00000000-0005-0000-0000-0000683C0000}"/>
    <cellStyle name="Comma 2 6 15 4" xfId="15468" xr:uid="{00000000-0005-0000-0000-0000693C0000}"/>
    <cellStyle name="Comma 2 6 15 5" xfId="15469" xr:uid="{00000000-0005-0000-0000-00006A3C0000}"/>
    <cellStyle name="Comma 2 6 15 6" xfId="15470" xr:uid="{00000000-0005-0000-0000-00006B3C0000}"/>
    <cellStyle name="Comma 2 6 16" xfId="15471" xr:uid="{00000000-0005-0000-0000-00006C3C0000}"/>
    <cellStyle name="Comma 2 6 16 2" xfId="15472" xr:uid="{00000000-0005-0000-0000-00006D3C0000}"/>
    <cellStyle name="Comma 2 6 16 2 2" xfId="15473" xr:uid="{00000000-0005-0000-0000-00006E3C0000}"/>
    <cellStyle name="Comma 2 6 16 3" xfId="15474" xr:uid="{00000000-0005-0000-0000-00006F3C0000}"/>
    <cellStyle name="Comma 2 6 16 4" xfId="15475" xr:uid="{00000000-0005-0000-0000-0000703C0000}"/>
    <cellStyle name="Comma 2 6 16 5" xfId="15476" xr:uid="{00000000-0005-0000-0000-0000713C0000}"/>
    <cellStyle name="Comma 2 6 17" xfId="15477" xr:uid="{00000000-0005-0000-0000-0000723C0000}"/>
    <cellStyle name="Comma 2 6 17 2" xfId="15478" xr:uid="{00000000-0005-0000-0000-0000733C0000}"/>
    <cellStyle name="Comma 2 6 17 2 2" xfId="15479" xr:uid="{00000000-0005-0000-0000-0000743C0000}"/>
    <cellStyle name="Comma 2 6 17 3" xfId="15480" xr:uid="{00000000-0005-0000-0000-0000753C0000}"/>
    <cellStyle name="Comma 2 6 17 4" xfId="15481" xr:uid="{00000000-0005-0000-0000-0000763C0000}"/>
    <cellStyle name="Comma 2 6 17 5" xfId="15482" xr:uid="{00000000-0005-0000-0000-0000773C0000}"/>
    <cellStyle name="Comma 2 6 18" xfId="15483" xr:uid="{00000000-0005-0000-0000-0000783C0000}"/>
    <cellStyle name="Comma 2 6 18 2" xfId="15484" xr:uid="{00000000-0005-0000-0000-0000793C0000}"/>
    <cellStyle name="Comma 2 6 19" xfId="15485" xr:uid="{00000000-0005-0000-0000-00007A3C0000}"/>
    <cellStyle name="Comma 2 6 2" xfId="15486" xr:uid="{00000000-0005-0000-0000-00007B3C0000}"/>
    <cellStyle name="Comma 2 6 2 10" xfId="15487" xr:uid="{00000000-0005-0000-0000-00007C3C0000}"/>
    <cellStyle name="Comma 2 6 2 11" xfId="15488" xr:uid="{00000000-0005-0000-0000-00007D3C0000}"/>
    <cellStyle name="Comma 2 6 2 2" xfId="15489" xr:uid="{00000000-0005-0000-0000-00007E3C0000}"/>
    <cellStyle name="Comma 2 6 2 2 2" xfId="15490" xr:uid="{00000000-0005-0000-0000-00007F3C0000}"/>
    <cellStyle name="Comma 2 6 2 2 2 2" xfId="15491" xr:uid="{00000000-0005-0000-0000-0000803C0000}"/>
    <cellStyle name="Comma 2 6 2 2 2 2 2" xfId="15492" xr:uid="{00000000-0005-0000-0000-0000813C0000}"/>
    <cellStyle name="Comma 2 6 2 2 2 2 3" xfId="15493" xr:uid="{00000000-0005-0000-0000-0000823C0000}"/>
    <cellStyle name="Comma 2 6 2 2 2 3" xfId="15494" xr:uid="{00000000-0005-0000-0000-0000833C0000}"/>
    <cellStyle name="Comma 2 6 2 2 2 4" xfId="15495" xr:uid="{00000000-0005-0000-0000-0000843C0000}"/>
    <cellStyle name="Comma 2 6 2 2 2 5" xfId="15496" xr:uid="{00000000-0005-0000-0000-0000853C0000}"/>
    <cellStyle name="Comma 2 6 2 2 2 6" xfId="15497" xr:uid="{00000000-0005-0000-0000-0000863C0000}"/>
    <cellStyle name="Comma 2 6 2 2 3" xfId="15498" xr:uid="{00000000-0005-0000-0000-0000873C0000}"/>
    <cellStyle name="Comma 2 6 2 2 3 2" xfId="15499" xr:uid="{00000000-0005-0000-0000-0000883C0000}"/>
    <cellStyle name="Comma 2 6 2 2 3 2 2" xfId="15500" xr:uid="{00000000-0005-0000-0000-0000893C0000}"/>
    <cellStyle name="Comma 2 6 2 2 3 3" xfId="15501" xr:uid="{00000000-0005-0000-0000-00008A3C0000}"/>
    <cellStyle name="Comma 2 6 2 2 3 4" xfId="15502" xr:uid="{00000000-0005-0000-0000-00008B3C0000}"/>
    <cellStyle name="Comma 2 6 2 2 3 5" xfId="15503" xr:uid="{00000000-0005-0000-0000-00008C3C0000}"/>
    <cellStyle name="Comma 2 6 2 2 4" xfId="15504" xr:uid="{00000000-0005-0000-0000-00008D3C0000}"/>
    <cellStyle name="Comma 2 6 2 2 4 2" xfId="15505" xr:uid="{00000000-0005-0000-0000-00008E3C0000}"/>
    <cellStyle name="Comma 2 6 2 2 4 3" xfId="15506" xr:uid="{00000000-0005-0000-0000-00008F3C0000}"/>
    <cellStyle name="Comma 2 6 2 2 4 4" xfId="15507" xr:uid="{00000000-0005-0000-0000-0000903C0000}"/>
    <cellStyle name="Comma 2 6 2 2 5" xfId="15508" xr:uid="{00000000-0005-0000-0000-0000913C0000}"/>
    <cellStyle name="Comma 2 6 2 2 5 2" xfId="15509" xr:uid="{00000000-0005-0000-0000-0000923C0000}"/>
    <cellStyle name="Comma 2 6 2 2 6" xfId="15510" xr:uid="{00000000-0005-0000-0000-0000933C0000}"/>
    <cellStyle name="Comma 2 6 2 2 7" xfId="15511" xr:uid="{00000000-0005-0000-0000-0000943C0000}"/>
    <cellStyle name="Comma 2 6 2 2 8" xfId="15512" xr:uid="{00000000-0005-0000-0000-0000953C0000}"/>
    <cellStyle name="Comma 2 6 2 2 9" xfId="15513" xr:uid="{00000000-0005-0000-0000-0000963C0000}"/>
    <cellStyle name="Comma 2 6 2 3" xfId="15514" xr:uid="{00000000-0005-0000-0000-0000973C0000}"/>
    <cellStyle name="Comma 2 6 2 3 2" xfId="15515" xr:uid="{00000000-0005-0000-0000-0000983C0000}"/>
    <cellStyle name="Comma 2 6 2 3 2 2" xfId="15516" xr:uid="{00000000-0005-0000-0000-0000993C0000}"/>
    <cellStyle name="Comma 2 6 2 3 2 2 2" xfId="15517" xr:uid="{00000000-0005-0000-0000-00009A3C0000}"/>
    <cellStyle name="Comma 2 6 2 3 2 2 3" xfId="15518" xr:uid="{00000000-0005-0000-0000-00009B3C0000}"/>
    <cellStyle name="Comma 2 6 2 3 2 3" xfId="15519" xr:uid="{00000000-0005-0000-0000-00009C3C0000}"/>
    <cellStyle name="Comma 2 6 2 3 2 4" xfId="15520" xr:uid="{00000000-0005-0000-0000-00009D3C0000}"/>
    <cellStyle name="Comma 2 6 2 3 2 5" xfId="15521" xr:uid="{00000000-0005-0000-0000-00009E3C0000}"/>
    <cellStyle name="Comma 2 6 2 3 2 6" xfId="15522" xr:uid="{00000000-0005-0000-0000-00009F3C0000}"/>
    <cellStyle name="Comma 2 6 2 3 3" xfId="15523" xr:uid="{00000000-0005-0000-0000-0000A03C0000}"/>
    <cellStyle name="Comma 2 6 2 3 3 2" xfId="15524" xr:uid="{00000000-0005-0000-0000-0000A13C0000}"/>
    <cellStyle name="Comma 2 6 2 3 3 2 2" xfId="15525" xr:uid="{00000000-0005-0000-0000-0000A23C0000}"/>
    <cellStyle name="Comma 2 6 2 3 3 3" xfId="15526" xr:uid="{00000000-0005-0000-0000-0000A33C0000}"/>
    <cellStyle name="Comma 2 6 2 3 3 4" xfId="15527" xr:uid="{00000000-0005-0000-0000-0000A43C0000}"/>
    <cellStyle name="Comma 2 6 2 3 3 5" xfId="15528" xr:uid="{00000000-0005-0000-0000-0000A53C0000}"/>
    <cellStyle name="Comma 2 6 2 3 4" xfId="15529" xr:uid="{00000000-0005-0000-0000-0000A63C0000}"/>
    <cellStyle name="Comma 2 6 2 3 4 2" xfId="15530" xr:uid="{00000000-0005-0000-0000-0000A73C0000}"/>
    <cellStyle name="Comma 2 6 2 3 4 3" xfId="15531" xr:uid="{00000000-0005-0000-0000-0000A83C0000}"/>
    <cellStyle name="Comma 2 6 2 3 4 4" xfId="15532" xr:uid="{00000000-0005-0000-0000-0000A93C0000}"/>
    <cellStyle name="Comma 2 6 2 3 5" xfId="15533" xr:uid="{00000000-0005-0000-0000-0000AA3C0000}"/>
    <cellStyle name="Comma 2 6 2 3 5 2" xfId="15534" xr:uid="{00000000-0005-0000-0000-0000AB3C0000}"/>
    <cellStyle name="Comma 2 6 2 3 6" xfId="15535" xr:uid="{00000000-0005-0000-0000-0000AC3C0000}"/>
    <cellStyle name="Comma 2 6 2 3 7" xfId="15536" xr:uid="{00000000-0005-0000-0000-0000AD3C0000}"/>
    <cellStyle name="Comma 2 6 2 3 8" xfId="15537" xr:uid="{00000000-0005-0000-0000-0000AE3C0000}"/>
    <cellStyle name="Comma 2 6 2 3 9" xfId="15538" xr:uid="{00000000-0005-0000-0000-0000AF3C0000}"/>
    <cellStyle name="Comma 2 6 2 4" xfId="15539" xr:uid="{00000000-0005-0000-0000-0000B03C0000}"/>
    <cellStyle name="Comma 2 6 2 4 2" xfId="15540" xr:uid="{00000000-0005-0000-0000-0000B13C0000}"/>
    <cellStyle name="Comma 2 6 2 4 2 2" xfId="15541" xr:uid="{00000000-0005-0000-0000-0000B23C0000}"/>
    <cellStyle name="Comma 2 6 2 4 2 3" xfId="15542" xr:uid="{00000000-0005-0000-0000-0000B33C0000}"/>
    <cellStyle name="Comma 2 6 2 4 3" xfId="15543" xr:uid="{00000000-0005-0000-0000-0000B43C0000}"/>
    <cellStyle name="Comma 2 6 2 4 4" xfId="15544" xr:uid="{00000000-0005-0000-0000-0000B53C0000}"/>
    <cellStyle name="Comma 2 6 2 4 5" xfId="15545" xr:uid="{00000000-0005-0000-0000-0000B63C0000}"/>
    <cellStyle name="Comma 2 6 2 4 6" xfId="15546" xr:uid="{00000000-0005-0000-0000-0000B73C0000}"/>
    <cellStyle name="Comma 2 6 2 5" xfId="15547" xr:uid="{00000000-0005-0000-0000-0000B83C0000}"/>
    <cellStyle name="Comma 2 6 2 5 2" xfId="15548" xr:uid="{00000000-0005-0000-0000-0000B93C0000}"/>
    <cellStyle name="Comma 2 6 2 5 2 2" xfId="15549" xr:uid="{00000000-0005-0000-0000-0000BA3C0000}"/>
    <cellStyle name="Comma 2 6 2 5 3" xfId="15550" xr:uid="{00000000-0005-0000-0000-0000BB3C0000}"/>
    <cellStyle name="Comma 2 6 2 5 4" xfId="15551" xr:uid="{00000000-0005-0000-0000-0000BC3C0000}"/>
    <cellStyle name="Comma 2 6 2 5 5" xfId="15552" xr:uid="{00000000-0005-0000-0000-0000BD3C0000}"/>
    <cellStyle name="Comma 2 6 2 6" xfId="15553" xr:uid="{00000000-0005-0000-0000-0000BE3C0000}"/>
    <cellStyle name="Comma 2 6 2 6 2" xfId="15554" xr:uid="{00000000-0005-0000-0000-0000BF3C0000}"/>
    <cellStyle name="Comma 2 6 2 6 3" xfId="15555" xr:uid="{00000000-0005-0000-0000-0000C03C0000}"/>
    <cellStyle name="Comma 2 6 2 6 4" xfId="15556" xr:uid="{00000000-0005-0000-0000-0000C13C0000}"/>
    <cellStyle name="Comma 2 6 2 7" xfId="15557" xr:uid="{00000000-0005-0000-0000-0000C23C0000}"/>
    <cellStyle name="Comma 2 6 2 7 2" xfId="15558" xr:uid="{00000000-0005-0000-0000-0000C33C0000}"/>
    <cellStyle name="Comma 2 6 2 8" xfId="15559" xr:uid="{00000000-0005-0000-0000-0000C43C0000}"/>
    <cellStyle name="Comma 2 6 2 9" xfId="15560" xr:uid="{00000000-0005-0000-0000-0000C53C0000}"/>
    <cellStyle name="Comma 2 6 20" xfId="15561" xr:uid="{00000000-0005-0000-0000-0000C63C0000}"/>
    <cellStyle name="Comma 2 6 21" xfId="15562" xr:uid="{00000000-0005-0000-0000-0000C73C0000}"/>
    <cellStyle name="Comma 2 6 22" xfId="15563" xr:uid="{00000000-0005-0000-0000-0000C83C0000}"/>
    <cellStyle name="Comma 2 6 3" xfId="15564" xr:uid="{00000000-0005-0000-0000-0000C93C0000}"/>
    <cellStyle name="Comma 2 6 3 10" xfId="15565" xr:uid="{00000000-0005-0000-0000-0000CA3C0000}"/>
    <cellStyle name="Comma 2 6 3 11" xfId="15566" xr:uid="{00000000-0005-0000-0000-0000CB3C0000}"/>
    <cellStyle name="Comma 2 6 3 2" xfId="15567" xr:uid="{00000000-0005-0000-0000-0000CC3C0000}"/>
    <cellStyle name="Comma 2 6 3 2 2" xfId="15568" xr:uid="{00000000-0005-0000-0000-0000CD3C0000}"/>
    <cellStyle name="Comma 2 6 3 2 2 2" xfId="15569" xr:uid="{00000000-0005-0000-0000-0000CE3C0000}"/>
    <cellStyle name="Comma 2 6 3 2 2 2 2" xfId="15570" xr:uid="{00000000-0005-0000-0000-0000CF3C0000}"/>
    <cellStyle name="Comma 2 6 3 2 2 2 3" xfId="15571" xr:uid="{00000000-0005-0000-0000-0000D03C0000}"/>
    <cellStyle name="Comma 2 6 3 2 2 3" xfId="15572" xr:uid="{00000000-0005-0000-0000-0000D13C0000}"/>
    <cellStyle name="Comma 2 6 3 2 2 4" xfId="15573" xr:uid="{00000000-0005-0000-0000-0000D23C0000}"/>
    <cellStyle name="Comma 2 6 3 2 2 5" xfId="15574" xr:uid="{00000000-0005-0000-0000-0000D33C0000}"/>
    <cellStyle name="Comma 2 6 3 2 2 6" xfId="15575" xr:uid="{00000000-0005-0000-0000-0000D43C0000}"/>
    <cellStyle name="Comma 2 6 3 2 3" xfId="15576" xr:uid="{00000000-0005-0000-0000-0000D53C0000}"/>
    <cellStyle name="Comma 2 6 3 2 3 2" xfId="15577" xr:uid="{00000000-0005-0000-0000-0000D63C0000}"/>
    <cellStyle name="Comma 2 6 3 2 3 2 2" xfId="15578" xr:uid="{00000000-0005-0000-0000-0000D73C0000}"/>
    <cellStyle name="Comma 2 6 3 2 3 3" xfId="15579" xr:uid="{00000000-0005-0000-0000-0000D83C0000}"/>
    <cellStyle name="Comma 2 6 3 2 3 4" xfId="15580" xr:uid="{00000000-0005-0000-0000-0000D93C0000}"/>
    <cellStyle name="Comma 2 6 3 2 3 5" xfId="15581" xr:uid="{00000000-0005-0000-0000-0000DA3C0000}"/>
    <cellStyle name="Comma 2 6 3 2 4" xfId="15582" xr:uid="{00000000-0005-0000-0000-0000DB3C0000}"/>
    <cellStyle name="Comma 2 6 3 2 4 2" xfId="15583" xr:uid="{00000000-0005-0000-0000-0000DC3C0000}"/>
    <cellStyle name="Comma 2 6 3 2 4 3" xfId="15584" xr:uid="{00000000-0005-0000-0000-0000DD3C0000}"/>
    <cellStyle name="Comma 2 6 3 2 4 4" xfId="15585" xr:uid="{00000000-0005-0000-0000-0000DE3C0000}"/>
    <cellStyle name="Comma 2 6 3 2 5" xfId="15586" xr:uid="{00000000-0005-0000-0000-0000DF3C0000}"/>
    <cellStyle name="Comma 2 6 3 2 5 2" xfId="15587" xr:uid="{00000000-0005-0000-0000-0000E03C0000}"/>
    <cellStyle name="Comma 2 6 3 2 6" xfId="15588" xr:uid="{00000000-0005-0000-0000-0000E13C0000}"/>
    <cellStyle name="Comma 2 6 3 2 7" xfId="15589" xr:uid="{00000000-0005-0000-0000-0000E23C0000}"/>
    <cellStyle name="Comma 2 6 3 2 8" xfId="15590" xr:uid="{00000000-0005-0000-0000-0000E33C0000}"/>
    <cellStyle name="Comma 2 6 3 2 9" xfId="15591" xr:uid="{00000000-0005-0000-0000-0000E43C0000}"/>
    <cellStyle name="Comma 2 6 3 3" xfId="15592" xr:uid="{00000000-0005-0000-0000-0000E53C0000}"/>
    <cellStyle name="Comma 2 6 3 3 2" xfId="15593" xr:uid="{00000000-0005-0000-0000-0000E63C0000}"/>
    <cellStyle name="Comma 2 6 3 3 2 2" xfId="15594" xr:uid="{00000000-0005-0000-0000-0000E73C0000}"/>
    <cellStyle name="Comma 2 6 3 3 2 2 2" xfId="15595" xr:uid="{00000000-0005-0000-0000-0000E83C0000}"/>
    <cellStyle name="Comma 2 6 3 3 2 2 3" xfId="15596" xr:uid="{00000000-0005-0000-0000-0000E93C0000}"/>
    <cellStyle name="Comma 2 6 3 3 2 3" xfId="15597" xr:uid="{00000000-0005-0000-0000-0000EA3C0000}"/>
    <cellStyle name="Comma 2 6 3 3 2 4" xfId="15598" xr:uid="{00000000-0005-0000-0000-0000EB3C0000}"/>
    <cellStyle name="Comma 2 6 3 3 2 5" xfId="15599" xr:uid="{00000000-0005-0000-0000-0000EC3C0000}"/>
    <cellStyle name="Comma 2 6 3 3 2 6" xfId="15600" xr:uid="{00000000-0005-0000-0000-0000ED3C0000}"/>
    <cellStyle name="Comma 2 6 3 3 3" xfId="15601" xr:uid="{00000000-0005-0000-0000-0000EE3C0000}"/>
    <cellStyle name="Comma 2 6 3 3 3 2" xfId="15602" xr:uid="{00000000-0005-0000-0000-0000EF3C0000}"/>
    <cellStyle name="Comma 2 6 3 3 3 2 2" xfId="15603" xr:uid="{00000000-0005-0000-0000-0000F03C0000}"/>
    <cellStyle name="Comma 2 6 3 3 3 3" xfId="15604" xr:uid="{00000000-0005-0000-0000-0000F13C0000}"/>
    <cellStyle name="Comma 2 6 3 3 3 4" xfId="15605" xr:uid="{00000000-0005-0000-0000-0000F23C0000}"/>
    <cellStyle name="Comma 2 6 3 3 3 5" xfId="15606" xr:uid="{00000000-0005-0000-0000-0000F33C0000}"/>
    <cellStyle name="Comma 2 6 3 3 4" xfId="15607" xr:uid="{00000000-0005-0000-0000-0000F43C0000}"/>
    <cellStyle name="Comma 2 6 3 3 4 2" xfId="15608" xr:uid="{00000000-0005-0000-0000-0000F53C0000}"/>
    <cellStyle name="Comma 2 6 3 3 4 3" xfId="15609" xr:uid="{00000000-0005-0000-0000-0000F63C0000}"/>
    <cellStyle name="Comma 2 6 3 3 4 4" xfId="15610" xr:uid="{00000000-0005-0000-0000-0000F73C0000}"/>
    <cellStyle name="Comma 2 6 3 3 5" xfId="15611" xr:uid="{00000000-0005-0000-0000-0000F83C0000}"/>
    <cellStyle name="Comma 2 6 3 3 5 2" xfId="15612" xr:uid="{00000000-0005-0000-0000-0000F93C0000}"/>
    <cellStyle name="Comma 2 6 3 3 6" xfId="15613" xr:uid="{00000000-0005-0000-0000-0000FA3C0000}"/>
    <cellStyle name="Comma 2 6 3 3 7" xfId="15614" xr:uid="{00000000-0005-0000-0000-0000FB3C0000}"/>
    <cellStyle name="Comma 2 6 3 3 8" xfId="15615" xr:uid="{00000000-0005-0000-0000-0000FC3C0000}"/>
    <cellStyle name="Comma 2 6 3 3 9" xfId="15616" xr:uid="{00000000-0005-0000-0000-0000FD3C0000}"/>
    <cellStyle name="Comma 2 6 3 4" xfId="15617" xr:uid="{00000000-0005-0000-0000-0000FE3C0000}"/>
    <cellStyle name="Comma 2 6 3 4 2" xfId="15618" xr:uid="{00000000-0005-0000-0000-0000FF3C0000}"/>
    <cellStyle name="Comma 2 6 3 4 2 2" xfId="15619" xr:uid="{00000000-0005-0000-0000-0000003D0000}"/>
    <cellStyle name="Comma 2 6 3 4 2 3" xfId="15620" xr:uid="{00000000-0005-0000-0000-0000013D0000}"/>
    <cellStyle name="Comma 2 6 3 4 3" xfId="15621" xr:uid="{00000000-0005-0000-0000-0000023D0000}"/>
    <cellStyle name="Comma 2 6 3 4 4" xfId="15622" xr:uid="{00000000-0005-0000-0000-0000033D0000}"/>
    <cellStyle name="Comma 2 6 3 4 5" xfId="15623" xr:uid="{00000000-0005-0000-0000-0000043D0000}"/>
    <cellStyle name="Comma 2 6 3 4 6" xfId="15624" xr:uid="{00000000-0005-0000-0000-0000053D0000}"/>
    <cellStyle name="Comma 2 6 3 5" xfId="15625" xr:uid="{00000000-0005-0000-0000-0000063D0000}"/>
    <cellStyle name="Comma 2 6 3 5 2" xfId="15626" xr:uid="{00000000-0005-0000-0000-0000073D0000}"/>
    <cellStyle name="Comma 2 6 3 5 2 2" xfId="15627" xr:uid="{00000000-0005-0000-0000-0000083D0000}"/>
    <cellStyle name="Comma 2 6 3 5 3" xfId="15628" xr:uid="{00000000-0005-0000-0000-0000093D0000}"/>
    <cellStyle name="Comma 2 6 3 5 4" xfId="15629" xr:uid="{00000000-0005-0000-0000-00000A3D0000}"/>
    <cellStyle name="Comma 2 6 3 5 5" xfId="15630" xr:uid="{00000000-0005-0000-0000-00000B3D0000}"/>
    <cellStyle name="Comma 2 6 3 6" xfId="15631" xr:uid="{00000000-0005-0000-0000-00000C3D0000}"/>
    <cellStyle name="Comma 2 6 3 6 2" xfId="15632" xr:uid="{00000000-0005-0000-0000-00000D3D0000}"/>
    <cellStyle name="Comma 2 6 3 6 3" xfId="15633" xr:uid="{00000000-0005-0000-0000-00000E3D0000}"/>
    <cellStyle name="Comma 2 6 3 6 4" xfId="15634" xr:uid="{00000000-0005-0000-0000-00000F3D0000}"/>
    <cellStyle name="Comma 2 6 3 7" xfId="15635" xr:uid="{00000000-0005-0000-0000-0000103D0000}"/>
    <cellStyle name="Comma 2 6 3 7 2" xfId="15636" xr:uid="{00000000-0005-0000-0000-0000113D0000}"/>
    <cellStyle name="Comma 2 6 3 8" xfId="15637" xr:uid="{00000000-0005-0000-0000-0000123D0000}"/>
    <cellStyle name="Comma 2 6 3 9" xfId="15638" xr:uid="{00000000-0005-0000-0000-0000133D0000}"/>
    <cellStyle name="Comma 2 6 4" xfId="15639" xr:uid="{00000000-0005-0000-0000-0000143D0000}"/>
    <cellStyle name="Comma 2 6 4 10" xfId="15640" xr:uid="{00000000-0005-0000-0000-0000153D0000}"/>
    <cellStyle name="Comma 2 6 4 11" xfId="15641" xr:uid="{00000000-0005-0000-0000-0000163D0000}"/>
    <cellStyle name="Comma 2 6 4 2" xfId="15642" xr:uid="{00000000-0005-0000-0000-0000173D0000}"/>
    <cellStyle name="Comma 2 6 4 2 2" xfId="15643" xr:uid="{00000000-0005-0000-0000-0000183D0000}"/>
    <cellStyle name="Comma 2 6 4 2 2 2" xfId="15644" xr:uid="{00000000-0005-0000-0000-0000193D0000}"/>
    <cellStyle name="Comma 2 6 4 2 2 2 2" xfId="15645" xr:uid="{00000000-0005-0000-0000-00001A3D0000}"/>
    <cellStyle name="Comma 2 6 4 2 2 2 3" xfId="15646" xr:uid="{00000000-0005-0000-0000-00001B3D0000}"/>
    <cellStyle name="Comma 2 6 4 2 2 3" xfId="15647" xr:uid="{00000000-0005-0000-0000-00001C3D0000}"/>
    <cellStyle name="Comma 2 6 4 2 2 4" xfId="15648" xr:uid="{00000000-0005-0000-0000-00001D3D0000}"/>
    <cellStyle name="Comma 2 6 4 2 2 5" xfId="15649" xr:uid="{00000000-0005-0000-0000-00001E3D0000}"/>
    <cellStyle name="Comma 2 6 4 2 2 6" xfId="15650" xr:uid="{00000000-0005-0000-0000-00001F3D0000}"/>
    <cellStyle name="Comma 2 6 4 2 3" xfId="15651" xr:uid="{00000000-0005-0000-0000-0000203D0000}"/>
    <cellStyle name="Comma 2 6 4 2 3 2" xfId="15652" xr:uid="{00000000-0005-0000-0000-0000213D0000}"/>
    <cellStyle name="Comma 2 6 4 2 3 2 2" xfId="15653" xr:uid="{00000000-0005-0000-0000-0000223D0000}"/>
    <cellStyle name="Comma 2 6 4 2 3 3" xfId="15654" xr:uid="{00000000-0005-0000-0000-0000233D0000}"/>
    <cellStyle name="Comma 2 6 4 2 3 4" xfId="15655" xr:uid="{00000000-0005-0000-0000-0000243D0000}"/>
    <cellStyle name="Comma 2 6 4 2 3 5" xfId="15656" xr:uid="{00000000-0005-0000-0000-0000253D0000}"/>
    <cellStyle name="Comma 2 6 4 2 4" xfId="15657" xr:uid="{00000000-0005-0000-0000-0000263D0000}"/>
    <cellStyle name="Comma 2 6 4 2 4 2" xfId="15658" xr:uid="{00000000-0005-0000-0000-0000273D0000}"/>
    <cellStyle name="Comma 2 6 4 2 4 3" xfId="15659" xr:uid="{00000000-0005-0000-0000-0000283D0000}"/>
    <cellStyle name="Comma 2 6 4 2 4 4" xfId="15660" xr:uid="{00000000-0005-0000-0000-0000293D0000}"/>
    <cellStyle name="Comma 2 6 4 2 5" xfId="15661" xr:uid="{00000000-0005-0000-0000-00002A3D0000}"/>
    <cellStyle name="Comma 2 6 4 2 5 2" xfId="15662" xr:uid="{00000000-0005-0000-0000-00002B3D0000}"/>
    <cellStyle name="Comma 2 6 4 2 6" xfId="15663" xr:uid="{00000000-0005-0000-0000-00002C3D0000}"/>
    <cellStyle name="Comma 2 6 4 2 7" xfId="15664" xr:uid="{00000000-0005-0000-0000-00002D3D0000}"/>
    <cellStyle name="Comma 2 6 4 2 8" xfId="15665" xr:uid="{00000000-0005-0000-0000-00002E3D0000}"/>
    <cellStyle name="Comma 2 6 4 2 9" xfId="15666" xr:uid="{00000000-0005-0000-0000-00002F3D0000}"/>
    <cellStyle name="Comma 2 6 4 3" xfId="15667" xr:uid="{00000000-0005-0000-0000-0000303D0000}"/>
    <cellStyle name="Comma 2 6 4 3 2" xfId="15668" xr:uid="{00000000-0005-0000-0000-0000313D0000}"/>
    <cellStyle name="Comma 2 6 4 3 2 2" xfId="15669" xr:uid="{00000000-0005-0000-0000-0000323D0000}"/>
    <cellStyle name="Comma 2 6 4 3 2 2 2" xfId="15670" xr:uid="{00000000-0005-0000-0000-0000333D0000}"/>
    <cellStyle name="Comma 2 6 4 3 2 2 3" xfId="15671" xr:uid="{00000000-0005-0000-0000-0000343D0000}"/>
    <cellStyle name="Comma 2 6 4 3 2 3" xfId="15672" xr:uid="{00000000-0005-0000-0000-0000353D0000}"/>
    <cellStyle name="Comma 2 6 4 3 2 4" xfId="15673" xr:uid="{00000000-0005-0000-0000-0000363D0000}"/>
    <cellStyle name="Comma 2 6 4 3 2 5" xfId="15674" xr:uid="{00000000-0005-0000-0000-0000373D0000}"/>
    <cellStyle name="Comma 2 6 4 3 2 6" xfId="15675" xr:uid="{00000000-0005-0000-0000-0000383D0000}"/>
    <cellStyle name="Comma 2 6 4 3 3" xfId="15676" xr:uid="{00000000-0005-0000-0000-0000393D0000}"/>
    <cellStyle name="Comma 2 6 4 3 3 2" xfId="15677" xr:uid="{00000000-0005-0000-0000-00003A3D0000}"/>
    <cellStyle name="Comma 2 6 4 3 3 2 2" xfId="15678" xr:uid="{00000000-0005-0000-0000-00003B3D0000}"/>
    <cellStyle name="Comma 2 6 4 3 3 3" xfId="15679" xr:uid="{00000000-0005-0000-0000-00003C3D0000}"/>
    <cellStyle name="Comma 2 6 4 3 3 4" xfId="15680" xr:uid="{00000000-0005-0000-0000-00003D3D0000}"/>
    <cellStyle name="Comma 2 6 4 3 3 5" xfId="15681" xr:uid="{00000000-0005-0000-0000-00003E3D0000}"/>
    <cellStyle name="Comma 2 6 4 3 4" xfId="15682" xr:uid="{00000000-0005-0000-0000-00003F3D0000}"/>
    <cellStyle name="Comma 2 6 4 3 4 2" xfId="15683" xr:uid="{00000000-0005-0000-0000-0000403D0000}"/>
    <cellStyle name="Comma 2 6 4 3 4 3" xfId="15684" xr:uid="{00000000-0005-0000-0000-0000413D0000}"/>
    <cellStyle name="Comma 2 6 4 3 4 4" xfId="15685" xr:uid="{00000000-0005-0000-0000-0000423D0000}"/>
    <cellStyle name="Comma 2 6 4 3 5" xfId="15686" xr:uid="{00000000-0005-0000-0000-0000433D0000}"/>
    <cellStyle name="Comma 2 6 4 3 5 2" xfId="15687" xr:uid="{00000000-0005-0000-0000-0000443D0000}"/>
    <cellStyle name="Comma 2 6 4 3 6" xfId="15688" xr:uid="{00000000-0005-0000-0000-0000453D0000}"/>
    <cellStyle name="Comma 2 6 4 3 7" xfId="15689" xr:uid="{00000000-0005-0000-0000-0000463D0000}"/>
    <cellStyle name="Comma 2 6 4 3 8" xfId="15690" xr:uid="{00000000-0005-0000-0000-0000473D0000}"/>
    <cellStyle name="Comma 2 6 4 3 9" xfId="15691" xr:uid="{00000000-0005-0000-0000-0000483D0000}"/>
    <cellStyle name="Comma 2 6 4 4" xfId="15692" xr:uid="{00000000-0005-0000-0000-0000493D0000}"/>
    <cellStyle name="Comma 2 6 4 4 2" xfId="15693" xr:uid="{00000000-0005-0000-0000-00004A3D0000}"/>
    <cellStyle name="Comma 2 6 4 4 2 2" xfId="15694" xr:uid="{00000000-0005-0000-0000-00004B3D0000}"/>
    <cellStyle name="Comma 2 6 4 4 2 3" xfId="15695" xr:uid="{00000000-0005-0000-0000-00004C3D0000}"/>
    <cellStyle name="Comma 2 6 4 4 3" xfId="15696" xr:uid="{00000000-0005-0000-0000-00004D3D0000}"/>
    <cellStyle name="Comma 2 6 4 4 4" xfId="15697" xr:uid="{00000000-0005-0000-0000-00004E3D0000}"/>
    <cellStyle name="Comma 2 6 4 4 5" xfId="15698" xr:uid="{00000000-0005-0000-0000-00004F3D0000}"/>
    <cellStyle name="Comma 2 6 4 4 6" xfId="15699" xr:uid="{00000000-0005-0000-0000-0000503D0000}"/>
    <cellStyle name="Comma 2 6 4 5" xfId="15700" xr:uid="{00000000-0005-0000-0000-0000513D0000}"/>
    <cellStyle name="Comma 2 6 4 5 2" xfId="15701" xr:uid="{00000000-0005-0000-0000-0000523D0000}"/>
    <cellStyle name="Comma 2 6 4 5 2 2" xfId="15702" xr:uid="{00000000-0005-0000-0000-0000533D0000}"/>
    <cellStyle name="Comma 2 6 4 5 3" xfId="15703" xr:uid="{00000000-0005-0000-0000-0000543D0000}"/>
    <cellStyle name="Comma 2 6 4 5 4" xfId="15704" xr:uid="{00000000-0005-0000-0000-0000553D0000}"/>
    <cellStyle name="Comma 2 6 4 5 5" xfId="15705" xr:uid="{00000000-0005-0000-0000-0000563D0000}"/>
    <cellStyle name="Comma 2 6 4 6" xfId="15706" xr:uid="{00000000-0005-0000-0000-0000573D0000}"/>
    <cellStyle name="Comma 2 6 4 6 2" xfId="15707" xr:uid="{00000000-0005-0000-0000-0000583D0000}"/>
    <cellStyle name="Comma 2 6 4 6 3" xfId="15708" xr:uid="{00000000-0005-0000-0000-0000593D0000}"/>
    <cellStyle name="Comma 2 6 4 6 4" xfId="15709" xr:uid="{00000000-0005-0000-0000-00005A3D0000}"/>
    <cellStyle name="Comma 2 6 4 7" xfId="15710" xr:uid="{00000000-0005-0000-0000-00005B3D0000}"/>
    <cellStyle name="Comma 2 6 4 7 2" xfId="15711" xr:uid="{00000000-0005-0000-0000-00005C3D0000}"/>
    <cellStyle name="Comma 2 6 4 8" xfId="15712" xr:uid="{00000000-0005-0000-0000-00005D3D0000}"/>
    <cellStyle name="Comma 2 6 4 9" xfId="15713" xr:uid="{00000000-0005-0000-0000-00005E3D0000}"/>
    <cellStyle name="Comma 2 6 5" xfId="15714" xr:uid="{00000000-0005-0000-0000-00005F3D0000}"/>
    <cellStyle name="Comma 2 6 5 10" xfId="15715" xr:uid="{00000000-0005-0000-0000-0000603D0000}"/>
    <cellStyle name="Comma 2 6 5 11" xfId="15716" xr:uid="{00000000-0005-0000-0000-0000613D0000}"/>
    <cellStyle name="Comma 2 6 5 2" xfId="15717" xr:uid="{00000000-0005-0000-0000-0000623D0000}"/>
    <cellStyle name="Comma 2 6 5 2 2" xfId="15718" xr:uid="{00000000-0005-0000-0000-0000633D0000}"/>
    <cellStyle name="Comma 2 6 5 2 2 2" xfId="15719" xr:uid="{00000000-0005-0000-0000-0000643D0000}"/>
    <cellStyle name="Comma 2 6 5 2 2 2 2" xfId="15720" xr:uid="{00000000-0005-0000-0000-0000653D0000}"/>
    <cellStyle name="Comma 2 6 5 2 2 2 3" xfId="15721" xr:uid="{00000000-0005-0000-0000-0000663D0000}"/>
    <cellStyle name="Comma 2 6 5 2 2 3" xfId="15722" xr:uid="{00000000-0005-0000-0000-0000673D0000}"/>
    <cellStyle name="Comma 2 6 5 2 2 4" xfId="15723" xr:uid="{00000000-0005-0000-0000-0000683D0000}"/>
    <cellStyle name="Comma 2 6 5 2 2 5" xfId="15724" xr:uid="{00000000-0005-0000-0000-0000693D0000}"/>
    <cellStyle name="Comma 2 6 5 2 2 6" xfId="15725" xr:uid="{00000000-0005-0000-0000-00006A3D0000}"/>
    <cellStyle name="Comma 2 6 5 2 3" xfId="15726" xr:uid="{00000000-0005-0000-0000-00006B3D0000}"/>
    <cellStyle name="Comma 2 6 5 2 3 2" xfId="15727" xr:uid="{00000000-0005-0000-0000-00006C3D0000}"/>
    <cellStyle name="Comma 2 6 5 2 3 2 2" xfId="15728" xr:uid="{00000000-0005-0000-0000-00006D3D0000}"/>
    <cellStyle name="Comma 2 6 5 2 3 3" xfId="15729" xr:uid="{00000000-0005-0000-0000-00006E3D0000}"/>
    <cellStyle name="Comma 2 6 5 2 3 4" xfId="15730" xr:uid="{00000000-0005-0000-0000-00006F3D0000}"/>
    <cellStyle name="Comma 2 6 5 2 3 5" xfId="15731" xr:uid="{00000000-0005-0000-0000-0000703D0000}"/>
    <cellStyle name="Comma 2 6 5 2 4" xfId="15732" xr:uid="{00000000-0005-0000-0000-0000713D0000}"/>
    <cellStyle name="Comma 2 6 5 2 4 2" xfId="15733" xr:uid="{00000000-0005-0000-0000-0000723D0000}"/>
    <cellStyle name="Comma 2 6 5 2 4 3" xfId="15734" xr:uid="{00000000-0005-0000-0000-0000733D0000}"/>
    <cellStyle name="Comma 2 6 5 2 4 4" xfId="15735" xr:uid="{00000000-0005-0000-0000-0000743D0000}"/>
    <cellStyle name="Comma 2 6 5 2 5" xfId="15736" xr:uid="{00000000-0005-0000-0000-0000753D0000}"/>
    <cellStyle name="Comma 2 6 5 2 5 2" xfId="15737" xr:uid="{00000000-0005-0000-0000-0000763D0000}"/>
    <cellStyle name="Comma 2 6 5 2 6" xfId="15738" xr:uid="{00000000-0005-0000-0000-0000773D0000}"/>
    <cellStyle name="Comma 2 6 5 2 7" xfId="15739" xr:uid="{00000000-0005-0000-0000-0000783D0000}"/>
    <cellStyle name="Comma 2 6 5 2 8" xfId="15740" xr:uid="{00000000-0005-0000-0000-0000793D0000}"/>
    <cellStyle name="Comma 2 6 5 2 9" xfId="15741" xr:uid="{00000000-0005-0000-0000-00007A3D0000}"/>
    <cellStyle name="Comma 2 6 5 3" xfId="15742" xr:uid="{00000000-0005-0000-0000-00007B3D0000}"/>
    <cellStyle name="Comma 2 6 5 3 2" xfId="15743" xr:uid="{00000000-0005-0000-0000-00007C3D0000}"/>
    <cellStyle name="Comma 2 6 5 3 2 2" xfId="15744" xr:uid="{00000000-0005-0000-0000-00007D3D0000}"/>
    <cellStyle name="Comma 2 6 5 3 2 2 2" xfId="15745" xr:uid="{00000000-0005-0000-0000-00007E3D0000}"/>
    <cellStyle name="Comma 2 6 5 3 2 2 3" xfId="15746" xr:uid="{00000000-0005-0000-0000-00007F3D0000}"/>
    <cellStyle name="Comma 2 6 5 3 2 3" xfId="15747" xr:uid="{00000000-0005-0000-0000-0000803D0000}"/>
    <cellStyle name="Comma 2 6 5 3 2 4" xfId="15748" xr:uid="{00000000-0005-0000-0000-0000813D0000}"/>
    <cellStyle name="Comma 2 6 5 3 2 5" xfId="15749" xr:uid="{00000000-0005-0000-0000-0000823D0000}"/>
    <cellStyle name="Comma 2 6 5 3 2 6" xfId="15750" xr:uid="{00000000-0005-0000-0000-0000833D0000}"/>
    <cellStyle name="Comma 2 6 5 3 3" xfId="15751" xr:uid="{00000000-0005-0000-0000-0000843D0000}"/>
    <cellStyle name="Comma 2 6 5 3 3 2" xfId="15752" xr:uid="{00000000-0005-0000-0000-0000853D0000}"/>
    <cellStyle name="Comma 2 6 5 3 3 2 2" xfId="15753" xr:uid="{00000000-0005-0000-0000-0000863D0000}"/>
    <cellStyle name="Comma 2 6 5 3 3 3" xfId="15754" xr:uid="{00000000-0005-0000-0000-0000873D0000}"/>
    <cellStyle name="Comma 2 6 5 3 3 4" xfId="15755" xr:uid="{00000000-0005-0000-0000-0000883D0000}"/>
    <cellStyle name="Comma 2 6 5 3 3 5" xfId="15756" xr:uid="{00000000-0005-0000-0000-0000893D0000}"/>
    <cellStyle name="Comma 2 6 5 3 4" xfId="15757" xr:uid="{00000000-0005-0000-0000-00008A3D0000}"/>
    <cellStyle name="Comma 2 6 5 3 4 2" xfId="15758" xr:uid="{00000000-0005-0000-0000-00008B3D0000}"/>
    <cellStyle name="Comma 2 6 5 3 4 3" xfId="15759" xr:uid="{00000000-0005-0000-0000-00008C3D0000}"/>
    <cellStyle name="Comma 2 6 5 3 4 4" xfId="15760" xr:uid="{00000000-0005-0000-0000-00008D3D0000}"/>
    <cellStyle name="Comma 2 6 5 3 5" xfId="15761" xr:uid="{00000000-0005-0000-0000-00008E3D0000}"/>
    <cellStyle name="Comma 2 6 5 3 5 2" xfId="15762" xr:uid="{00000000-0005-0000-0000-00008F3D0000}"/>
    <cellStyle name="Comma 2 6 5 3 6" xfId="15763" xr:uid="{00000000-0005-0000-0000-0000903D0000}"/>
    <cellStyle name="Comma 2 6 5 3 7" xfId="15764" xr:uid="{00000000-0005-0000-0000-0000913D0000}"/>
    <cellStyle name="Comma 2 6 5 3 8" xfId="15765" xr:uid="{00000000-0005-0000-0000-0000923D0000}"/>
    <cellStyle name="Comma 2 6 5 3 9" xfId="15766" xr:uid="{00000000-0005-0000-0000-0000933D0000}"/>
    <cellStyle name="Comma 2 6 5 4" xfId="15767" xr:uid="{00000000-0005-0000-0000-0000943D0000}"/>
    <cellStyle name="Comma 2 6 5 4 2" xfId="15768" xr:uid="{00000000-0005-0000-0000-0000953D0000}"/>
    <cellStyle name="Comma 2 6 5 4 2 2" xfId="15769" xr:uid="{00000000-0005-0000-0000-0000963D0000}"/>
    <cellStyle name="Comma 2 6 5 4 2 3" xfId="15770" xr:uid="{00000000-0005-0000-0000-0000973D0000}"/>
    <cellStyle name="Comma 2 6 5 4 3" xfId="15771" xr:uid="{00000000-0005-0000-0000-0000983D0000}"/>
    <cellStyle name="Comma 2 6 5 4 4" xfId="15772" xr:uid="{00000000-0005-0000-0000-0000993D0000}"/>
    <cellStyle name="Comma 2 6 5 4 5" xfId="15773" xr:uid="{00000000-0005-0000-0000-00009A3D0000}"/>
    <cellStyle name="Comma 2 6 5 4 6" xfId="15774" xr:uid="{00000000-0005-0000-0000-00009B3D0000}"/>
    <cellStyle name="Comma 2 6 5 5" xfId="15775" xr:uid="{00000000-0005-0000-0000-00009C3D0000}"/>
    <cellStyle name="Comma 2 6 5 5 2" xfId="15776" xr:uid="{00000000-0005-0000-0000-00009D3D0000}"/>
    <cellStyle name="Comma 2 6 5 5 2 2" xfId="15777" xr:uid="{00000000-0005-0000-0000-00009E3D0000}"/>
    <cellStyle name="Comma 2 6 5 5 3" xfId="15778" xr:uid="{00000000-0005-0000-0000-00009F3D0000}"/>
    <cellStyle name="Comma 2 6 5 5 4" xfId="15779" xr:uid="{00000000-0005-0000-0000-0000A03D0000}"/>
    <cellStyle name="Comma 2 6 5 5 5" xfId="15780" xr:uid="{00000000-0005-0000-0000-0000A13D0000}"/>
    <cellStyle name="Comma 2 6 5 6" xfId="15781" xr:uid="{00000000-0005-0000-0000-0000A23D0000}"/>
    <cellStyle name="Comma 2 6 5 6 2" xfId="15782" xr:uid="{00000000-0005-0000-0000-0000A33D0000}"/>
    <cellStyle name="Comma 2 6 5 6 3" xfId="15783" xr:uid="{00000000-0005-0000-0000-0000A43D0000}"/>
    <cellStyle name="Comma 2 6 5 6 4" xfId="15784" xr:uid="{00000000-0005-0000-0000-0000A53D0000}"/>
    <cellStyle name="Comma 2 6 5 7" xfId="15785" xr:uid="{00000000-0005-0000-0000-0000A63D0000}"/>
    <cellStyle name="Comma 2 6 5 7 2" xfId="15786" xr:uid="{00000000-0005-0000-0000-0000A73D0000}"/>
    <cellStyle name="Comma 2 6 5 8" xfId="15787" xr:uid="{00000000-0005-0000-0000-0000A83D0000}"/>
    <cellStyle name="Comma 2 6 5 9" xfId="15788" xr:uid="{00000000-0005-0000-0000-0000A93D0000}"/>
    <cellStyle name="Comma 2 6 6" xfId="15789" xr:uid="{00000000-0005-0000-0000-0000AA3D0000}"/>
    <cellStyle name="Comma 2 6 6 10" xfId="15790" xr:uid="{00000000-0005-0000-0000-0000AB3D0000}"/>
    <cellStyle name="Comma 2 6 6 11" xfId="15791" xr:uid="{00000000-0005-0000-0000-0000AC3D0000}"/>
    <cellStyle name="Comma 2 6 6 2" xfId="15792" xr:uid="{00000000-0005-0000-0000-0000AD3D0000}"/>
    <cellStyle name="Comma 2 6 6 2 2" xfId="15793" xr:uid="{00000000-0005-0000-0000-0000AE3D0000}"/>
    <cellStyle name="Comma 2 6 6 2 2 2" xfId="15794" xr:uid="{00000000-0005-0000-0000-0000AF3D0000}"/>
    <cellStyle name="Comma 2 6 6 2 2 2 2" xfId="15795" xr:uid="{00000000-0005-0000-0000-0000B03D0000}"/>
    <cellStyle name="Comma 2 6 6 2 2 2 3" xfId="15796" xr:uid="{00000000-0005-0000-0000-0000B13D0000}"/>
    <cellStyle name="Comma 2 6 6 2 2 3" xfId="15797" xr:uid="{00000000-0005-0000-0000-0000B23D0000}"/>
    <cellStyle name="Comma 2 6 6 2 2 4" xfId="15798" xr:uid="{00000000-0005-0000-0000-0000B33D0000}"/>
    <cellStyle name="Comma 2 6 6 2 2 5" xfId="15799" xr:uid="{00000000-0005-0000-0000-0000B43D0000}"/>
    <cellStyle name="Comma 2 6 6 2 2 6" xfId="15800" xr:uid="{00000000-0005-0000-0000-0000B53D0000}"/>
    <cellStyle name="Comma 2 6 6 2 3" xfId="15801" xr:uid="{00000000-0005-0000-0000-0000B63D0000}"/>
    <cellStyle name="Comma 2 6 6 2 3 2" xfId="15802" xr:uid="{00000000-0005-0000-0000-0000B73D0000}"/>
    <cellStyle name="Comma 2 6 6 2 3 2 2" xfId="15803" xr:uid="{00000000-0005-0000-0000-0000B83D0000}"/>
    <cellStyle name="Comma 2 6 6 2 3 3" xfId="15804" xr:uid="{00000000-0005-0000-0000-0000B93D0000}"/>
    <cellStyle name="Comma 2 6 6 2 3 4" xfId="15805" xr:uid="{00000000-0005-0000-0000-0000BA3D0000}"/>
    <cellStyle name="Comma 2 6 6 2 3 5" xfId="15806" xr:uid="{00000000-0005-0000-0000-0000BB3D0000}"/>
    <cellStyle name="Comma 2 6 6 2 4" xfId="15807" xr:uid="{00000000-0005-0000-0000-0000BC3D0000}"/>
    <cellStyle name="Comma 2 6 6 2 4 2" xfId="15808" xr:uid="{00000000-0005-0000-0000-0000BD3D0000}"/>
    <cellStyle name="Comma 2 6 6 2 4 3" xfId="15809" xr:uid="{00000000-0005-0000-0000-0000BE3D0000}"/>
    <cellStyle name="Comma 2 6 6 2 4 4" xfId="15810" xr:uid="{00000000-0005-0000-0000-0000BF3D0000}"/>
    <cellStyle name="Comma 2 6 6 2 5" xfId="15811" xr:uid="{00000000-0005-0000-0000-0000C03D0000}"/>
    <cellStyle name="Comma 2 6 6 2 5 2" xfId="15812" xr:uid="{00000000-0005-0000-0000-0000C13D0000}"/>
    <cellStyle name="Comma 2 6 6 2 6" xfId="15813" xr:uid="{00000000-0005-0000-0000-0000C23D0000}"/>
    <cellStyle name="Comma 2 6 6 2 7" xfId="15814" xr:uid="{00000000-0005-0000-0000-0000C33D0000}"/>
    <cellStyle name="Comma 2 6 6 2 8" xfId="15815" xr:uid="{00000000-0005-0000-0000-0000C43D0000}"/>
    <cellStyle name="Comma 2 6 6 2 9" xfId="15816" xr:uid="{00000000-0005-0000-0000-0000C53D0000}"/>
    <cellStyle name="Comma 2 6 6 3" xfId="15817" xr:uid="{00000000-0005-0000-0000-0000C63D0000}"/>
    <cellStyle name="Comma 2 6 6 3 2" xfId="15818" xr:uid="{00000000-0005-0000-0000-0000C73D0000}"/>
    <cellStyle name="Comma 2 6 6 3 2 2" xfId="15819" xr:uid="{00000000-0005-0000-0000-0000C83D0000}"/>
    <cellStyle name="Comma 2 6 6 3 2 2 2" xfId="15820" xr:uid="{00000000-0005-0000-0000-0000C93D0000}"/>
    <cellStyle name="Comma 2 6 6 3 2 2 3" xfId="15821" xr:uid="{00000000-0005-0000-0000-0000CA3D0000}"/>
    <cellStyle name="Comma 2 6 6 3 2 3" xfId="15822" xr:uid="{00000000-0005-0000-0000-0000CB3D0000}"/>
    <cellStyle name="Comma 2 6 6 3 2 4" xfId="15823" xr:uid="{00000000-0005-0000-0000-0000CC3D0000}"/>
    <cellStyle name="Comma 2 6 6 3 2 5" xfId="15824" xr:uid="{00000000-0005-0000-0000-0000CD3D0000}"/>
    <cellStyle name="Comma 2 6 6 3 2 6" xfId="15825" xr:uid="{00000000-0005-0000-0000-0000CE3D0000}"/>
    <cellStyle name="Comma 2 6 6 3 3" xfId="15826" xr:uid="{00000000-0005-0000-0000-0000CF3D0000}"/>
    <cellStyle name="Comma 2 6 6 3 3 2" xfId="15827" xr:uid="{00000000-0005-0000-0000-0000D03D0000}"/>
    <cellStyle name="Comma 2 6 6 3 3 2 2" xfId="15828" xr:uid="{00000000-0005-0000-0000-0000D13D0000}"/>
    <cellStyle name="Comma 2 6 6 3 3 3" xfId="15829" xr:uid="{00000000-0005-0000-0000-0000D23D0000}"/>
    <cellStyle name="Comma 2 6 6 3 3 4" xfId="15830" xr:uid="{00000000-0005-0000-0000-0000D33D0000}"/>
    <cellStyle name="Comma 2 6 6 3 3 5" xfId="15831" xr:uid="{00000000-0005-0000-0000-0000D43D0000}"/>
    <cellStyle name="Comma 2 6 6 3 4" xfId="15832" xr:uid="{00000000-0005-0000-0000-0000D53D0000}"/>
    <cellStyle name="Comma 2 6 6 3 4 2" xfId="15833" xr:uid="{00000000-0005-0000-0000-0000D63D0000}"/>
    <cellStyle name="Comma 2 6 6 3 4 3" xfId="15834" xr:uid="{00000000-0005-0000-0000-0000D73D0000}"/>
    <cellStyle name="Comma 2 6 6 3 4 4" xfId="15835" xr:uid="{00000000-0005-0000-0000-0000D83D0000}"/>
    <cellStyle name="Comma 2 6 6 3 5" xfId="15836" xr:uid="{00000000-0005-0000-0000-0000D93D0000}"/>
    <cellStyle name="Comma 2 6 6 3 5 2" xfId="15837" xr:uid="{00000000-0005-0000-0000-0000DA3D0000}"/>
    <cellStyle name="Comma 2 6 6 3 6" xfId="15838" xr:uid="{00000000-0005-0000-0000-0000DB3D0000}"/>
    <cellStyle name="Comma 2 6 6 3 7" xfId="15839" xr:uid="{00000000-0005-0000-0000-0000DC3D0000}"/>
    <cellStyle name="Comma 2 6 6 3 8" xfId="15840" xr:uid="{00000000-0005-0000-0000-0000DD3D0000}"/>
    <cellStyle name="Comma 2 6 6 3 9" xfId="15841" xr:uid="{00000000-0005-0000-0000-0000DE3D0000}"/>
    <cellStyle name="Comma 2 6 6 4" xfId="15842" xr:uid="{00000000-0005-0000-0000-0000DF3D0000}"/>
    <cellStyle name="Comma 2 6 6 4 2" xfId="15843" xr:uid="{00000000-0005-0000-0000-0000E03D0000}"/>
    <cellStyle name="Comma 2 6 6 4 2 2" xfId="15844" xr:uid="{00000000-0005-0000-0000-0000E13D0000}"/>
    <cellStyle name="Comma 2 6 6 4 2 3" xfId="15845" xr:uid="{00000000-0005-0000-0000-0000E23D0000}"/>
    <cellStyle name="Comma 2 6 6 4 3" xfId="15846" xr:uid="{00000000-0005-0000-0000-0000E33D0000}"/>
    <cellStyle name="Comma 2 6 6 4 4" xfId="15847" xr:uid="{00000000-0005-0000-0000-0000E43D0000}"/>
    <cellStyle name="Comma 2 6 6 4 5" xfId="15848" xr:uid="{00000000-0005-0000-0000-0000E53D0000}"/>
    <cellStyle name="Comma 2 6 6 4 6" xfId="15849" xr:uid="{00000000-0005-0000-0000-0000E63D0000}"/>
    <cellStyle name="Comma 2 6 6 5" xfId="15850" xr:uid="{00000000-0005-0000-0000-0000E73D0000}"/>
    <cellStyle name="Comma 2 6 6 5 2" xfId="15851" xr:uid="{00000000-0005-0000-0000-0000E83D0000}"/>
    <cellStyle name="Comma 2 6 6 5 2 2" xfId="15852" xr:uid="{00000000-0005-0000-0000-0000E93D0000}"/>
    <cellStyle name="Comma 2 6 6 5 3" xfId="15853" xr:uid="{00000000-0005-0000-0000-0000EA3D0000}"/>
    <cellStyle name="Comma 2 6 6 5 4" xfId="15854" xr:uid="{00000000-0005-0000-0000-0000EB3D0000}"/>
    <cellStyle name="Comma 2 6 6 5 5" xfId="15855" xr:uid="{00000000-0005-0000-0000-0000EC3D0000}"/>
    <cellStyle name="Comma 2 6 6 6" xfId="15856" xr:uid="{00000000-0005-0000-0000-0000ED3D0000}"/>
    <cellStyle name="Comma 2 6 6 6 2" xfId="15857" xr:uid="{00000000-0005-0000-0000-0000EE3D0000}"/>
    <cellStyle name="Comma 2 6 6 6 3" xfId="15858" xr:uid="{00000000-0005-0000-0000-0000EF3D0000}"/>
    <cellStyle name="Comma 2 6 6 6 4" xfId="15859" xr:uid="{00000000-0005-0000-0000-0000F03D0000}"/>
    <cellStyle name="Comma 2 6 6 7" xfId="15860" xr:uid="{00000000-0005-0000-0000-0000F13D0000}"/>
    <cellStyle name="Comma 2 6 6 7 2" xfId="15861" xr:uid="{00000000-0005-0000-0000-0000F23D0000}"/>
    <cellStyle name="Comma 2 6 6 8" xfId="15862" xr:uid="{00000000-0005-0000-0000-0000F33D0000}"/>
    <cellStyle name="Comma 2 6 6 9" xfId="15863" xr:uid="{00000000-0005-0000-0000-0000F43D0000}"/>
    <cellStyle name="Comma 2 6 7" xfId="15864" xr:uid="{00000000-0005-0000-0000-0000F53D0000}"/>
    <cellStyle name="Comma 2 6 7 10" xfId="15865" xr:uid="{00000000-0005-0000-0000-0000F63D0000}"/>
    <cellStyle name="Comma 2 6 7 11" xfId="15866" xr:uid="{00000000-0005-0000-0000-0000F73D0000}"/>
    <cellStyle name="Comma 2 6 7 2" xfId="15867" xr:uid="{00000000-0005-0000-0000-0000F83D0000}"/>
    <cellStyle name="Comma 2 6 7 2 2" xfId="15868" xr:uid="{00000000-0005-0000-0000-0000F93D0000}"/>
    <cellStyle name="Comma 2 6 7 2 2 2" xfId="15869" xr:uid="{00000000-0005-0000-0000-0000FA3D0000}"/>
    <cellStyle name="Comma 2 6 7 2 2 2 2" xfId="15870" xr:uid="{00000000-0005-0000-0000-0000FB3D0000}"/>
    <cellStyle name="Comma 2 6 7 2 2 2 3" xfId="15871" xr:uid="{00000000-0005-0000-0000-0000FC3D0000}"/>
    <cellStyle name="Comma 2 6 7 2 2 3" xfId="15872" xr:uid="{00000000-0005-0000-0000-0000FD3D0000}"/>
    <cellStyle name="Comma 2 6 7 2 2 4" xfId="15873" xr:uid="{00000000-0005-0000-0000-0000FE3D0000}"/>
    <cellStyle name="Comma 2 6 7 2 2 5" xfId="15874" xr:uid="{00000000-0005-0000-0000-0000FF3D0000}"/>
    <cellStyle name="Comma 2 6 7 2 2 6" xfId="15875" xr:uid="{00000000-0005-0000-0000-0000003E0000}"/>
    <cellStyle name="Comma 2 6 7 2 3" xfId="15876" xr:uid="{00000000-0005-0000-0000-0000013E0000}"/>
    <cellStyle name="Comma 2 6 7 2 3 2" xfId="15877" xr:uid="{00000000-0005-0000-0000-0000023E0000}"/>
    <cellStyle name="Comma 2 6 7 2 3 2 2" xfId="15878" xr:uid="{00000000-0005-0000-0000-0000033E0000}"/>
    <cellStyle name="Comma 2 6 7 2 3 3" xfId="15879" xr:uid="{00000000-0005-0000-0000-0000043E0000}"/>
    <cellStyle name="Comma 2 6 7 2 3 4" xfId="15880" xr:uid="{00000000-0005-0000-0000-0000053E0000}"/>
    <cellStyle name="Comma 2 6 7 2 3 5" xfId="15881" xr:uid="{00000000-0005-0000-0000-0000063E0000}"/>
    <cellStyle name="Comma 2 6 7 2 4" xfId="15882" xr:uid="{00000000-0005-0000-0000-0000073E0000}"/>
    <cellStyle name="Comma 2 6 7 2 4 2" xfId="15883" xr:uid="{00000000-0005-0000-0000-0000083E0000}"/>
    <cellStyle name="Comma 2 6 7 2 4 3" xfId="15884" xr:uid="{00000000-0005-0000-0000-0000093E0000}"/>
    <cellStyle name="Comma 2 6 7 2 4 4" xfId="15885" xr:uid="{00000000-0005-0000-0000-00000A3E0000}"/>
    <cellStyle name="Comma 2 6 7 2 5" xfId="15886" xr:uid="{00000000-0005-0000-0000-00000B3E0000}"/>
    <cellStyle name="Comma 2 6 7 2 5 2" xfId="15887" xr:uid="{00000000-0005-0000-0000-00000C3E0000}"/>
    <cellStyle name="Comma 2 6 7 2 6" xfId="15888" xr:uid="{00000000-0005-0000-0000-00000D3E0000}"/>
    <cellStyle name="Comma 2 6 7 2 7" xfId="15889" xr:uid="{00000000-0005-0000-0000-00000E3E0000}"/>
    <cellStyle name="Comma 2 6 7 2 8" xfId="15890" xr:uid="{00000000-0005-0000-0000-00000F3E0000}"/>
    <cellStyle name="Comma 2 6 7 2 9" xfId="15891" xr:uid="{00000000-0005-0000-0000-0000103E0000}"/>
    <cellStyle name="Comma 2 6 7 3" xfId="15892" xr:uid="{00000000-0005-0000-0000-0000113E0000}"/>
    <cellStyle name="Comma 2 6 7 3 2" xfId="15893" xr:uid="{00000000-0005-0000-0000-0000123E0000}"/>
    <cellStyle name="Comma 2 6 7 3 2 2" xfId="15894" xr:uid="{00000000-0005-0000-0000-0000133E0000}"/>
    <cellStyle name="Comma 2 6 7 3 2 2 2" xfId="15895" xr:uid="{00000000-0005-0000-0000-0000143E0000}"/>
    <cellStyle name="Comma 2 6 7 3 2 2 3" xfId="15896" xr:uid="{00000000-0005-0000-0000-0000153E0000}"/>
    <cellStyle name="Comma 2 6 7 3 2 3" xfId="15897" xr:uid="{00000000-0005-0000-0000-0000163E0000}"/>
    <cellStyle name="Comma 2 6 7 3 2 4" xfId="15898" xr:uid="{00000000-0005-0000-0000-0000173E0000}"/>
    <cellStyle name="Comma 2 6 7 3 2 5" xfId="15899" xr:uid="{00000000-0005-0000-0000-0000183E0000}"/>
    <cellStyle name="Comma 2 6 7 3 2 6" xfId="15900" xr:uid="{00000000-0005-0000-0000-0000193E0000}"/>
    <cellStyle name="Comma 2 6 7 3 3" xfId="15901" xr:uid="{00000000-0005-0000-0000-00001A3E0000}"/>
    <cellStyle name="Comma 2 6 7 3 3 2" xfId="15902" xr:uid="{00000000-0005-0000-0000-00001B3E0000}"/>
    <cellStyle name="Comma 2 6 7 3 3 2 2" xfId="15903" xr:uid="{00000000-0005-0000-0000-00001C3E0000}"/>
    <cellStyle name="Comma 2 6 7 3 3 3" xfId="15904" xr:uid="{00000000-0005-0000-0000-00001D3E0000}"/>
    <cellStyle name="Comma 2 6 7 3 3 4" xfId="15905" xr:uid="{00000000-0005-0000-0000-00001E3E0000}"/>
    <cellStyle name="Comma 2 6 7 3 3 5" xfId="15906" xr:uid="{00000000-0005-0000-0000-00001F3E0000}"/>
    <cellStyle name="Comma 2 6 7 3 4" xfId="15907" xr:uid="{00000000-0005-0000-0000-0000203E0000}"/>
    <cellStyle name="Comma 2 6 7 3 4 2" xfId="15908" xr:uid="{00000000-0005-0000-0000-0000213E0000}"/>
    <cellStyle name="Comma 2 6 7 3 4 3" xfId="15909" xr:uid="{00000000-0005-0000-0000-0000223E0000}"/>
    <cellStyle name="Comma 2 6 7 3 4 4" xfId="15910" xr:uid="{00000000-0005-0000-0000-0000233E0000}"/>
    <cellStyle name="Comma 2 6 7 3 5" xfId="15911" xr:uid="{00000000-0005-0000-0000-0000243E0000}"/>
    <cellStyle name="Comma 2 6 7 3 5 2" xfId="15912" xr:uid="{00000000-0005-0000-0000-0000253E0000}"/>
    <cellStyle name="Comma 2 6 7 3 6" xfId="15913" xr:uid="{00000000-0005-0000-0000-0000263E0000}"/>
    <cellStyle name="Comma 2 6 7 3 7" xfId="15914" xr:uid="{00000000-0005-0000-0000-0000273E0000}"/>
    <cellStyle name="Comma 2 6 7 3 8" xfId="15915" xr:uid="{00000000-0005-0000-0000-0000283E0000}"/>
    <cellStyle name="Comma 2 6 7 3 9" xfId="15916" xr:uid="{00000000-0005-0000-0000-0000293E0000}"/>
    <cellStyle name="Comma 2 6 7 4" xfId="15917" xr:uid="{00000000-0005-0000-0000-00002A3E0000}"/>
    <cellStyle name="Comma 2 6 7 4 2" xfId="15918" xr:uid="{00000000-0005-0000-0000-00002B3E0000}"/>
    <cellStyle name="Comma 2 6 7 4 2 2" xfId="15919" xr:uid="{00000000-0005-0000-0000-00002C3E0000}"/>
    <cellStyle name="Comma 2 6 7 4 2 3" xfId="15920" xr:uid="{00000000-0005-0000-0000-00002D3E0000}"/>
    <cellStyle name="Comma 2 6 7 4 3" xfId="15921" xr:uid="{00000000-0005-0000-0000-00002E3E0000}"/>
    <cellStyle name="Comma 2 6 7 4 4" xfId="15922" xr:uid="{00000000-0005-0000-0000-00002F3E0000}"/>
    <cellStyle name="Comma 2 6 7 4 5" xfId="15923" xr:uid="{00000000-0005-0000-0000-0000303E0000}"/>
    <cellStyle name="Comma 2 6 7 4 6" xfId="15924" xr:uid="{00000000-0005-0000-0000-0000313E0000}"/>
    <cellStyle name="Comma 2 6 7 5" xfId="15925" xr:uid="{00000000-0005-0000-0000-0000323E0000}"/>
    <cellStyle name="Comma 2 6 7 5 2" xfId="15926" xr:uid="{00000000-0005-0000-0000-0000333E0000}"/>
    <cellStyle name="Comma 2 6 7 5 2 2" xfId="15927" xr:uid="{00000000-0005-0000-0000-0000343E0000}"/>
    <cellStyle name="Comma 2 6 7 5 3" xfId="15928" xr:uid="{00000000-0005-0000-0000-0000353E0000}"/>
    <cellStyle name="Comma 2 6 7 5 4" xfId="15929" xr:uid="{00000000-0005-0000-0000-0000363E0000}"/>
    <cellStyle name="Comma 2 6 7 5 5" xfId="15930" xr:uid="{00000000-0005-0000-0000-0000373E0000}"/>
    <cellStyle name="Comma 2 6 7 6" xfId="15931" xr:uid="{00000000-0005-0000-0000-0000383E0000}"/>
    <cellStyle name="Comma 2 6 7 6 2" xfId="15932" xr:uid="{00000000-0005-0000-0000-0000393E0000}"/>
    <cellStyle name="Comma 2 6 7 6 3" xfId="15933" xr:uid="{00000000-0005-0000-0000-00003A3E0000}"/>
    <cellStyle name="Comma 2 6 7 6 4" xfId="15934" xr:uid="{00000000-0005-0000-0000-00003B3E0000}"/>
    <cellStyle name="Comma 2 6 7 7" xfId="15935" xr:uid="{00000000-0005-0000-0000-00003C3E0000}"/>
    <cellStyle name="Comma 2 6 7 7 2" xfId="15936" xr:uid="{00000000-0005-0000-0000-00003D3E0000}"/>
    <cellStyle name="Comma 2 6 7 8" xfId="15937" xr:uid="{00000000-0005-0000-0000-00003E3E0000}"/>
    <cellStyle name="Comma 2 6 7 9" xfId="15938" xr:uid="{00000000-0005-0000-0000-00003F3E0000}"/>
    <cellStyle name="Comma 2 6 8" xfId="15939" xr:uid="{00000000-0005-0000-0000-0000403E0000}"/>
    <cellStyle name="Comma 2 6 8 10" xfId="15940" xr:uid="{00000000-0005-0000-0000-0000413E0000}"/>
    <cellStyle name="Comma 2 6 8 2" xfId="15941" xr:uid="{00000000-0005-0000-0000-0000423E0000}"/>
    <cellStyle name="Comma 2 6 8 2 2" xfId="15942" xr:uid="{00000000-0005-0000-0000-0000433E0000}"/>
    <cellStyle name="Comma 2 6 8 2 2 2" xfId="15943" xr:uid="{00000000-0005-0000-0000-0000443E0000}"/>
    <cellStyle name="Comma 2 6 8 2 2 3" xfId="15944" xr:uid="{00000000-0005-0000-0000-0000453E0000}"/>
    <cellStyle name="Comma 2 6 8 2 3" xfId="15945" xr:uid="{00000000-0005-0000-0000-0000463E0000}"/>
    <cellStyle name="Comma 2 6 8 2 4" xfId="15946" xr:uid="{00000000-0005-0000-0000-0000473E0000}"/>
    <cellStyle name="Comma 2 6 8 2 5" xfId="15947" xr:uid="{00000000-0005-0000-0000-0000483E0000}"/>
    <cellStyle name="Comma 2 6 8 2 6" xfId="15948" xr:uid="{00000000-0005-0000-0000-0000493E0000}"/>
    <cellStyle name="Comma 2 6 8 3" xfId="15949" xr:uid="{00000000-0005-0000-0000-00004A3E0000}"/>
    <cellStyle name="Comma 2 6 8 3 2" xfId="15950" xr:uid="{00000000-0005-0000-0000-00004B3E0000}"/>
    <cellStyle name="Comma 2 6 8 3 2 2" xfId="15951" xr:uid="{00000000-0005-0000-0000-00004C3E0000}"/>
    <cellStyle name="Comma 2 6 8 3 2 3" xfId="15952" xr:uid="{00000000-0005-0000-0000-00004D3E0000}"/>
    <cellStyle name="Comma 2 6 8 3 3" xfId="15953" xr:uid="{00000000-0005-0000-0000-00004E3E0000}"/>
    <cellStyle name="Comma 2 6 8 3 4" xfId="15954" xr:uid="{00000000-0005-0000-0000-00004F3E0000}"/>
    <cellStyle name="Comma 2 6 8 3 5" xfId="15955" xr:uid="{00000000-0005-0000-0000-0000503E0000}"/>
    <cellStyle name="Comma 2 6 8 3 6" xfId="15956" xr:uid="{00000000-0005-0000-0000-0000513E0000}"/>
    <cellStyle name="Comma 2 6 8 4" xfId="15957" xr:uid="{00000000-0005-0000-0000-0000523E0000}"/>
    <cellStyle name="Comma 2 6 8 4 2" xfId="15958" xr:uid="{00000000-0005-0000-0000-0000533E0000}"/>
    <cellStyle name="Comma 2 6 8 4 2 2" xfId="15959" xr:uid="{00000000-0005-0000-0000-0000543E0000}"/>
    <cellStyle name="Comma 2 6 8 4 3" xfId="15960" xr:uid="{00000000-0005-0000-0000-0000553E0000}"/>
    <cellStyle name="Comma 2 6 8 4 4" xfId="15961" xr:uid="{00000000-0005-0000-0000-0000563E0000}"/>
    <cellStyle name="Comma 2 6 8 4 5" xfId="15962" xr:uid="{00000000-0005-0000-0000-0000573E0000}"/>
    <cellStyle name="Comma 2 6 8 5" xfId="15963" xr:uid="{00000000-0005-0000-0000-0000583E0000}"/>
    <cellStyle name="Comma 2 6 8 5 2" xfId="15964" xr:uid="{00000000-0005-0000-0000-0000593E0000}"/>
    <cellStyle name="Comma 2 6 8 5 3" xfId="15965" xr:uid="{00000000-0005-0000-0000-00005A3E0000}"/>
    <cellStyle name="Comma 2 6 8 5 4" xfId="15966" xr:uid="{00000000-0005-0000-0000-00005B3E0000}"/>
    <cellStyle name="Comma 2 6 8 6" xfId="15967" xr:uid="{00000000-0005-0000-0000-00005C3E0000}"/>
    <cellStyle name="Comma 2 6 8 6 2" xfId="15968" xr:uid="{00000000-0005-0000-0000-00005D3E0000}"/>
    <cellStyle name="Comma 2 6 8 7" xfId="15969" xr:uid="{00000000-0005-0000-0000-00005E3E0000}"/>
    <cellStyle name="Comma 2 6 8 8" xfId="15970" xr:uid="{00000000-0005-0000-0000-00005F3E0000}"/>
    <cellStyle name="Comma 2 6 8 9" xfId="15971" xr:uid="{00000000-0005-0000-0000-0000603E0000}"/>
    <cellStyle name="Comma 2 6 9" xfId="15972" xr:uid="{00000000-0005-0000-0000-0000613E0000}"/>
    <cellStyle name="Comma 2 6 9 10" xfId="15973" xr:uid="{00000000-0005-0000-0000-0000623E0000}"/>
    <cellStyle name="Comma 2 6 9 2" xfId="15974" xr:uid="{00000000-0005-0000-0000-0000633E0000}"/>
    <cellStyle name="Comma 2 6 9 2 2" xfId="15975" xr:uid="{00000000-0005-0000-0000-0000643E0000}"/>
    <cellStyle name="Comma 2 6 9 2 2 2" xfId="15976" xr:uid="{00000000-0005-0000-0000-0000653E0000}"/>
    <cellStyle name="Comma 2 6 9 2 2 3" xfId="15977" xr:uid="{00000000-0005-0000-0000-0000663E0000}"/>
    <cellStyle name="Comma 2 6 9 2 3" xfId="15978" xr:uid="{00000000-0005-0000-0000-0000673E0000}"/>
    <cellStyle name="Comma 2 6 9 2 4" xfId="15979" xr:uid="{00000000-0005-0000-0000-0000683E0000}"/>
    <cellStyle name="Comma 2 6 9 2 5" xfId="15980" xr:uid="{00000000-0005-0000-0000-0000693E0000}"/>
    <cellStyle name="Comma 2 6 9 2 6" xfId="15981" xr:uid="{00000000-0005-0000-0000-00006A3E0000}"/>
    <cellStyle name="Comma 2 6 9 3" xfId="15982" xr:uid="{00000000-0005-0000-0000-00006B3E0000}"/>
    <cellStyle name="Comma 2 6 9 3 2" xfId="15983" xr:uid="{00000000-0005-0000-0000-00006C3E0000}"/>
    <cellStyle name="Comma 2 6 9 3 2 2" xfId="15984" xr:uid="{00000000-0005-0000-0000-00006D3E0000}"/>
    <cellStyle name="Comma 2 6 9 3 2 3" xfId="15985" xr:uid="{00000000-0005-0000-0000-00006E3E0000}"/>
    <cellStyle name="Comma 2 6 9 3 3" xfId="15986" xr:uid="{00000000-0005-0000-0000-00006F3E0000}"/>
    <cellStyle name="Comma 2 6 9 3 4" xfId="15987" xr:uid="{00000000-0005-0000-0000-0000703E0000}"/>
    <cellStyle name="Comma 2 6 9 3 5" xfId="15988" xr:uid="{00000000-0005-0000-0000-0000713E0000}"/>
    <cellStyle name="Comma 2 6 9 3 6" xfId="15989" xr:uid="{00000000-0005-0000-0000-0000723E0000}"/>
    <cellStyle name="Comma 2 6 9 4" xfId="15990" xr:uid="{00000000-0005-0000-0000-0000733E0000}"/>
    <cellStyle name="Comma 2 6 9 4 2" xfId="15991" xr:uid="{00000000-0005-0000-0000-0000743E0000}"/>
    <cellStyle name="Comma 2 6 9 4 2 2" xfId="15992" xr:uid="{00000000-0005-0000-0000-0000753E0000}"/>
    <cellStyle name="Comma 2 6 9 4 3" xfId="15993" xr:uid="{00000000-0005-0000-0000-0000763E0000}"/>
    <cellStyle name="Comma 2 6 9 4 4" xfId="15994" xr:uid="{00000000-0005-0000-0000-0000773E0000}"/>
    <cellStyle name="Comma 2 6 9 4 5" xfId="15995" xr:uid="{00000000-0005-0000-0000-0000783E0000}"/>
    <cellStyle name="Comma 2 6 9 5" xfId="15996" xr:uid="{00000000-0005-0000-0000-0000793E0000}"/>
    <cellStyle name="Comma 2 6 9 5 2" xfId="15997" xr:uid="{00000000-0005-0000-0000-00007A3E0000}"/>
    <cellStyle name="Comma 2 6 9 5 3" xfId="15998" xr:uid="{00000000-0005-0000-0000-00007B3E0000}"/>
    <cellStyle name="Comma 2 6 9 5 4" xfId="15999" xr:uid="{00000000-0005-0000-0000-00007C3E0000}"/>
    <cellStyle name="Comma 2 6 9 6" xfId="16000" xr:uid="{00000000-0005-0000-0000-00007D3E0000}"/>
    <cellStyle name="Comma 2 6 9 6 2" xfId="16001" xr:uid="{00000000-0005-0000-0000-00007E3E0000}"/>
    <cellStyle name="Comma 2 6 9 7" xfId="16002" xr:uid="{00000000-0005-0000-0000-00007F3E0000}"/>
    <cellStyle name="Comma 2 6 9 8" xfId="16003" xr:uid="{00000000-0005-0000-0000-0000803E0000}"/>
    <cellStyle name="Comma 2 6 9 9" xfId="16004" xr:uid="{00000000-0005-0000-0000-0000813E0000}"/>
    <cellStyle name="Comma 2 60" xfId="16005" xr:uid="{00000000-0005-0000-0000-0000823E0000}"/>
    <cellStyle name="Comma 2 61" xfId="16006" xr:uid="{00000000-0005-0000-0000-0000833E0000}"/>
    <cellStyle name="Comma 2 62" xfId="16007" xr:uid="{00000000-0005-0000-0000-0000843E0000}"/>
    <cellStyle name="Comma 2 63" xfId="16008" xr:uid="{00000000-0005-0000-0000-0000853E0000}"/>
    <cellStyle name="Comma 2 64" xfId="16009" xr:uid="{00000000-0005-0000-0000-0000863E0000}"/>
    <cellStyle name="Comma 2 7" xfId="16010" xr:uid="{00000000-0005-0000-0000-0000873E0000}"/>
    <cellStyle name="Comma 2 7 10" xfId="16011" xr:uid="{00000000-0005-0000-0000-0000883E0000}"/>
    <cellStyle name="Comma 2 7 10 10" xfId="16012" xr:uid="{00000000-0005-0000-0000-0000893E0000}"/>
    <cellStyle name="Comma 2 7 10 2" xfId="16013" xr:uid="{00000000-0005-0000-0000-00008A3E0000}"/>
    <cellStyle name="Comma 2 7 10 2 2" xfId="16014" xr:uid="{00000000-0005-0000-0000-00008B3E0000}"/>
    <cellStyle name="Comma 2 7 10 2 2 2" xfId="16015" xr:uid="{00000000-0005-0000-0000-00008C3E0000}"/>
    <cellStyle name="Comma 2 7 10 2 2 3" xfId="16016" xr:uid="{00000000-0005-0000-0000-00008D3E0000}"/>
    <cellStyle name="Comma 2 7 10 2 3" xfId="16017" xr:uid="{00000000-0005-0000-0000-00008E3E0000}"/>
    <cellStyle name="Comma 2 7 10 2 4" xfId="16018" xr:uid="{00000000-0005-0000-0000-00008F3E0000}"/>
    <cellStyle name="Comma 2 7 10 2 5" xfId="16019" xr:uid="{00000000-0005-0000-0000-0000903E0000}"/>
    <cellStyle name="Comma 2 7 10 2 6" xfId="16020" xr:uid="{00000000-0005-0000-0000-0000913E0000}"/>
    <cellStyle name="Comma 2 7 10 3" xfId="16021" xr:uid="{00000000-0005-0000-0000-0000923E0000}"/>
    <cellStyle name="Comma 2 7 10 3 2" xfId="16022" xr:uid="{00000000-0005-0000-0000-0000933E0000}"/>
    <cellStyle name="Comma 2 7 10 3 2 2" xfId="16023" xr:uid="{00000000-0005-0000-0000-0000943E0000}"/>
    <cellStyle name="Comma 2 7 10 3 2 3" xfId="16024" xr:uid="{00000000-0005-0000-0000-0000953E0000}"/>
    <cellStyle name="Comma 2 7 10 3 3" xfId="16025" xr:uid="{00000000-0005-0000-0000-0000963E0000}"/>
    <cellStyle name="Comma 2 7 10 3 4" xfId="16026" xr:uid="{00000000-0005-0000-0000-0000973E0000}"/>
    <cellStyle name="Comma 2 7 10 3 5" xfId="16027" xr:uid="{00000000-0005-0000-0000-0000983E0000}"/>
    <cellStyle name="Comma 2 7 10 3 6" xfId="16028" xr:uid="{00000000-0005-0000-0000-0000993E0000}"/>
    <cellStyle name="Comma 2 7 10 4" xfId="16029" xr:uid="{00000000-0005-0000-0000-00009A3E0000}"/>
    <cellStyle name="Comma 2 7 10 4 2" xfId="16030" xr:uid="{00000000-0005-0000-0000-00009B3E0000}"/>
    <cellStyle name="Comma 2 7 10 4 2 2" xfId="16031" xr:uid="{00000000-0005-0000-0000-00009C3E0000}"/>
    <cellStyle name="Comma 2 7 10 4 3" xfId="16032" xr:uid="{00000000-0005-0000-0000-00009D3E0000}"/>
    <cellStyle name="Comma 2 7 10 4 4" xfId="16033" xr:uid="{00000000-0005-0000-0000-00009E3E0000}"/>
    <cellStyle name="Comma 2 7 10 4 5" xfId="16034" xr:uid="{00000000-0005-0000-0000-00009F3E0000}"/>
    <cellStyle name="Comma 2 7 10 5" xfId="16035" xr:uid="{00000000-0005-0000-0000-0000A03E0000}"/>
    <cellStyle name="Comma 2 7 10 5 2" xfId="16036" xr:uid="{00000000-0005-0000-0000-0000A13E0000}"/>
    <cellStyle name="Comma 2 7 10 5 3" xfId="16037" xr:uid="{00000000-0005-0000-0000-0000A23E0000}"/>
    <cellStyle name="Comma 2 7 10 5 4" xfId="16038" xr:uid="{00000000-0005-0000-0000-0000A33E0000}"/>
    <cellStyle name="Comma 2 7 10 6" xfId="16039" xr:uid="{00000000-0005-0000-0000-0000A43E0000}"/>
    <cellStyle name="Comma 2 7 10 6 2" xfId="16040" xr:uid="{00000000-0005-0000-0000-0000A53E0000}"/>
    <cellStyle name="Comma 2 7 10 7" xfId="16041" xr:uid="{00000000-0005-0000-0000-0000A63E0000}"/>
    <cellStyle name="Comma 2 7 10 8" xfId="16042" xr:uid="{00000000-0005-0000-0000-0000A73E0000}"/>
    <cellStyle name="Comma 2 7 10 9" xfId="16043" xr:uid="{00000000-0005-0000-0000-0000A83E0000}"/>
    <cellStyle name="Comma 2 7 11" xfId="16044" xr:uid="{00000000-0005-0000-0000-0000A93E0000}"/>
    <cellStyle name="Comma 2 7 11 10" xfId="16045" xr:uid="{00000000-0005-0000-0000-0000AA3E0000}"/>
    <cellStyle name="Comma 2 7 11 2" xfId="16046" xr:uid="{00000000-0005-0000-0000-0000AB3E0000}"/>
    <cellStyle name="Comma 2 7 11 2 2" xfId="16047" xr:uid="{00000000-0005-0000-0000-0000AC3E0000}"/>
    <cellStyle name="Comma 2 7 11 2 2 2" xfId="16048" xr:uid="{00000000-0005-0000-0000-0000AD3E0000}"/>
    <cellStyle name="Comma 2 7 11 2 2 3" xfId="16049" xr:uid="{00000000-0005-0000-0000-0000AE3E0000}"/>
    <cellStyle name="Comma 2 7 11 2 3" xfId="16050" xr:uid="{00000000-0005-0000-0000-0000AF3E0000}"/>
    <cellStyle name="Comma 2 7 11 2 4" xfId="16051" xr:uid="{00000000-0005-0000-0000-0000B03E0000}"/>
    <cellStyle name="Comma 2 7 11 2 5" xfId="16052" xr:uid="{00000000-0005-0000-0000-0000B13E0000}"/>
    <cellStyle name="Comma 2 7 11 2 6" xfId="16053" xr:uid="{00000000-0005-0000-0000-0000B23E0000}"/>
    <cellStyle name="Comma 2 7 11 3" xfId="16054" xr:uid="{00000000-0005-0000-0000-0000B33E0000}"/>
    <cellStyle name="Comma 2 7 11 3 2" xfId="16055" xr:uid="{00000000-0005-0000-0000-0000B43E0000}"/>
    <cellStyle name="Comma 2 7 11 3 2 2" xfId="16056" xr:uid="{00000000-0005-0000-0000-0000B53E0000}"/>
    <cellStyle name="Comma 2 7 11 3 2 3" xfId="16057" xr:uid="{00000000-0005-0000-0000-0000B63E0000}"/>
    <cellStyle name="Comma 2 7 11 3 3" xfId="16058" xr:uid="{00000000-0005-0000-0000-0000B73E0000}"/>
    <cellStyle name="Comma 2 7 11 3 4" xfId="16059" xr:uid="{00000000-0005-0000-0000-0000B83E0000}"/>
    <cellStyle name="Comma 2 7 11 3 5" xfId="16060" xr:uid="{00000000-0005-0000-0000-0000B93E0000}"/>
    <cellStyle name="Comma 2 7 11 3 6" xfId="16061" xr:uid="{00000000-0005-0000-0000-0000BA3E0000}"/>
    <cellStyle name="Comma 2 7 11 4" xfId="16062" xr:uid="{00000000-0005-0000-0000-0000BB3E0000}"/>
    <cellStyle name="Comma 2 7 11 4 2" xfId="16063" xr:uid="{00000000-0005-0000-0000-0000BC3E0000}"/>
    <cellStyle name="Comma 2 7 11 4 2 2" xfId="16064" xr:uid="{00000000-0005-0000-0000-0000BD3E0000}"/>
    <cellStyle name="Comma 2 7 11 4 3" xfId="16065" xr:uid="{00000000-0005-0000-0000-0000BE3E0000}"/>
    <cellStyle name="Comma 2 7 11 4 4" xfId="16066" xr:uid="{00000000-0005-0000-0000-0000BF3E0000}"/>
    <cellStyle name="Comma 2 7 11 4 5" xfId="16067" xr:uid="{00000000-0005-0000-0000-0000C03E0000}"/>
    <cellStyle name="Comma 2 7 11 5" xfId="16068" xr:uid="{00000000-0005-0000-0000-0000C13E0000}"/>
    <cellStyle name="Comma 2 7 11 5 2" xfId="16069" xr:uid="{00000000-0005-0000-0000-0000C23E0000}"/>
    <cellStyle name="Comma 2 7 11 5 3" xfId="16070" xr:uid="{00000000-0005-0000-0000-0000C33E0000}"/>
    <cellStyle name="Comma 2 7 11 5 4" xfId="16071" xr:uid="{00000000-0005-0000-0000-0000C43E0000}"/>
    <cellStyle name="Comma 2 7 11 6" xfId="16072" xr:uid="{00000000-0005-0000-0000-0000C53E0000}"/>
    <cellStyle name="Comma 2 7 11 6 2" xfId="16073" xr:uid="{00000000-0005-0000-0000-0000C63E0000}"/>
    <cellStyle name="Comma 2 7 11 7" xfId="16074" xr:uid="{00000000-0005-0000-0000-0000C73E0000}"/>
    <cellStyle name="Comma 2 7 11 8" xfId="16075" xr:uid="{00000000-0005-0000-0000-0000C83E0000}"/>
    <cellStyle name="Comma 2 7 11 9" xfId="16076" xr:uid="{00000000-0005-0000-0000-0000C93E0000}"/>
    <cellStyle name="Comma 2 7 12" xfId="16077" xr:uid="{00000000-0005-0000-0000-0000CA3E0000}"/>
    <cellStyle name="Comma 2 7 12 10" xfId="16078" xr:uid="{00000000-0005-0000-0000-0000CB3E0000}"/>
    <cellStyle name="Comma 2 7 12 2" xfId="16079" xr:uid="{00000000-0005-0000-0000-0000CC3E0000}"/>
    <cellStyle name="Comma 2 7 12 2 2" xfId="16080" xr:uid="{00000000-0005-0000-0000-0000CD3E0000}"/>
    <cellStyle name="Comma 2 7 12 2 2 2" xfId="16081" xr:uid="{00000000-0005-0000-0000-0000CE3E0000}"/>
    <cellStyle name="Comma 2 7 12 2 2 3" xfId="16082" xr:uid="{00000000-0005-0000-0000-0000CF3E0000}"/>
    <cellStyle name="Comma 2 7 12 2 3" xfId="16083" xr:uid="{00000000-0005-0000-0000-0000D03E0000}"/>
    <cellStyle name="Comma 2 7 12 2 4" xfId="16084" xr:uid="{00000000-0005-0000-0000-0000D13E0000}"/>
    <cellStyle name="Comma 2 7 12 2 5" xfId="16085" xr:uid="{00000000-0005-0000-0000-0000D23E0000}"/>
    <cellStyle name="Comma 2 7 12 2 6" xfId="16086" xr:uid="{00000000-0005-0000-0000-0000D33E0000}"/>
    <cellStyle name="Comma 2 7 12 3" xfId="16087" xr:uid="{00000000-0005-0000-0000-0000D43E0000}"/>
    <cellStyle name="Comma 2 7 12 3 2" xfId="16088" xr:uid="{00000000-0005-0000-0000-0000D53E0000}"/>
    <cellStyle name="Comma 2 7 12 3 2 2" xfId="16089" xr:uid="{00000000-0005-0000-0000-0000D63E0000}"/>
    <cellStyle name="Comma 2 7 12 3 2 3" xfId="16090" xr:uid="{00000000-0005-0000-0000-0000D73E0000}"/>
    <cellStyle name="Comma 2 7 12 3 3" xfId="16091" xr:uid="{00000000-0005-0000-0000-0000D83E0000}"/>
    <cellStyle name="Comma 2 7 12 3 4" xfId="16092" xr:uid="{00000000-0005-0000-0000-0000D93E0000}"/>
    <cellStyle name="Comma 2 7 12 3 5" xfId="16093" xr:uid="{00000000-0005-0000-0000-0000DA3E0000}"/>
    <cellStyle name="Comma 2 7 12 3 6" xfId="16094" xr:uid="{00000000-0005-0000-0000-0000DB3E0000}"/>
    <cellStyle name="Comma 2 7 12 4" xfId="16095" xr:uid="{00000000-0005-0000-0000-0000DC3E0000}"/>
    <cellStyle name="Comma 2 7 12 4 2" xfId="16096" xr:uid="{00000000-0005-0000-0000-0000DD3E0000}"/>
    <cellStyle name="Comma 2 7 12 4 2 2" xfId="16097" xr:uid="{00000000-0005-0000-0000-0000DE3E0000}"/>
    <cellStyle name="Comma 2 7 12 4 3" xfId="16098" xr:uid="{00000000-0005-0000-0000-0000DF3E0000}"/>
    <cellStyle name="Comma 2 7 12 4 4" xfId="16099" xr:uid="{00000000-0005-0000-0000-0000E03E0000}"/>
    <cellStyle name="Comma 2 7 12 4 5" xfId="16100" xr:uid="{00000000-0005-0000-0000-0000E13E0000}"/>
    <cellStyle name="Comma 2 7 12 5" xfId="16101" xr:uid="{00000000-0005-0000-0000-0000E23E0000}"/>
    <cellStyle name="Comma 2 7 12 5 2" xfId="16102" xr:uid="{00000000-0005-0000-0000-0000E33E0000}"/>
    <cellStyle name="Comma 2 7 12 5 3" xfId="16103" xr:uid="{00000000-0005-0000-0000-0000E43E0000}"/>
    <cellStyle name="Comma 2 7 12 5 4" xfId="16104" xr:uid="{00000000-0005-0000-0000-0000E53E0000}"/>
    <cellStyle name="Comma 2 7 12 6" xfId="16105" xr:uid="{00000000-0005-0000-0000-0000E63E0000}"/>
    <cellStyle name="Comma 2 7 12 6 2" xfId="16106" xr:uid="{00000000-0005-0000-0000-0000E73E0000}"/>
    <cellStyle name="Comma 2 7 12 7" xfId="16107" xr:uid="{00000000-0005-0000-0000-0000E83E0000}"/>
    <cellStyle name="Comma 2 7 12 8" xfId="16108" xr:uid="{00000000-0005-0000-0000-0000E93E0000}"/>
    <cellStyle name="Comma 2 7 12 9" xfId="16109" xr:uid="{00000000-0005-0000-0000-0000EA3E0000}"/>
    <cellStyle name="Comma 2 7 13" xfId="16110" xr:uid="{00000000-0005-0000-0000-0000EB3E0000}"/>
    <cellStyle name="Comma 2 7 13 2" xfId="16111" xr:uid="{00000000-0005-0000-0000-0000EC3E0000}"/>
    <cellStyle name="Comma 2 7 13 2 2" xfId="16112" xr:uid="{00000000-0005-0000-0000-0000ED3E0000}"/>
    <cellStyle name="Comma 2 7 13 2 2 2" xfId="16113" xr:uid="{00000000-0005-0000-0000-0000EE3E0000}"/>
    <cellStyle name="Comma 2 7 13 2 2 3" xfId="16114" xr:uid="{00000000-0005-0000-0000-0000EF3E0000}"/>
    <cellStyle name="Comma 2 7 13 2 3" xfId="16115" xr:uid="{00000000-0005-0000-0000-0000F03E0000}"/>
    <cellStyle name="Comma 2 7 13 2 4" xfId="16116" xr:uid="{00000000-0005-0000-0000-0000F13E0000}"/>
    <cellStyle name="Comma 2 7 13 2 5" xfId="16117" xr:uid="{00000000-0005-0000-0000-0000F23E0000}"/>
    <cellStyle name="Comma 2 7 13 2 6" xfId="16118" xr:uid="{00000000-0005-0000-0000-0000F33E0000}"/>
    <cellStyle name="Comma 2 7 13 3" xfId="16119" xr:uid="{00000000-0005-0000-0000-0000F43E0000}"/>
    <cellStyle name="Comma 2 7 13 3 2" xfId="16120" xr:uid="{00000000-0005-0000-0000-0000F53E0000}"/>
    <cellStyle name="Comma 2 7 13 3 2 2" xfId="16121" xr:uid="{00000000-0005-0000-0000-0000F63E0000}"/>
    <cellStyle name="Comma 2 7 13 3 3" xfId="16122" xr:uid="{00000000-0005-0000-0000-0000F73E0000}"/>
    <cellStyle name="Comma 2 7 13 3 4" xfId="16123" xr:uid="{00000000-0005-0000-0000-0000F83E0000}"/>
    <cellStyle name="Comma 2 7 13 3 5" xfId="16124" xr:uid="{00000000-0005-0000-0000-0000F93E0000}"/>
    <cellStyle name="Comma 2 7 13 4" xfId="16125" xr:uid="{00000000-0005-0000-0000-0000FA3E0000}"/>
    <cellStyle name="Comma 2 7 13 4 2" xfId="16126" xr:uid="{00000000-0005-0000-0000-0000FB3E0000}"/>
    <cellStyle name="Comma 2 7 13 4 3" xfId="16127" xr:uid="{00000000-0005-0000-0000-0000FC3E0000}"/>
    <cellStyle name="Comma 2 7 13 4 4" xfId="16128" xr:uid="{00000000-0005-0000-0000-0000FD3E0000}"/>
    <cellStyle name="Comma 2 7 13 5" xfId="16129" xr:uid="{00000000-0005-0000-0000-0000FE3E0000}"/>
    <cellStyle name="Comma 2 7 13 5 2" xfId="16130" xr:uid="{00000000-0005-0000-0000-0000FF3E0000}"/>
    <cellStyle name="Comma 2 7 13 6" xfId="16131" xr:uid="{00000000-0005-0000-0000-0000003F0000}"/>
    <cellStyle name="Comma 2 7 13 7" xfId="16132" xr:uid="{00000000-0005-0000-0000-0000013F0000}"/>
    <cellStyle name="Comma 2 7 13 8" xfId="16133" xr:uid="{00000000-0005-0000-0000-0000023F0000}"/>
    <cellStyle name="Comma 2 7 13 9" xfId="16134" xr:uid="{00000000-0005-0000-0000-0000033F0000}"/>
    <cellStyle name="Comma 2 7 14" xfId="16135" xr:uid="{00000000-0005-0000-0000-0000043F0000}"/>
    <cellStyle name="Comma 2 7 14 2" xfId="16136" xr:uid="{00000000-0005-0000-0000-0000053F0000}"/>
    <cellStyle name="Comma 2 7 14 2 2" xfId="16137" xr:uid="{00000000-0005-0000-0000-0000063F0000}"/>
    <cellStyle name="Comma 2 7 14 2 2 2" xfId="16138" xr:uid="{00000000-0005-0000-0000-0000073F0000}"/>
    <cellStyle name="Comma 2 7 14 2 2 3" xfId="16139" xr:uid="{00000000-0005-0000-0000-0000083F0000}"/>
    <cellStyle name="Comma 2 7 14 2 3" xfId="16140" xr:uid="{00000000-0005-0000-0000-0000093F0000}"/>
    <cellStyle name="Comma 2 7 14 2 4" xfId="16141" xr:uid="{00000000-0005-0000-0000-00000A3F0000}"/>
    <cellStyle name="Comma 2 7 14 2 5" xfId="16142" xr:uid="{00000000-0005-0000-0000-00000B3F0000}"/>
    <cellStyle name="Comma 2 7 14 2 6" xfId="16143" xr:uid="{00000000-0005-0000-0000-00000C3F0000}"/>
    <cellStyle name="Comma 2 7 14 3" xfId="16144" xr:uid="{00000000-0005-0000-0000-00000D3F0000}"/>
    <cellStyle name="Comma 2 7 14 3 2" xfId="16145" xr:uid="{00000000-0005-0000-0000-00000E3F0000}"/>
    <cellStyle name="Comma 2 7 14 3 2 2" xfId="16146" xr:uid="{00000000-0005-0000-0000-00000F3F0000}"/>
    <cellStyle name="Comma 2 7 14 3 3" xfId="16147" xr:uid="{00000000-0005-0000-0000-0000103F0000}"/>
    <cellStyle name="Comma 2 7 14 3 4" xfId="16148" xr:uid="{00000000-0005-0000-0000-0000113F0000}"/>
    <cellStyle name="Comma 2 7 14 3 5" xfId="16149" xr:uid="{00000000-0005-0000-0000-0000123F0000}"/>
    <cellStyle name="Comma 2 7 14 4" xfId="16150" xr:uid="{00000000-0005-0000-0000-0000133F0000}"/>
    <cellStyle name="Comma 2 7 14 4 2" xfId="16151" xr:uid="{00000000-0005-0000-0000-0000143F0000}"/>
    <cellStyle name="Comma 2 7 14 4 3" xfId="16152" xr:uid="{00000000-0005-0000-0000-0000153F0000}"/>
    <cellStyle name="Comma 2 7 14 4 4" xfId="16153" xr:uid="{00000000-0005-0000-0000-0000163F0000}"/>
    <cellStyle name="Comma 2 7 14 5" xfId="16154" xr:uid="{00000000-0005-0000-0000-0000173F0000}"/>
    <cellStyle name="Comma 2 7 14 5 2" xfId="16155" xr:uid="{00000000-0005-0000-0000-0000183F0000}"/>
    <cellStyle name="Comma 2 7 14 6" xfId="16156" xr:uid="{00000000-0005-0000-0000-0000193F0000}"/>
    <cellStyle name="Comma 2 7 14 7" xfId="16157" xr:uid="{00000000-0005-0000-0000-00001A3F0000}"/>
    <cellStyle name="Comma 2 7 14 8" xfId="16158" xr:uid="{00000000-0005-0000-0000-00001B3F0000}"/>
    <cellStyle name="Comma 2 7 14 9" xfId="16159" xr:uid="{00000000-0005-0000-0000-00001C3F0000}"/>
    <cellStyle name="Comma 2 7 15" xfId="16160" xr:uid="{00000000-0005-0000-0000-00001D3F0000}"/>
    <cellStyle name="Comma 2 7 15 2" xfId="16161" xr:uid="{00000000-0005-0000-0000-00001E3F0000}"/>
    <cellStyle name="Comma 2 7 15 2 2" xfId="16162" xr:uid="{00000000-0005-0000-0000-00001F3F0000}"/>
    <cellStyle name="Comma 2 7 15 2 3" xfId="16163" xr:uid="{00000000-0005-0000-0000-0000203F0000}"/>
    <cellStyle name="Comma 2 7 15 3" xfId="16164" xr:uid="{00000000-0005-0000-0000-0000213F0000}"/>
    <cellStyle name="Comma 2 7 15 4" xfId="16165" xr:uid="{00000000-0005-0000-0000-0000223F0000}"/>
    <cellStyle name="Comma 2 7 15 5" xfId="16166" xr:uid="{00000000-0005-0000-0000-0000233F0000}"/>
    <cellStyle name="Comma 2 7 15 6" xfId="16167" xr:uid="{00000000-0005-0000-0000-0000243F0000}"/>
    <cellStyle name="Comma 2 7 16" xfId="16168" xr:uid="{00000000-0005-0000-0000-0000253F0000}"/>
    <cellStyle name="Comma 2 7 16 2" xfId="16169" xr:uid="{00000000-0005-0000-0000-0000263F0000}"/>
    <cellStyle name="Comma 2 7 16 2 2" xfId="16170" xr:uid="{00000000-0005-0000-0000-0000273F0000}"/>
    <cellStyle name="Comma 2 7 16 3" xfId="16171" xr:uid="{00000000-0005-0000-0000-0000283F0000}"/>
    <cellStyle name="Comma 2 7 16 4" xfId="16172" xr:uid="{00000000-0005-0000-0000-0000293F0000}"/>
    <cellStyle name="Comma 2 7 16 5" xfId="16173" xr:uid="{00000000-0005-0000-0000-00002A3F0000}"/>
    <cellStyle name="Comma 2 7 17" xfId="16174" xr:uid="{00000000-0005-0000-0000-00002B3F0000}"/>
    <cellStyle name="Comma 2 7 17 2" xfId="16175" xr:uid="{00000000-0005-0000-0000-00002C3F0000}"/>
    <cellStyle name="Comma 2 7 17 2 2" xfId="16176" xr:uid="{00000000-0005-0000-0000-00002D3F0000}"/>
    <cellStyle name="Comma 2 7 17 3" xfId="16177" xr:uid="{00000000-0005-0000-0000-00002E3F0000}"/>
    <cellStyle name="Comma 2 7 17 4" xfId="16178" xr:uid="{00000000-0005-0000-0000-00002F3F0000}"/>
    <cellStyle name="Comma 2 7 17 5" xfId="16179" xr:uid="{00000000-0005-0000-0000-0000303F0000}"/>
    <cellStyle name="Comma 2 7 18" xfId="16180" xr:uid="{00000000-0005-0000-0000-0000313F0000}"/>
    <cellStyle name="Comma 2 7 18 2" xfId="16181" xr:uid="{00000000-0005-0000-0000-0000323F0000}"/>
    <cellStyle name="Comma 2 7 19" xfId="16182" xr:uid="{00000000-0005-0000-0000-0000333F0000}"/>
    <cellStyle name="Comma 2 7 2" xfId="16183" xr:uid="{00000000-0005-0000-0000-0000343F0000}"/>
    <cellStyle name="Comma 2 7 2 10" xfId="16184" xr:uid="{00000000-0005-0000-0000-0000353F0000}"/>
    <cellStyle name="Comma 2 7 2 11" xfId="16185" xr:uid="{00000000-0005-0000-0000-0000363F0000}"/>
    <cellStyle name="Comma 2 7 2 2" xfId="16186" xr:uid="{00000000-0005-0000-0000-0000373F0000}"/>
    <cellStyle name="Comma 2 7 2 2 2" xfId="16187" xr:uid="{00000000-0005-0000-0000-0000383F0000}"/>
    <cellStyle name="Comma 2 7 2 2 2 2" xfId="16188" xr:uid="{00000000-0005-0000-0000-0000393F0000}"/>
    <cellStyle name="Comma 2 7 2 2 2 2 2" xfId="16189" xr:uid="{00000000-0005-0000-0000-00003A3F0000}"/>
    <cellStyle name="Comma 2 7 2 2 2 2 3" xfId="16190" xr:uid="{00000000-0005-0000-0000-00003B3F0000}"/>
    <cellStyle name="Comma 2 7 2 2 2 3" xfId="16191" xr:uid="{00000000-0005-0000-0000-00003C3F0000}"/>
    <cellStyle name="Comma 2 7 2 2 2 4" xfId="16192" xr:uid="{00000000-0005-0000-0000-00003D3F0000}"/>
    <cellStyle name="Comma 2 7 2 2 2 5" xfId="16193" xr:uid="{00000000-0005-0000-0000-00003E3F0000}"/>
    <cellStyle name="Comma 2 7 2 2 2 6" xfId="16194" xr:uid="{00000000-0005-0000-0000-00003F3F0000}"/>
    <cellStyle name="Comma 2 7 2 2 3" xfId="16195" xr:uid="{00000000-0005-0000-0000-0000403F0000}"/>
    <cellStyle name="Comma 2 7 2 2 3 2" xfId="16196" xr:uid="{00000000-0005-0000-0000-0000413F0000}"/>
    <cellStyle name="Comma 2 7 2 2 3 2 2" xfId="16197" xr:uid="{00000000-0005-0000-0000-0000423F0000}"/>
    <cellStyle name="Comma 2 7 2 2 3 3" xfId="16198" xr:uid="{00000000-0005-0000-0000-0000433F0000}"/>
    <cellStyle name="Comma 2 7 2 2 3 4" xfId="16199" xr:uid="{00000000-0005-0000-0000-0000443F0000}"/>
    <cellStyle name="Comma 2 7 2 2 3 5" xfId="16200" xr:uid="{00000000-0005-0000-0000-0000453F0000}"/>
    <cellStyle name="Comma 2 7 2 2 4" xfId="16201" xr:uid="{00000000-0005-0000-0000-0000463F0000}"/>
    <cellStyle name="Comma 2 7 2 2 4 2" xfId="16202" xr:uid="{00000000-0005-0000-0000-0000473F0000}"/>
    <cellStyle name="Comma 2 7 2 2 4 3" xfId="16203" xr:uid="{00000000-0005-0000-0000-0000483F0000}"/>
    <cellStyle name="Comma 2 7 2 2 4 4" xfId="16204" xr:uid="{00000000-0005-0000-0000-0000493F0000}"/>
    <cellStyle name="Comma 2 7 2 2 5" xfId="16205" xr:uid="{00000000-0005-0000-0000-00004A3F0000}"/>
    <cellStyle name="Comma 2 7 2 2 5 2" xfId="16206" xr:uid="{00000000-0005-0000-0000-00004B3F0000}"/>
    <cellStyle name="Comma 2 7 2 2 6" xfId="16207" xr:uid="{00000000-0005-0000-0000-00004C3F0000}"/>
    <cellStyle name="Comma 2 7 2 2 7" xfId="16208" xr:uid="{00000000-0005-0000-0000-00004D3F0000}"/>
    <cellStyle name="Comma 2 7 2 2 8" xfId="16209" xr:uid="{00000000-0005-0000-0000-00004E3F0000}"/>
    <cellStyle name="Comma 2 7 2 2 9" xfId="16210" xr:uid="{00000000-0005-0000-0000-00004F3F0000}"/>
    <cellStyle name="Comma 2 7 2 3" xfId="16211" xr:uid="{00000000-0005-0000-0000-0000503F0000}"/>
    <cellStyle name="Comma 2 7 2 3 2" xfId="16212" xr:uid="{00000000-0005-0000-0000-0000513F0000}"/>
    <cellStyle name="Comma 2 7 2 3 2 2" xfId="16213" xr:uid="{00000000-0005-0000-0000-0000523F0000}"/>
    <cellStyle name="Comma 2 7 2 3 2 2 2" xfId="16214" xr:uid="{00000000-0005-0000-0000-0000533F0000}"/>
    <cellStyle name="Comma 2 7 2 3 2 2 3" xfId="16215" xr:uid="{00000000-0005-0000-0000-0000543F0000}"/>
    <cellStyle name="Comma 2 7 2 3 2 3" xfId="16216" xr:uid="{00000000-0005-0000-0000-0000553F0000}"/>
    <cellStyle name="Comma 2 7 2 3 2 4" xfId="16217" xr:uid="{00000000-0005-0000-0000-0000563F0000}"/>
    <cellStyle name="Comma 2 7 2 3 2 5" xfId="16218" xr:uid="{00000000-0005-0000-0000-0000573F0000}"/>
    <cellStyle name="Comma 2 7 2 3 2 6" xfId="16219" xr:uid="{00000000-0005-0000-0000-0000583F0000}"/>
    <cellStyle name="Comma 2 7 2 3 3" xfId="16220" xr:uid="{00000000-0005-0000-0000-0000593F0000}"/>
    <cellStyle name="Comma 2 7 2 3 3 2" xfId="16221" xr:uid="{00000000-0005-0000-0000-00005A3F0000}"/>
    <cellStyle name="Comma 2 7 2 3 3 2 2" xfId="16222" xr:uid="{00000000-0005-0000-0000-00005B3F0000}"/>
    <cellStyle name="Comma 2 7 2 3 3 3" xfId="16223" xr:uid="{00000000-0005-0000-0000-00005C3F0000}"/>
    <cellStyle name="Comma 2 7 2 3 3 4" xfId="16224" xr:uid="{00000000-0005-0000-0000-00005D3F0000}"/>
    <cellStyle name="Comma 2 7 2 3 3 5" xfId="16225" xr:uid="{00000000-0005-0000-0000-00005E3F0000}"/>
    <cellStyle name="Comma 2 7 2 3 4" xfId="16226" xr:uid="{00000000-0005-0000-0000-00005F3F0000}"/>
    <cellStyle name="Comma 2 7 2 3 4 2" xfId="16227" xr:uid="{00000000-0005-0000-0000-0000603F0000}"/>
    <cellStyle name="Comma 2 7 2 3 4 3" xfId="16228" xr:uid="{00000000-0005-0000-0000-0000613F0000}"/>
    <cellStyle name="Comma 2 7 2 3 4 4" xfId="16229" xr:uid="{00000000-0005-0000-0000-0000623F0000}"/>
    <cellStyle name="Comma 2 7 2 3 5" xfId="16230" xr:uid="{00000000-0005-0000-0000-0000633F0000}"/>
    <cellStyle name="Comma 2 7 2 3 5 2" xfId="16231" xr:uid="{00000000-0005-0000-0000-0000643F0000}"/>
    <cellStyle name="Comma 2 7 2 3 6" xfId="16232" xr:uid="{00000000-0005-0000-0000-0000653F0000}"/>
    <cellStyle name="Comma 2 7 2 3 7" xfId="16233" xr:uid="{00000000-0005-0000-0000-0000663F0000}"/>
    <cellStyle name="Comma 2 7 2 3 8" xfId="16234" xr:uid="{00000000-0005-0000-0000-0000673F0000}"/>
    <cellStyle name="Comma 2 7 2 3 9" xfId="16235" xr:uid="{00000000-0005-0000-0000-0000683F0000}"/>
    <cellStyle name="Comma 2 7 2 4" xfId="16236" xr:uid="{00000000-0005-0000-0000-0000693F0000}"/>
    <cellStyle name="Comma 2 7 2 4 2" xfId="16237" xr:uid="{00000000-0005-0000-0000-00006A3F0000}"/>
    <cellStyle name="Comma 2 7 2 4 2 2" xfId="16238" xr:uid="{00000000-0005-0000-0000-00006B3F0000}"/>
    <cellStyle name="Comma 2 7 2 4 2 3" xfId="16239" xr:uid="{00000000-0005-0000-0000-00006C3F0000}"/>
    <cellStyle name="Comma 2 7 2 4 3" xfId="16240" xr:uid="{00000000-0005-0000-0000-00006D3F0000}"/>
    <cellStyle name="Comma 2 7 2 4 4" xfId="16241" xr:uid="{00000000-0005-0000-0000-00006E3F0000}"/>
    <cellStyle name="Comma 2 7 2 4 5" xfId="16242" xr:uid="{00000000-0005-0000-0000-00006F3F0000}"/>
    <cellStyle name="Comma 2 7 2 4 6" xfId="16243" xr:uid="{00000000-0005-0000-0000-0000703F0000}"/>
    <cellStyle name="Comma 2 7 2 5" xfId="16244" xr:uid="{00000000-0005-0000-0000-0000713F0000}"/>
    <cellStyle name="Comma 2 7 2 5 2" xfId="16245" xr:uid="{00000000-0005-0000-0000-0000723F0000}"/>
    <cellStyle name="Comma 2 7 2 5 2 2" xfId="16246" xr:uid="{00000000-0005-0000-0000-0000733F0000}"/>
    <cellStyle name="Comma 2 7 2 5 3" xfId="16247" xr:uid="{00000000-0005-0000-0000-0000743F0000}"/>
    <cellStyle name="Comma 2 7 2 5 4" xfId="16248" xr:uid="{00000000-0005-0000-0000-0000753F0000}"/>
    <cellStyle name="Comma 2 7 2 5 5" xfId="16249" xr:uid="{00000000-0005-0000-0000-0000763F0000}"/>
    <cellStyle name="Comma 2 7 2 6" xfId="16250" xr:uid="{00000000-0005-0000-0000-0000773F0000}"/>
    <cellStyle name="Comma 2 7 2 6 2" xfId="16251" xr:uid="{00000000-0005-0000-0000-0000783F0000}"/>
    <cellStyle name="Comma 2 7 2 6 3" xfId="16252" xr:uid="{00000000-0005-0000-0000-0000793F0000}"/>
    <cellStyle name="Comma 2 7 2 6 4" xfId="16253" xr:uid="{00000000-0005-0000-0000-00007A3F0000}"/>
    <cellStyle name="Comma 2 7 2 7" xfId="16254" xr:uid="{00000000-0005-0000-0000-00007B3F0000}"/>
    <cellStyle name="Comma 2 7 2 7 2" xfId="16255" xr:uid="{00000000-0005-0000-0000-00007C3F0000}"/>
    <cellStyle name="Comma 2 7 2 8" xfId="16256" xr:uid="{00000000-0005-0000-0000-00007D3F0000}"/>
    <cellStyle name="Comma 2 7 2 9" xfId="16257" xr:uid="{00000000-0005-0000-0000-00007E3F0000}"/>
    <cellStyle name="Comma 2 7 20" xfId="16258" xr:uid="{00000000-0005-0000-0000-00007F3F0000}"/>
    <cellStyle name="Comma 2 7 21" xfId="16259" xr:uid="{00000000-0005-0000-0000-0000803F0000}"/>
    <cellStyle name="Comma 2 7 22" xfId="16260" xr:uid="{00000000-0005-0000-0000-0000813F0000}"/>
    <cellStyle name="Comma 2 7 3" xfId="16261" xr:uid="{00000000-0005-0000-0000-0000823F0000}"/>
    <cellStyle name="Comma 2 7 3 10" xfId="16262" xr:uid="{00000000-0005-0000-0000-0000833F0000}"/>
    <cellStyle name="Comma 2 7 3 11" xfId="16263" xr:uid="{00000000-0005-0000-0000-0000843F0000}"/>
    <cellStyle name="Comma 2 7 3 2" xfId="16264" xr:uid="{00000000-0005-0000-0000-0000853F0000}"/>
    <cellStyle name="Comma 2 7 3 2 2" xfId="16265" xr:uid="{00000000-0005-0000-0000-0000863F0000}"/>
    <cellStyle name="Comma 2 7 3 2 2 2" xfId="16266" xr:uid="{00000000-0005-0000-0000-0000873F0000}"/>
    <cellStyle name="Comma 2 7 3 2 2 2 2" xfId="16267" xr:uid="{00000000-0005-0000-0000-0000883F0000}"/>
    <cellStyle name="Comma 2 7 3 2 2 2 3" xfId="16268" xr:uid="{00000000-0005-0000-0000-0000893F0000}"/>
    <cellStyle name="Comma 2 7 3 2 2 3" xfId="16269" xr:uid="{00000000-0005-0000-0000-00008A3F0000}"/>
    <cellStyle name="Comma 2 7 3 2 2 4" xfId="16270" xr:uid="{00000000-0005-0000-0000-00008B3F0000}"/>
    <cellStyle name="Comma 2 7 3 2 2 5" xfId="16271" xr:uid="{00000000-0005-0000-0000-00008C3F0000}"/>
    <cellStyle name="Comma 2 7 3 2 2 6" xfId="16272" xr:uid="{00000000-0005-0000-0000-00008D3F0000}"/>
    <cellStyle name="Comma 2 7 3 2 3" xfId="16273" xr:uid="{00000000-0005-0000-0000-00008E3F0000}"/>
    <cellStyle name="Comma 2 7 3 2 3 2" xfId="16274" xr:uid="{00000000-0005-0000-0000-00008F3F0000}"/>
    <cellStyle name="Comma 2 7 3 2 3 2 2" xfId="16275" xr:uid="{00000000-0005-0000-0000-0000903F0000}"/>
    <cellStyle name="Comma 2 7 3 2 3 3" xfId="16276" xr:uid="{00000000-0005-0000-0000-0000913F0000}"/>
    <cellStyle name="Comma 2 7 3 2 3 4" xfId="16277" xr:uid="{00000000-0005-0000-0000-0000923F0000}"/>
    <cellStyle name="Comma 2 7 3 2 3 5" xfId="16278" xr:uid="{00000000-0005-0000-0000-0000933F0000}"/>
    <cellStyle name="Comma 2 7 3 2 4" xfId="16279" xr:uid="{00000000-0005-0000-0000-0000943F0000}"/>
    <cellStyle name="Comma 2 7 3 2 4 2" xfId="16280" xr:uid="{00000000-0005-0000-0000-0000953F0000}"/>
    <cellStyle name="Comma 2 7 3 2 4 3" xfId="16281" xr:uid="{00000000-0005-0000-0000-0000963F0000}"/>
    <cellStyle name="Comma 2 7 3 2 4 4" xfId="16282" xr:uid="{00000000-0005-0000-0000-0000973F0000}"/>
    <cellStyle name="Comma 2 7 3 2 5" xfId="16283" xr:uid="{00000000-0005-0000-0000-0000983F0000}"/>
    <cellStyle name="Comma 2 7 3 2 5 2" xfId="16284" xr:uid="{00000000-0005-0000-0000-0000993F0000}"/>
    <cellStyle name="Comma 2 7 3 2 6" xfId="16285" xr:uid="{00000000-0005-0000-0000-00009A3F0000}"/>
    <cellStyle name="Comma 2 7 3 2 7" xfId="16286" xr:uid="{00000000-0005-0000-0000-00009B3F0000}"/>
    <cellStyle name="Comma 2 7 3 2 8" xfId="16287" xr:uid="{00000000-0005-0000-0000-00009C3F0000}"/>
    <cellStyle name="Comma 2 7 3 2 9" xfId="16288" xr:uid="{00000000-0005-0000-0000-00009D3F0000}"/>
    <cellStyle name="Comma 2 7 3 3" xfId="16289" xr:uid="{00000000-0005-0000-0000-00009E3F0000}"/>
    <cellStyle name="Comma 2 7 3 3 2" xfId="16290" xr:uid="{00000000-0005-0000-0000-00009F3F0000}"/>
    <cellStyle name="Comma 2 7 3 3 2 2" xfId="16291" xr:uid="{00000000-0005-0000-0000-0000A03F0000}"/>
    <cellStyle name="Comma 2 7 3 3 2 2 2" xfId="16292" xr:uid="{00000000-0005-0000-0000-0000A13F0000}"/>
    <cellStyle name="Comma 2 7 3 3 2 2 3" xfId="16293" xr:uid="{00000000-0005-0000-0000-0000A23F0000}"/>
    <cellStyle name="Comma 2 7 3 3 2 3" xfId="16294" xr:uid="{00000000-0005-0000-0000-0000A33F0000}"/>
    <cellStyle name="Comma 2 7 3 3 2 4" xfId="16295" xr:uid="{00000000-0005-0000-0000-0000A43F0000}"/>
    <cellStyle name="Comma 2 7 3 3 2 5" xfId="16296" xr:uid="{00000000-0005-0000-0000-0000A53F0000}"/>
    <cellStyle name="Comma 2 7 3 3 2 6" xfId="16297" xr:uid="{00000000-0005-0000-0000-0000A63F0000}"/>
    <cellStyle name="Comma 2 7 3 3 3" xfId="16298" xr:uid="{00000000-0005-0000-0000-0000A73F0000}"/>
    <cellStyle name="Comma 2 7 3 3 3 2" xfId="16299" xr:uid="{00000000-0005-0000-0000-0000A83F0000}"/>
    <cellStyle name="Comma 2 7 3 3 3 2 2" xfId="16300" xr:uid="{00000000-0005-0000-0000-0000A93F0000}"/>
    <cellStyle name="Comma 2 7 3 3 3 3" xfId="16301" xr:uid="{00000000-0005-0000-0000-0000AA3F0000}"/>
    <cellStyle name="Comma 2 7 3 3 3 4" xfId="16302" xr:uid="{00000000-0005-0000-0000-0000AB3F0000}"/>
    <cellStyle name="Comma 2 7 3 3 3 5" xfId="16303" xr:uid="{00000000-0005-0000-0000-0000AC3F0000}"/>
    <cellStyle name="Comma 2 7 3 3 4" xfId="16304" xr:uid="{00000000-0005-0000-0000-0000AD3F0000}"/>
    <cellStyle name="Comma 2 7 3 3 4 2" xfId="16305" xr:uid="{00000000-0005-0000-0000-0000AE3F0000}"/>
    <cellStyle name="Comma 2 7 3 3 4 3" xfId="16306" xr:uid="{00000000-0005-0000-0000-0000AF3F0000}"/>
    <cellStyle name="Comma 2 7 3 3 4 4" xfId="16307" xr:uid="{00000000-0005-0000-0000-0000B03F0000}"/>
    <cellStyle name="Comma 2 7 3 3 5" xfId="16308" xr:uid="{00000000-0005-0000-0000-0000B13F0000}"/>
    <cellStyle name="Comma 2 7 3 3 5 2" xfId="16309" xr:uid="{00000000-0005-0000-0000-0000B23F0000}"/>
    <cellStyle name="Comma 2 7 3 3 6" xfId="16310" xr:uid="{00000000-0005-0000-0000-0000B33F0000}"/>
    <cellStyle name="Comma 2 7 3 3 7" xfId="16311" xr:uid="{00000000-0005-0000-0000-0000B43F0000}"/>
    <cellStyle name="Comma 2 7 3 3 8" xfId="16312" xr:uid="{00000000-0005-0000-0000-0000B53F0000}"/>
    <cellStyle name="Comma 2 7 3 3 9" xfId="16313" xr:uid="{00000000-0005-0000-0000-0000B63F0000}"/>
    <cellStyle name="Comma 2 7 3 4" xfId="16314" xr:uid="{00000000-0005-0000-0000-0000B73F0000}"/>
    <cellStyle name="Comma 2 7 3 4 2" xfId="16315" xr:uid="{00000000-0005-0000-0000-0000B83F0000}"/>
    <cellStyle name="Comma 2 7 3 4 2 2" xfId="16316" xr:uid="{00000000-0005-0000-0000-0000B93F0000}"/>
    <cellStyle name="Comma 2 7 3 4 2 3" xfId="16317" xr:uid="{00000000-0005-0000-0000-0000BA3F0000}"/>
    <cellStyle name="Comma 2 7 3 4 3" xfId="16318" xr:uid="{00000000-0005-0000-0000-0000BB3F0000}"/>
    <cellStyle name="Comma 2 7 3 4 4" xfId="16319" xr:uid="{00000000-0005-0000-0000-0000BC3F0000}"/>
    <cellStyle name="Comma 2 7 3 4 5" xfId="16320" xr:uid="{00000000-0005-0000-0000-0000BD3F0000}"/>
    <cellStyle name="Comma 2 7 3 4 6" xfId="16321" xr:uid="{00000000-0005-0000-0000-0000BE3F0000}"/>
    <cellStyle name="Comma 2 7 3 5" xfId="16322" xr:uid="{00000000-0005-0000-0000-0000BF3F0000}"/>
    <cellStyle name="Comma 2 7 3 5 2" xfId="16323" xr:uid="{00000000-0005-0000-0000-0000C03F0000}"/>
    <cellStyle name="Comma 2 7 3 5 2 2" xfId="16324" xr:uid="{00000000-0005-0000-0000-0000C13F0000}"/>
    <cellStyle name="Comma 2 7 3 5 3" xfId="16325" xr:uid="{00000000-0005-0000-0000-0000C23F0000}"/>
    <cellStyle name="Comma 2 7 3 5 4" xfId="16326" xr:uid="{00000000-0005-0000-0000-0000C33F0000}"/>
    <cellStyle name="Comma 2 7 3 5 5" xfId="16327" xr:uid="{00000000-0005-0000-0000-0000C43F0000}"/>
    <cellStyle name="Comma 2 7 3 6" xfId="16328" xr:uid="{00000000-0005-0000-0000-0000C53F0000}"/>
    <cellStyle name="Comma 2 7 3 6 2" xfId="16329" xr:uid="{00000000-0005-0000-0000-0000C63F0000}"/>
    <cellStyle name="Comma 2 7 3 6 3" xfId="16330" xr:uid="{00000000-0005-0000-0000-0000C73F0000}"/>
    <cellStyle name="Comma 2 7 3 6 4" xfId="16331" xr:uid="{00000000-0005-0000-0000-0000C83F0000}"/>
    <cellStyle name="Comma 2 7 3 7" xfId="16332" xr:uid="{00000000-0005-0000-0000-0000C93F0000}"/>
    <cellStyle name="Comma 2 7 3 7 2" xfId="16333" xr:uid="{00000000-0005-0000-0000-0000CA3F0000}"/>
    <cellStyle name="Comma 2 7 3 8" xfId="16334" xr:uid="{00000000-0005-0000-0000-0000CB3F0000}"/>
    <cellStyle name="Comma 2 7 3 9" xfId="16335" xr:uid="{00000000-0005-0000-0000-0000CC3F0000}"/>
    <cellStyle name="Comma 2 7 4" xfId="16336" xr:uid="{00000000-0005-0000-0000-0000CD3F0000}"/>
    <cellStyle name="Comma 2 7 4 10" xfId="16337" xr:uid="{00000000-0005-0000-0000-0000CE3F0000}"/>
    <cellStyle name="Comma 2 7 4 11" xfId="16338" xr:uid="{00000000-0005-0000-0000-0000CF3F0000}"/>
    <cellStyle name="Comma 2 7 4 2" xfId="16339" xr:uid="{00000000-0005-0000-0000-0000D03F0000}"/>
    <cellStyle name="Comma 2 7 4 2 2" xfId="16340" xr:uid="{00000000-0005-0000-0000-0000D13F0000}"/>
    <cellStyle name="Comma 2 7 4 2 2 2" xfId="16341" xr:uid="{00000000-0005-0000-0000-0000D23F0000}"/>
    <cellStyle name="Comma 2 7 4 2 2 2 2" xfId="16342" xr:uid="{00000000-0005-0000-0000-0000D33F0000}"/>
    <cellStyle name="Comma 2 7 4 2 2 2 3" xfId="16343" xr:uid="{00000000-0005-0000-0000-0000D43F0000}"/>
    <cellStyle name="Comma 2 7 4 2 2 3" xfId="16344" xr:uid="{00000000-0005-0000-0000-0000D53F0000}"/>
    <cellStyle name="Comma 2 7 4 2 2 4" xfId="16345" xr:uid="{00000000-0005-0000-0000-0000D63F0000}"/>
    <cellStyle name="Comma 2 7 4 2 2 5" xfId="16346" xr:uid="{00000000-0005-0000-0000-0000D73F0000}"/>
    <cellStyle name="Comma 2 7 4 2 2 6" xfId="16347" xr:uid="{00000000-0005-0000-0000-0000D83F0000}"/>
    <cellStyle name="Comma 2 7 4 2 3" xfId="16348" xr:uid="{00000000-0005-0000-0000-0000D93F0000}"/>
    <cellStyle name="Comma 2 7 4 2 3 2" xfId="16349" xr:uid="{00000000-0005-0000-0000-0000DA3F0000}"/>
    <cellStyle name="Comma 2 7 4 2 3 2 2" xfId="16350" xr:uid="{00000000-0005-0000-0000-0000DB3F0000}"/>
    <cellStyle name="Comma 2 7 4 2 3 3" xfId="16351" xr:uid="{00000000-0005-0000-0000-0000DC3F0000}"/>
    <cellStyle name="Comma 2 7 4 2 3 4" xfId="16352" xr:uid="{00000000-0005-0000-0000-0000DD3F0000}"/>
    <cellStyle name="Comma 2 7 4 2 3 5" xfId="16353" xr:uid="{00000000-0005-0000-0000-0000DE3F0000}"/>
    <cellStyle name="Comma 2 7 4 2 4" xfId="16354" xr:uid="{00000000-0005-0000-0000-0000DF3F0000}"/>
    <cellStyle name="Comma 2 7 4 2 4 2" xfId="16355" xr:uid="{00000000-0005-0000-0000-0000E03F0000}"/>
    <cellStyle name="Comma 2 7 4 2 4 3" xfId="16356" xr:uid="{00000000-0005-0000-0000-0000E13F0000}"/>
    <cellStyle name="Comma 2 7 4 2 4 4" xfId="16357" xr:uid="{00000000-0005-0000-0000-0000E23F0000}"/>
    <cellStyle name="Comma 2 7 4 2 5" xfId="16358" xr:uid="{00000000-0005-0000-0000-0000E33F0000}"/>
    <cellStyle name="Comma 2 7 4 2 5 2" xfId="16359" xr:uid="{00000000-0005-0000-0000-0000E43F0000}"/>
    <cellStyle name="Comma 2 7 4 2 6" xfId="16360" xr:uid="{00000000-0005-0000-0000-0000E53F0000}"/>
    <cellStyle name="Comma 2 7 4 2 7" xfId="16361" xr:uid="{00000000-0005-0000-0000-0000E63F0000}"/>
    <cellStyle name="Comma 2 7 4 2 8" xfId="16362" xr:uid="{00000000-0005-0000-0000-0000E73F0000}"/>
    <cellStyle name="Comma 2 7 4 2 9" xfId="16363" xr:uid="{00000000-0005-0000-0000-0000E83F0000}"/>
    <cellStyle name="Comma 2 7 4 3" xfId="16364" xr:uid="{00000000-0005-0000-0000-0000E93F0000}"/>
    <cellStyle name="Comma 2 7 4 3 2" xfId="16365" xr:uid="{00000000-0005-0000-0000-0000EA3F0000}"/>
    <cellStyle name="Comma 2 7 4 3 2 2" xfId="16366" xr:uid="{00000000-0005-0000-0000-0000EB3F0000}"/>
    <cellStyle name="Comma 2 7 4 3 2 2 2" xfId="16367" xr:uid="{00000000-0005-0000-0000-0000EC3F0000}"/>
    <cellStyle name="Comma 2 7 4 3 2 2 3" xfId="16368" xr:uid="{00000000-0005-0000-0000-0000ED3F0000}"/>
    <cellStyle name="Comma 2 7 4 3 2 3" xfId="16369" xr:uid="{00000000-0005-0000-0000-0000EE3F0000}"/>
    <cellStyle name="Comma 2 7 4 3 2 4" xfId="16370" xr:uid="{00000000-0005-0000-0000-0000EF3F0000}"/>
    <cellStyle name="Comma 2 7 4 3 2 5" xfId="16371" xr:uid="{00000000-0005-0000-0000-0000F03F0000}"/>
    <cellStyle name="Comma 2 7 4 3 2 6" xfId="16372" xr:uid="{00000000-0005-0000-0000-0000F13F0000}"/>
    <cellStyle name="Comma 2 7 4 3 3" xfId="16373" xr:uid="{00000000-0005-0000-0000-0000F23F0000}"/>
    <cellStyle name="Comma 2 7 4 3 3 2" xfId="16374" xr:uid="{00000000-0005-0000-0000-0000F33F0000}"/>
    <cellStyle name="Comma 2 7 4 3 3 2 2" xfId="16375" xr:uid="{00000000-0005-0000-0000-0000F43F0000}"/>
    <cellStyle name="Comma 2 7 4 3 3 3" xfId="16376" xr:uid="{00000000-0005-0000-0000-0000F53F0000}"/>
    <cellStyle name="Comma 2 7 4 3 3 4" xfId="16377" xr:uid="{00000000-0005-0000-0000-0000F63F0000}"/>
    <cellStyle name="Comma 2 7 4 3 3 5" xfId="16378" xr:uid="{00000000-0005-0000-0000-0000F73F0000}"/>
    <cellStyle name="Comma 2 7 4 3 4" xfId="16379" xr:uid="{00000000-0005-0000-0000-0000F83F0000}"/>
    <cellStyle name="Comma 2 7 4 3 4 2" xfId="16380" xr:uid="{00000000-0005-0000-0000-0000F93F0000}"/>
    <cellStyle name="Comma 2 7 4 3 4 3" xfId="16381" xr:uid="{00000000-0005-0000-0000-0000FA3F0000}"/>
    <cellStyle name="Comma 2 7 4 3 4 4" xfId="16382" xr:uid="{00000000-0005-0000-0000-0000FB3F0000}"/>
    <cellStyle name="Comma 2 7 4 3 5" xfId="16383" xr:uid="{00000000-0005-0000-0000-0000FC3F0000}"/>
    <cellStyle name="Comma 2 7 4 3 5 2" xfId="16384" xr:uid="{00000000-0005-0000-0000-0000FD3F0000}"/>
    <cellStyle name="Comma 2 7 4 3 6" xfId="16385" xr:uid="{00000000-0005-0000-0000-0000FE3F0000}"/>
    <cellStyle name="Comma 2 7 4 3 7" xfId="16386" xr:uid="{00000000-0005-0000-0000-0000FF3F0000}"/>
    <cellStyle name="Comma 2 7 4 3 8" xfId="16387" xr:uid="{00000000-0005-0000-0000-000000400000}"/>
    <cellStyle name="Comma 2 7 4 3 9" xfId="16388" xr:uid="{00000000-0005-0000-0000-000001400000}"/>
    <cellStyle name="Comma 2 7 4 4" xfId="16389" xr:uid="{00000000-0005-0000-0000-000002400000}"/>
    <cellStyle name="Comma 2 7 4 4 2" xfId="16390" xr:uid="{00000000-0005-0000-0000-000003400000}"/>
    <cellStyle name="Comma 2 7 4 4 2 2" xfId="16391" xr:uid="{00000000-0005-0000-0000-000004400000}"/>
    <cellStyle name="Comma 2 7 4 4 2 3" xfId="16392" xr:uid="{00000000-0005-0000-0000-000005400000}"/>
    <cellStyle name="Comma 2 7 4 4 3" xfId="16393" xr:uid="{00000000-0005-0000-0000-000006400000}"/>
    <cellStyle name="Comma 2 7 4 4 4" xfId="16394" xr:uid="{00000000-0005-0000-0000-000007400000}"/>
    <cellStyle name="Comma 2 7 4 4 5" xfId="16395" xr:uid="{00000000-0005-0000-0000-000008400000}"/>
    <cellStyle name="Comma 2 7 4 4 6" xfId="16396" xr:uid="{00000000-0005-0000-0000-000009400000}"/>
    <cellStyle name="Comma 2 7 4 5" xfId="16397" xr:uid="{00000000-0005-0000-0000-00000A400000}"/>
    <cellStyle name="Comma 2 7 4 5 2" xfId="16398" xr:uid="{00000000-0005-0000-0000-00000B400000}"/>
    <cellStyle name="Comma 2 7 4 5 2 2" xfId="16399" xr:uid="{00000000-0005-0000-0000-00000C400000}"/>
    <cellStyle name="Comma 2 7 4 5 3" xfId="16400" xr:uid="{00000000-0005-0000-0000-00000D400000}"/>
    <cellStyle name="Comma 2 7 4 5 4" xfId="16401" xr:uid="{00000000-0005-0000-0000-00000E400000}"/>
    <cellStyle name="Comma 2 7 4 5 5" xfId="16402" xr:uid="{00000000-0005-0000-0000-00000F400000}"/>
    <cellStyle name="Comma 2 7 4 6" xfId="16403" xr:uid="{00000000-0005-0000-0000-000010400000}"/>
    <cellStyle name="Comma 2 7 4 6 2" xfId="16404" xr:uid="{00000000-0005-0000-0000-000011400000}"/>
    <cellStyle name="Comma 2 7 4 6 3" xfId="16405" xr:uid="{00000000-0005-0000-0000-000012400000}"/>
    <cellStyle name="Comma 2 7 4 6 4" xfId="16406" xr:uid="{00000000-0005-0000-0000-000013400000}"/>
    <cellStyle name="Comma 2 7 4 7" xfId="16407" xr:uid="{00000000-0005-0000-0000-000014400000}"/>
    <cellStyle name="Comma 2 7 4 7 2" xfId="16408" xr:uid="{00000000-0005-0000-0000-000015400000}"/>
    <cellStyle name="Comma 2 7 4 8" xfId="16409" xr:uid="{00000000-0005-0000-0000-000016400000}"/>
    <cellStyle name="Comma 2 7 4 9" xfId="16410" xr:uid="{00000000-0005-0000-0000-000017400000}"/>
    <cellStyle name="Comma 2 7 5" xfId="16411" xr:uid="{00000000-0005-0000-0000-000018400000}"/>
    <cellStyle name="Comma 2 7 5 10" xfId="16412" xr:uid="{00000000-0005-0000-0000-000019400000}"/>
    <cellStyle name="Comma 2 7 5 11" xfId="16413" xr:uid="{00000000-0005-0000-0000-00001A400000}"/>
    <cellStyle name="Comma 2 7 5 2" xfId="16414" xr:uid="{00000000-0005-0000-0000-00001B400000}"/>
    <cellStyle name="Comma 2 7 5 2 2" xfId="16415" xr:uid="{00000000-0005-0000-0000-00001C400000}"/>
    <cellStyle name="Comma 2 7 5 2 2 2" xfId="16416" xr:uid="{00000000-0005-0000-0000-00001D400000}"/>
    <cellStyle name="Comma 2 7 5 2 2 2 2" xfId="16417" xr:uid="{00000000-0005-0000-0000-00001E400000}"/>
    <cellStyle name="Comma 2 7 5 2 2 2 3" xfId="16418" xr:uid="{00000000-0005-0000-0000-00001F400000}"/>
    <cellStyle name="Comma 2 7 5 2 2 3" xfId="16419" xr:uid="{00000000-0005-0000-0000-000020400000}"/>
    <cellStyle name="Comma 2 7 5 2 2 4" xfId="16420" xr:uid="{00000000-0005-0000-0000-000021400000}"/>
    <cellStyle name="Comma 2 7 5 2 2 5" xfId="16421" xr:uid="{00000000-0005-0000-0000-000022400000}"/>
    <cellStyle name="Comma 2 7 5 2 2 6" xfId="16422" xr:uid="{00000000-0005-0000-0000-000023400000}"/>
    <cellStyle name="Comma 2 7 5 2 3" xfId="16423" xr:uid="{00000000-0005-0000-0000-000024400000}"/>
    <cellStyle name="Comma 2 7 5 2 3 2" xfId="16424" xr:uid="{00000000-0005-0000-0000-000025400000}"/>
    <cellStyle name="Comma 2 7 5 2 3 2 2" xfId="16425" xr:uid="{00000000-0005-0000-0000-000026400000}"/>
    <cellStyle name="Comma 2 7 5 2 3 3" xfId="16426" xr:uid="{00000000-0005-0000-0000-000027400000}"/>
    <cellStyle name="Comma 2 7 5 2 3 4" xfId="16427" xr:uid="{00000000-0005-0000-0000-000028400000}"/>
    <cellStyle name="Comma 2 7 5 2 3 5" xfId="16428" xr:uid="{00000000-0005-0000-0000-000029400000}"/>
    <cellStyle name="Comma 2 7 5 2 4" xfId="16429" xr:uid="{00000000-0005-0000-0000-00002A400000}"/>
    <cellStyle name="Comma 2 7 5 2 4 2" xfId="16430" xr:uid="{00000000-0005-0000-0000-00002B400000}"/>
    <cellStyle name="Comma 2 7 5 2 4 3" xfId="16431" xr:uid="{00000000-0005-0000-0000-00002C400000}"/>
    <cellStyle name="Comma 2 7 5 2 4 4" xfId="16432" xr:uid="{00000000-0005-0000-0000-00002D400000}"/>
    <cellStyle name="Comma 2 7 5 2 5" xfId="16433" xr:uid="{00000000-0005-0000-0000-00002E400000}"/>
    <cellStyle name="Comma 2 7 5 2 5 2" xfId="16434" xr:uid="{00000000-0005-0000-0000-00002F400000}"/>
    <cellStyle name="Comma 2 7 5 2 6" xfId="16435" xr:uid="{00000000-0005-0000-0000-000030400000}"/>
    <cellStyle name="Comma 2 7 5 2 7" xfId="16436" xr:uid="{00000000-0005-0000-0000-000031400000}"/>
    <cellStyle name="Comma 2 7 5 2 8" xfId="16437" xr:uid="{00000000-0005-0000-0000-000032400000}"/>
    <cellStyle name="Comma 2 7 5 2 9" xfId="16438" xr:uid="{00000000-0005-0000-0000-000033400000}"/>
    <cellStyle name="Comma 2 7 5 3" xfId="16439" xr:uid="{00000000-0005-0000-0000-000034400000}"/>
    <cellStyle name="Comma 2 7 5 3 2" xfId="16440" xr:uid="{00000000-0005-0000-0000-000035400000}"/>
    <cellStyle name="Comma 2 7 5 3 2 2" xfId="16441" xr:uid="{00000000-0005-0000-0000-000036400000}"/>
    <cellStyle name="Comma 2 7 5 3 2 2 2" xfId="16442" xr:uid="{00000000-0005-0000-0000-000037400000}"/>
    <cellStyle name="Comma 2 7 5 3 2 2 3" xfId="16443" xr:uid="{00000000-0005-0000-0000-000038400000}"/>
    <cellStyle name="Comma 2 7 5 3 2 3" xfId="16444" xr:uid="{00000000-0005-0000-0000-000039400000}"/>
    <cellStyle name="Comma 2 7 5 3 2 4" xfId="16445" xr:uid="{00000000-0005-0000-0000-00003A400000}"/>
    <cellStyle name="Comma 2 7 5 3 2 5" xfId="16446" xr:uid="{00000000-0005-0000-0000-00003B400000}"/>
    <cellStyle name="Comma 2 7 5 3 2 6" xfId="16447" xr:uid="{00000000-0005-0000-0000-00003C400000}"/>
    <cellStyle name="Comma 2 7 5 3 3" xfId="16448" xr:uid="{00000000-0005-0000-0000-00003D400000}"/>
    <cellStyle name="Comma 2 7 5 3 3 2" xfId="16449" xr:uid="{00000000-0005-0000-0000-00003E400000}"/>
    <cellStyle name="Comma 2 7 5 3 3 2 2" xfId="16450" xr:uid="{00000000-0005-0000-0000-00003F400000}"/>
    <cellStyle name="Comma 2 7 5 3 3 3" xfId="16451" xr:uid="{00000000-0005-0000-0000-000040400000}"/>
    <cellStyle name="Comma 2 7 5 3 3 4" xfId="16452" xr:uid="{00000000-0005-0000-0000-000041400000}"/>
    <cellStyle name="Comma 2 7 5 3 3 5" xfId="16453" xr:uid="{00000000-0005-0000-0000-000042400000}"/>
    <cellStyle name="Comma 2 7 5 3 4" xfId="16454" xr:uid="{00000000-0005-0000-0000-000043400000}"/>
    <cellStyle name="Comma 2 7 5 3 4 2" xfId="16455" xr:uid="{00000000-0005-0000-0000-000044400000}"/>
    <cellStyle name="Comma 2 7 5 3 4 3" xfId="16456" xr:uid="{00000000-0005-0000-0000-000045400000}"/>
    <cellStyle name="Comma 2 7 5 3 4 4" xfId="16457" xr:uid="{00000000-0005-0000-0000-000046400000}"/>
    <cellStyle name="Comma 2 7 5 3 5" xfId="16458" xr:uid="{00000000-0005-0000-0000-000047400000}"/>
    <cellStyle name="Comma 2 7 5 3 5 2" xfId="16459" xr:uid="{00000000-0005-0000-0000-000048400000}"/>
    <cellStyle name="Comma 2 7 5 3 6" xfId="16460" xr:uid="{00000000-0005-0000-0000-000049400000}"/>
    <cellStyle name="Comma 2 7 5 3 7" xfId="16461" xr:uid="{00000000-0005-0000-0000-00004A400000}"/>
    <cellStyle name="Comma 2 7 5 3 8" xfId="16462" xr:uid="{00000000-0005-0000-0000-00004B400000}"/>
    <cellStyle name="Comma 2 7 5 3 9" xfId="16463" xr:uid="{00000000-0005-0000-0000-00004C400000}"/>
    <cellStyle name="Comma 2 7 5 4" xfId="16464" xr:uid="{00000000-0005-0000-0000-00004D400000}"/>
    <cellStyle name="Comma 2 7 5 4 2" xfId="16465" xr:uid="{00000000-0005-0000-0000-00004E400000}"/>
    <cellStyle name="Comma 2 7 5 4 2 2" xfId="16466" xr:uid="{00000000-0005-0000-0000-00004F400000}"/>
    <cellStyle name="Comma 2 7 5 4 2 3" xfId="16467" xr:uid="{00000000-0005-0000-0000-000050400000}"/>
    <cellStyle name="Comma 2 7 5 4 3" xfId="16468" xr:uid="{00000000-0005-0000-0000-000051400000}"/>
    <cellStyle name="Comma 2 7 5 4 4" xfId="16469" xr:uid="{00000000-0005-0000-0000-000052400000}"/>
    <cellStyle name="Comma 2 7 5 4 5" xfId="16470" xr:uid="{00000000-0005-0000-0000-000053400000}"/>
    <cellStyle name="Comma 2 7 5 4 6" xfId="16471" xr:uid="{00000000-0005-0000-0000-000054400000}"/>
    <cellStyle name="Comma 2 7 5 5" xfId="16472" xr:uid="{00000000-0005-0000-0000-000055400000}"/>
    <cellStyle name="Comma 2 7 5 5 2" xfId="16473" xr:uid="{00000000-0005-0000-0000-000056400000}"/>
    <cellStyle name="Comma 2 7 5 5 2 2" xfId="16474" xr:uid="{00000000-0005-0000-0000-000057400000}"/>
    <cellStyle name="Comma 2 7 5 5 3" xfId="16475" xr:uid="{00000000-0005-0000-0000-000058400000}"/>
    <cellStyle name="Comma 2 7 5 5 4" xfId="16476" xr:uid="{00000000-0005-0000-0000-000059400000}"/>
    <cellStyle name="Comma 2 7 5 5 5" xfId="16477" xr:uid="{00000000-0005-0000-0000-00005A400000}"/>
    <cellStyle name="Comma 2 7 5 6" xfId="16478" xr:uid="{00000000-0005-0000-0000-00005B400000}"/>
    <cellStyle name="Comma 2 7 5 6 2" xfId="16479" xr:uid="{00000000-0005-0000-0000-00005C400000}"/>
    <cellStyle name="Comma 2 7 5 6 3" xfId="16480" xr:uid="{00000000-0005-0000-0000-00005D400000}"/>
    <cellStyle name="Comma 2 7 5 6 4" xfId="16481" xr:uid="{00000000-0005-0000-0000-00005E400000}"/>
    <cellStyle name="Comma 2 7 5 7" xfId="16482" xr:uid="{00000000-0005-0000-0000-00005F400000}"/>
    <cellStyle name="Comma 2 7 5 7 2" xfId="16483" xr:uid="{00000000-0005-0000-0000-000060400000}"/>
    <cellStyle name="Comma 2 7 5 8" xfId="16484" xr:uid="{00000000-0005-0000-0000-000061400000}"/>
    <cellStyle name="Comma 2 7 5 9" xfId="16485" xr:uid="{00000000-0005-0000-0000-000062400000}"/>
    <cellStyle name="Comma 2 7 6" xfId="16486" xr:uid="{00000000-0005-0000-0000-000063400000}"/>
    <cellStyle name="Comma 2 7 6 10" xfId="16487" xr:uid="{00000000-0005-0000-0000-000064400000}"/>
    <cellStyle name="Comma 2 7 6 11" xfId="16488" xr:uid="{00000000-0005-0000-0000-000065400000}"/>
    <cellStyle name="Comma 2 7 6 2" xfId="16489" xr:uid="{00000000-0005-0000-0000-000066400000}"/>
    <cellStyle name="Comma 2 7 6 2 2" xfId="16490" xr:uid="{00000000-0005-0000-0000-000067400000}"/>
    <cellStyle name="Comma 2 7 6 2 2 2" xfId="16491" xr:uid="{00000000-0005-0000-0000-000068400000}"/>
    <cellStyle name="Comma 2 7 6 2 2 2 2" xfId="16492" xr:uid="{00000000-0005-0000-0000-000069400000}"/>
    <cellStyle name="Comma 2 7 6 2 2 2 3" xfId="16493" xr:uid="{00000000-0005-0000-0000-00006A400000}"/>
    <cellStyle name="Comma 2 7 6 2 2 3" xfId="16494" xr:uid="{00000000-0005-0000-0000-00006B400000}"/>
    <cellStyle name="Comma 2 7 6 2 2 4" xfId="16495" xr:uid="{00000000-0005-0000-0000-00006C400000}"/>
    <cellStyle name="Comma 2 7 6 2 2 5" xfId="16496" xr:uid="{00000000-0005-0000-0000-00006D400000}"/>
    <cellStyle name="Comma 2 7 6 2 2 6" xfId="16497" xr:uid="{00000000-0005-0000-0000-00006E400000}"/>
    <cellStyle name="Comma 2 7 6 2 3" xfId="16498" xr:uid="{00000000-0005-0000-0000-00006F400000}"/>
    <cellStyle name="Comma 2 7 6 2 3 2" xfId="16499" xr:uid="{00000000-0005-0000-0000-000070400000}"/>
    <cellStyle name="Comma 2 7 6 2 3 2 2" xfId="16500" xr:uid="{00000000-0005-0000-0000-000071400000}"/>
    <cellStyle name="Comma 2 7 6 2 3 3" xfId="16501" xr:uid="{00000000-0005-0000-0000-000072400000}"/>
    <cellStyle name="Comma 2 7 6 2 3 4" xfId="16502" xr:uid="{00000000-0005-0000-0000-000073400000}"/>
    <cellStyle name="Comma 2 7 6 2 3 5" xfId="16503" xr:uid="{00000000-0005-0000-0000-000074400000}"/>
    <cellStyle name="Comma 2 7 6 2 4" xfId="16504" xr:uid="{00000000-0005-0000-0000-000075400000}"/>
    <cellStyle name="Comma 2 7 6 2 4 2" xfId="16505" xr:uid="{00000000-0005-0000-0000-000076400000}"/>
    <cellStyle name="Comma 2 7 6 2 4 3" xfId="16506" xr:uid="{00000000-0005-0000-0000-000077400000}"/>
    <cellStyle name="Comma 2 7 6 2 4 4" xfId="16507" xr:uid="{00000000-0005-0000-0000-000078400000}"/>
    <cellStyle name="Comma 2 7 6 2 5" xfId="16508" xr:uid="{00000000-0005-0000-0000-000079400000}"/>
    <cellStyle name="Comma 2 7 6 2 5 2" xfId="16509" xr:uid="{00000000-0005-0000-0000-00007A400000}"/>
    <cellStyle name="Comma 2 7 6 2 6" xfId="16510" xr:uid="{00000000-0005-0000-0000-00007B400000}"/>
    <cellStyle name="Comma 2 7 6 2 7" xfId="16511" xr:uid="{00000000-0005-0000-0000-00007C400000}"/>
    <cellStyle name="Comma 2 7 6 2 8" xfId="16512" xr:uid="{00000000-0005-0000-0000-00007D400000}"/>
    <cellStyle name="Comma 2 7 6 2 9" xfId="16513" xr:uid="{00000000-0005-0000-0000-00007E400000}"/>
    <cellStyle name="Comma 2 7 6 3" xfId="16514" xr:uid="{00000000-0005-0000-0000-00007F400000}"/>
    <cellStyle name="Comma 2 7 6 3 2" xfId="16515" xr:uid="{00000000-0005-0000-0000-000080400000}"/>
    <cellStyle name="Comma 2 7 6 3 2 2" xfId="16516" xr:uid="{00000000-0005-0000-0000-000081400000}"/>
    <cellStyle name="Comma 2 7 6 3 2 2 2" xfId="16517" xr:uid="{00000000-0005-0000-0000-000082400000}"/>
    <cellStyle name="Comma 2 7 6 3 2 2 3" xfId="16518" xr:uid="{00000000-0005-0000-0000-000083400000}"/>
    <cellStyle name="Comma 2 7 6 3 2 3" xfId="16519" xr:uid="{00000000-0005-0000-0000-000084400000}"/>
    <cellStyle name="Comma 2 7 6 3 2 4" xfId="16520" xr:uid="{00000000-0005-0000-0000-000085400000}"/>
    <cellStyle name="Comma 2 7 6 3 2 5" xfId="16521" xr:uid="{00000000-0005-0000-0000-000086400000}"/>
    <cellStyle name="Comma 2 7 6 3 2 6" xfId="16522" xr:uid="{00000000-0005-0000-0000-000087400000}"/>
    <cellStyle name="Comma 2 7 6 3 3" xfId="16523" xr:uid="{00000000-0005-0000-0000-000088400000}"/>
    <cellStyle name="Comma 2 7 6 3 3 2" xfId="16524" xr:uid="{00000000-0005-0000-0000-000089400000}"/>
    <cellStyle name="Comma 2 7 6 3 3 2 2" xfId="16525" xr:uid="{00000000-0005-0000-0000-00008A400000}"/>
    <cellStyle name="Comma 2 7 6 3 3 3" xfId="16526" xr:uid="{00000000-0005-0000-0000-00008B400000}"/>
    <cellStyle name="Comma 2 7 6 3 3 4" xfId="16527" xr:uid="{00000000-0005-0000-0000-00008C400000}"/>
    <cellStyle name="Comma 2 7 6 3 3 5" xfId="16528" xr:uid="{00000000-0005-0000-0000-00008D400000}"/>
    <cellStyle name="Comma 2 7 6 3 4" xfId="16529" xr:uid="{00000000-0005-0000-0000-00008E400000}"/>
    <cellStyle name="Comma 2 7 6 3 4 2" xfId="16530" xr:uid="{00000000-0005-0000-0000-00008F400000}"/>
    <cellStyle name="Comma 2 7 6 3 4 3" xfId="16531" xr:uid="{00000000-0005-0000-0000-000090400000}"/>
    <cellStyle name="Comma 2 7 6 3 4 4" xfId="16532" xr:uid="{00000000-0005-0000-0000-000091400000}"/>
    <cellStyle name="Comma 2 7 6 3 5" xfId="16533" xr:uid="{00000000-0005-0000-0000-000092400000}"/>
    <cellStyle name="Comma 2 7 6 3 5 2" xfId="16534" xr:uid="{00000000-0005-0000-0000-000093400000}"/>
    <cellStyle name="Comma 2 7 6 3 6" xfId="16535" xr:uid="{00000000-0005-0000-0000-000094400000}"/>
    <cellStyle name="Comma 2 7 6 3 7" xfId="16536" xr:uid="{00000000-0005-0000-0000-000095400000}"/>
    <cellStyle name="Comma 2 7 6 3 8" xfId="16537" xr:uid="{00000000-0005-0000-0000-000096400000}"/>
    <cellStyle name="Comma 2 7 6 3 9" xfId="16538" xr:uid="{00000000-0005-0000-0000-000097400000}"/>
    <cellStyle name="Comma 2 7 6 4" xfId="16539" xr:uid="{00000000-0005-0000-0000-000098400000}"/>
    <cellStyle name="Comma 2 7 6 4 2" xfId="16540" xr:uid="{00000000-0005-0000-0000-000099400000}"/>
    <cellStyle name="Comma 2 7 6 4 2 2" xfId="16541" xr:uid="{00000000-0005-0000-0000-00009A400000}"/>
    <cellStyle name="Comma 2 7 6 4 2 3" xfId="16542" xr:uid="{00000000-0005-0000-0000-00009B400000}"/>
    <cellStyle name="Comma 2 7 6 4 3" xfId="16543" xr:uid="{00000000-0005-0000-0000-00009C400000}"/>
    <cellStyle name="Comma 2 7 6 4 4" xfId="16544" xr:uid="{00000000-0005-0000-0000-00009D400000}"/>
    <cellStyle name="Comma 2 7 6 4 5" xfId="16545" xr:uid="{00000000-0005-0000-0000-00009E400000}"/>
    <cellStyle name="Comma 2 7 6 4 6" xfId="16546" xr:uid="{00000000-0005-0000-0000-00009F400000}"/>
    <cellStyle name="Comma 2 7 6 5" xfId="16547" xr:uid="{00000000-0005-0000-0000-0000A0400000}"/>
    <cellStyle name="Comma 2 7 6 5 2" xfId="16548" xr:uid="{00000000-0005-0000-0000-0000A1400000}"/>
    <cellStyle name="Comma 2 7 6 5 2 2" xfId="16549" xr:uid="{00000000-0005-0000-0000-0000A2400000}"/>
    <cellStyle name="Comma 2 7 6 5 3" xfId="16550" xr:uid="{00000000-0005-0000-0000-0000A3400000}"/>
    <cellStyle name="Comma 2 7 6 5 4" xfId="16551" xr:uid="{00000000-0005-0000-0000-0000A4400000}"/>
    <cellStyle name="Comma 2 7 6 5 5" xfId="16552" xr:uid="{00000000-0005-0000-0000-0000A5400000}"/>
    <cellStyle name="Comma 2 7 6 6" xfId="16553" xr:uid="{00000000-0005-0000-0000-0000A6400000}"/>
    <cellStyle name="Comma 2 7 6 6 2" xfId="16554" xr:uid="{00000000-0005-0000-0000-0000A7400000}"/>
    <cellStyle name="Comma 2 7 6 6 3" xfId="16555" xr:uid="{00000000-0005-0000-0000-0000A8400000}"/>
    <cellStyle name="Comma 2 7 6 6 4" xfId="16556" xr:uid="{00000000-0005-0000-0000-0000A9400000}"/>
    <cellStyle name="Comma 2 7 6 7" xfId="16557" xr:uid="{00000000-0005-0000-0000-0000AA400000}"/>
    <cellStyle name="Comma 2 7 6 7 2" xfId="16558" xr:uid="{00000000-0005-0000-0000-0000AB400000}"/>
    <cellStyle name="Comma 2 7 6 8" xfId="16559" xr:uid="{00000000-0005-0000-0000-0000AC400000}"/>
    <cellStyle name="Comma 2 7 6 9" xfId="16560" xr:uid="{00000000-0005-0000-0000-0000AD400000}"/>
    <cellStyle name="Comma 2 7 7" xfId="16561" xr:uid="{00000000-0005-0000-0000-0000AE400000}"/>
    <cellStyle name="Comma 2 7 7 10" xfId="16562" xr:uid="{00000000-0005-0000-0000-0000AF400000}"/>
    <cellStyle name="Comma 2 7 7 11" xfId="16563" xr:uid="{00000000-0005-0000-0000-0000B0400000}"/>
    <cellStyle name="Comma 2 7 7 2" xfId="16564" xr:uid="{00000000-0005-0000-0000-0000B1400000}"/>
    <cellStyle name="Comma 2 7 7 2 2" xfId="16565" xr:uid="{00000000-0005-0000-0000-0000B2400000}"/>
    <cellStyle name="Comma 2 7 7 2 2 2" xfId="16566" xr:uid="{00000000-0005-0000-0000-0000B3400000}"/>
    <cellStyle name="Comma 2 7 7 2 2 2 2" xfId="16567" xr:uid="{00000000-0005-0000-0000-0000B4400000}"/>
    <cellStyle name="Comma 2 7 7 2 2 2 3" xfId="16568" xr:uid="{00000000-0005-0000-0000-0000B5400000}"/>
    <cellStyle name="Comma 2 7 7 2 2 3" xfId="16569" xr:uid="{00000000-0005-0000-0000-0000B6400000}"/>
    <cellStyle name="Comma 2 7 7 2 2 4" xfId="16570" xr:uid="{00000000-0005-0000-0000-0000B7400000}"/>
    <cellStyle name="Comma 2 7 7 2 2 5" xfId="16571" xr:uid="{00000000-0005-0000-0000-0000B8400000}"/>
    <cellStyle name="Comma 2 7 7 2 2 6" xfId="16572" xr:uid="{00000000-0005-0000-0000-0000B9400000}"/>
    <cellStyle name="Comma 2 7 7 2 3" xfId="16573" xr:uid="{00000000-0005-0000-0000-0000BA400000}"/>
    <cellStyle name="Comma 2 7 7 2 3 2" xfId="16574" xr:uid="{00000000-0005-0000-0000-0000BB400000}"/>
    <cellStyle name="Comma 2 7 7 2 3 2 2" xfId="16575" xr:uid="{00000000-0005-0000-0000-0000BC400000}"/>
    <cellStyle name="Comma 2 7 7 2 3 3" xfId="16576" xr:uid="{00000000-0005-0000-0000-0000BD400000}"/>
    <cellStyle name="Comma 2 7 7 2 3 4" xfId="16577" xr:uid="{00000000-0005-0000-0000-0000BE400000}"/>
    <cellStyle name="Comma 2 7 7 2 3 5" xfId="16578" xr:uid="{00000000-0005-0000-0000-0000BF400000}"/>
    <cellStyle name="Comma 2 7 7 2 4" xfId="16579" xr:uid="{00000000-0005-0000-0000-0000C0400000}"/>
    <cellStyle name="Comma 2 7 7 2 4 2" xfId="16580" xr:uid="{00000000-0005-0000-0000-0000C1400000}"/>
    <cellStyle name="Comma 2 7 7 2 4 3" xfId="16581" xr:uid="{00000000-0005-0000-0000-0000C2400000}"/>
    <cellStyle name="Comma 2 7 7 2 4 4" xfId="16582" xr:uid="{00000000-0005-0000-0000-0000C3400000}"/>
    <cellStyle name="Comma 2 7 7 2 5" xfId="16583" xr:uid="{00000000-0005-0000-0000-0000C4400000}"/>
    <cellStyle name="Comma 2 7 7 2 5 2" xfId="16584" xr:uid="{00000000-0005-0000-0000-0000C5400000}"/>
    <cellStyle name="Comma 2 7 7 2 6" xfId="16585" xr:uid="{00000000-0005-0000-0000-0000C6400000}"/>
    <cellStyle name="Comma 2 7 7 2 7" xfId="16586" xr:uid="{00000000-0005-0000-0000-0000C7400000}"/>
    <cellStyle name="Comma 2 7 7 2 8" xfId="16587" xr:uid="{00000000-0005-0000-0000-0000C8400000}"/>
    <cellStyle name="Comma 2 7 7 2 9" xfId="16588" xr:uid="{00000000-0005-0000-0000-0000C9400000}"/>
    <cellStyle name="Comma 2 7 7 3" xfId="16589" xr:uid="{00000000-0005-0000-0000-0000CA400000}"/>
    <cellStyle name="Comma 2 7 7 3 2" xfId="16590" xr:uid="{00000000-0005-0000-0000-0000CB400000}"/>
    <cellStyle name="Comma 2 7 7 3 2 2" xfId="16591" xr:uid="{00000000-0005-0000-0000-0000CC400000}"/>
    <cellStyle name="Comma 2 7 7 3 2 2 2" xfId="16592" xr:uid="{00000000-0005-0000-0000-0000CD400000}"/>
    <cellStyle name="Comma 2 7 7 3 2 2 3" xfId="16593" xr:uid="{00000000-0005-0000-0000-0000CE400000}"/>
    <cellStyle name="Comma 2 7 7 3 2 3" xfId="16594" xr:uid="{00000000-0005-0000-0000-0000CF400000}"/>
    <cellStyle name="Comma 2 7 7 3 2 4" xfId="16595" xr:uid="{00000000-0005-0000-0000-0000D0400000}"/>
    <cellStyle name="Comma 2 7 7 3 2 5" xfId="16596" xr:uid="{00000000-0005-0000-0000-0000D1400000}"/>
    <cellStyle name="Comma 2 7 7 3 2 6" xfId="16597" xr:uid="{00000000-0005-0000-0000-0000D2400000}"/>
    <cellStyle name="Comma 2 7 7 3 3" xfId="16598" xr:uid="{00000000-0005-0000-0000-0000D3400000}"/>
    <cellStyle name="Comma 2 7 7 3 3 2" xfId="16599" xr:uid="{00000000-0005-0000-0000-0000D4400000}"/>
    <cellStyle name="Comma 2 7 7 3 3 2 2" xfId="16600" xr:uid="{00000000-0005-0000-0000-0000D5400000}"/>
    <cellStyle name="Comma 2 7 7 3 3 3" xfId="16601" xr:uid="{00000000-0005-0000-0000-0000D6400000}"/>
    <cellStyle name="Comma 2 7 7 3 3 4" xfId="16602" xr:uid="{00000000-0005-0000-0000-0000D7400000}"/>
    <cellStyle name="Comma 2 7 7 3 3 5" xfId="16603" xr:uid="{00000000-0005-0000-0000-0000D8400000}"/>
    <cellStyle name="Comma 2 7 7 3 4" xfId="16604" xr:uid="{00000000-0005-0000-0000-0000D9400000}"/>
    <cellStyle name="Comma 2 7 7 3 4 2" xfId="16605" xr:uid="{00000000-0005-0000-0000-0000DA400000}"/>
    <cellStyle name="Comma 2 7 7 3 4 3" xfId="16606" xr:uid="{00000000-0005-0000-0000-0000DB400000}"/>
    <cellStyle name="Comma 2 7 7 3 4 4" xfId="16607" xr:uid="{00000000-0005-0000-0000-0000DC400000}"/>
    <cellStyle name="Comma 2 7 7 3 5" xfId="16608" xr:uid="{00000000-0005-0000-0000-0000DD400000}"/>
    <cellStyle name="Comma 2 7 7 3 5 2" xfId="16609" xr:uid="{00000000-0005-0000-0000-0000DE400000}"/>
    <cellStyle name="Comma 2 7 7 3 6" xfId="16610" xr:uid="{00000000-0005-0000-0000-0000DF400000}"/>
    <cellStyle name="Comma 2 7 7 3 7" xfId="16611" xr:uid="{00000000-0005-0000-0000-0000E0400000}"/>
    <cellStyle name="Comma 2 7 7 3 8" xfId="16612" xr:uid="{00000000-0005-0000-0000-0000E1400000}"/>
    <cellStyle name="Comma 2 7 7 3 9" xfId="16613" xr:uid="{00000000-0005-0000-0000-0000E2400000}"/>
    <cellStyle name="Comma 2 7 7 4" xfId="16614" xr:uid="{00000000-0005-0000-0000-0000E3400000}"/>
    <cellStyle name="Comma 2 7 7 4 2" xfId="16615" xr:uid="{00000000-0005-0000-0000-0000E4400000}"/>
    <cellStyle name="Comma 2 7 7 4 2 2" xfId="16616" xr:uid="{00000000-0005-0000-0000-0000E5400000}"/>
    <cellStyle name="Comma 2 7 7 4 2 3" xfId="16617" xr:uid="{00000000-0005-0000-0000-0000E6400000}"/>
    <cellStyle name="Comma 2 7 7 4 3" xfId="16618" xr:uid="{00000000-0005-0000-0000-0000E7400000}"/>
    <cellStyle name="Comma 2 7 7 4 4" xfId="16619" xr:uid="{00000000-0005-0000-0000-0000E8400000}"/>
    <cellStyle name="Comma 2 7 7 4 5" xfId="16620" xr:uid="{00000000-0005-0000-0000-0000E9400000}"/>
    <cellStyle name="Comma 2 7 7 4 6" xfId="16621" xr:uid="{00000000-0005-0000-0000-0000EA400000}"/>
    <cellStyle name="Comma 2 7 7 5" xfId="16622" xr:uid="{00000000-0005-0000-0000-0000EB400000}"/>
    <cellStyle name="Comma 2 7 7 5 2" xfId="16623" xr:uid="{00000000-0005-0000-0000-0000EC400000}"/>
    <cellStyle name="Comma 2 7 7 5 2 2" xfId="16624" xr:uid="{00000000-0005-0000-0000-0000ED400000}"/>
    <cellStyle name="Comma 2 7 7 5 3" xfId="16625" xr:uid="{00000000-0005-0000-0000-0000EE400000}"/>
    <cellStyle name="Comma 2 7 7 5 4" xfId="16626" xr:uid="{00000000-0005-0000-0000-0000EF400000}"/>
    <cellStyle name="Comma 2 7 7 5 5" xfId="16627" xr:uid="{00000000-0005-0000-0000-0000F0400000}"/>
    <cellStyle name="Comma 2 7 7 6" xfId="16628" xr:uid="{00000000-0005-0000-0000-0000F1400000}"/>
    <cellStyle name="Comma 2 7 7 6 2" xfId="16629" xr:uid="{00000000-0005-0000-0000-0000F2400000}"/>
    <cellStyle name="Comma 2 7 7 6 3" xfId="16630" xr:uid="{00000000-0005-0000-0000-0000F3400000}"/>
    <cellStyle name="Comma 2 7 7 6 4" xfId="16631" xr:uid="{00000000-0005-0000-0000-0000F4400000}"/>
    <cellStyle name="Comma 2 7 7 7" xfId="16632" xr:uid="{00000000-0005-0000-0000-0000F5400000}"/>
    <cellStyle name="Comma 2 7 7 7 2" xfId="16633" xr:uid="{00000000-0005-0000-0000-0000F6400000}"/>
    <cellStyle name="Comma 2 7 7 8" xfId="16634" xr:uid="{00000000-0005-0000-0000-0000F7400000}"/>
    <cellStyle name="Comma 2 7 7 9" xfId="16635" xr:uid="{00000000-0005-0000-0000-0000F8400000}"/>
    <cellStyle name="Comma 2 7 8" xfId="16636" xr:uid="{00000000-0005-0000-0000-0000F9400000}"/>
    <cellStyle name="Comma 2 7 8 10" xfId="16637" xr:uid="{00000000-0005-0000-0000-0000FA400000}"/>
    <cellStyle name="Comma 2 7 8 2" xfId="16638" xr:uid="{00000000-0005-0000-0000-0000FB400000}"/>
    <cellStyle name="Comma 2 7 8 2 2" xfId="16639" xr:uid="{00000000-0005-0000-0000-0000FC400000}"/>
    <cellStyle name="Comma 2 7 8 2 2 2" xfId="16640" xr:uid="{00000000-0005-0000-0000-0000FD400000}"/>
    <cellStyle name="Comma 2 7 8 2 2 3" xfId="16641" xr:uid="{00000000-0005-0000-0000-0000FE400000}"/>
    <cellStyle name="Comma 2 7 8 2 3" xfId="16642" xr:uid="{00000000-0005-0000-0000-0000FF400000}"/>
    <cellStyle name="Comma 2 7 8 2 4" xfId="16643" xr:uid="{00000000-0005-0000-0000-000000410000}"/>
    <cellStyle name="Comma 2 7 8 2 5" xfId="16644" xr:uid="{00000000-0005-0000-0000-000001410000}"/>
    <cellStyle name="Comma 2 7 8 2 6" xfId="16645" xr:uid="{00000000-0005-0000-0000-000002410000}"/>
    <cellStyle name="Comma 2 7 8 3" xfId="16646" xr:uid="{00000000-0005-0000-0000-000003410000}"/>
    <cellStyle name="Comma 2 7 8 3 2" xfId="16647" xr:uid="{00000000-0005-0000-0000-000004410000}"/>
    <cellStyle name="Comma 2 7 8 3 2 2" xfId="16648" xr:uid="{00000000-0005-0000-0000-000005410000}"/>
    <cellStyle name="Comma 2 7 8 3 2 3" xfId="16649" xr:uid="{00000000-0005-0000-0000-000006410000}"/>
    <cellStyle name="Comma 2 7 8 3 3" xfId="16650" xr:uid="{00000000-0005-0000-0000-000007410000}"/>
    <cellStyle name="Comma 2 7 8 3 4" xfId="16651" xr:uid="{00000000-0005-0000-0000-000008410000}"/>
    <cellStyle name="Comma 2 7 8 3 5" xfId="16652" xr:uid="{00000000-0005-0000-0000-000009410000}"/>
    <cellStyle name="Comma 2 7 8 3 6" xfId="16653" xr:uid="{00000000-0005-0000-0000-00000A410000}"/>
    <cellStyle name="Comma 2 7 8 4" xfId="16654" xr:uid="{00000000-0005-0000-0000-00000B410000}"/>
    <cellStyle name="Comma 2 7 8 4 2" xfId="16655" xr:uid="{00000000-0005-0000-0000-00000C410000}"/>
    <cellStyle name="Comma 2 7 8 4 2 2" xfId="16656" xr:uid="{00000000-0005-0000-0000-00000D410000}"/>
    <cellStyle name="Comma 2 7 8 4 3" xfId="16657" xr:uid="{00000000-0005-0000-0000-00000E410000}"/>
    <cellStyle name="Comma 2 7 8 4 4" xfId="16658" xr:uid="{00000000-0005-0000-0000-00000F410000}"/>
    <cellStyle name="Comma 2 7 8 4 5" xfId="16659" xr:uid="{00000000-0005-0000-0000-000010410000}"/>
    <cellStyle name="Comma 2 7 8 5" xfId="16660" xr:uid="{00000000-0005-0000-0000-000011410000}"/>
    <cellStyle name="Comma 2 7 8 5 2" xfId="16661" xr:uid="{00000000-0005-0000-0000-000012410000}"/>
    <cellStyle name="Comma 2 7 8 5 3" xfId="16662" xr:uid="{00000000-0005-0000-0000-000013410000}"/>
    <cellStyle name="Comma 2 7 8 5 4" xfId="16663" xr:uid="{00000000-0005-0000-0000-000014410000}"/>
    <cellStyle name="Comma 2 7 8 6" xfId="16664" xr:uid="{00000000-0005-0000-0000-000015410000}"/>
    <cellStyle name="Comma 2 7 8 6 2" xfId="16665" xr:uid="{00000000-0005-0000-0000-000016410000}"/>
    <cellStyle name="Comma 2 7 8 7" xfId="16666" xr:uid="{00000000-0005-0000-0000-000017410000}"/>
    <cellStyle name="Comma 2 7 8 8" xfId="16667" xr:uid="{00000000-0005-0000-0000-000018410000}"/>
    <cellStyle name="Comma 2 7 8 9" xfId="16668" xr:uid="{00000000-0005-0000-0000-000019410000}"/>
    <cellStyle name="Comma 2 7 9" xfId="16669" xr:uid="{00000000-0005-0000-0000-00001A410000}"/>
    <cellStyle name="Comma 2 7 9 10" xfId="16670" xr:uid="{00000000-0005-0000-0000-00001B410000}"/>
    <cellStyle name="Comma 2 7 9 2" xfId="16671" xr:uid="{00000000-0005-0000-0000-00001C410000}"/>
    <cellStyle name="Comma 2 7 9 2 2" xfId="16672" xr:uid="{00000000-0005-0000-0000-00001D410000}"/>
    <cellStyle name="Comma 2 7 9 2 2 2" xfId="16673" xr:uid="{00000000-0005-0000-0000-00001E410000}"/>
    <cellStyle name="Comma 2 7 9 2 2 3" xfId="16674" xr:uid="{00000000-0005-0000-0000-00001F410000}"/>
    <cellStyle name="Comma 2 7 9 2 3" xfId="16675" xr:uid="{00000000-0005-0000-0000-000020410000}"/>
    <cellStyle name="Comma 2 7 9 2 4" xfId="16676" xr:uid="{00000000-0005-0000-0000-000021410000}"/>
    <cellStyle name="Comma 2 7 9 2 5" xfId="16677" xr:uid="{00000000-0005-0000-0000-000022410000}"/>
    <cellStyle name="Comma 2 7 9 2 6" xfId="16678" xr:uid="{00000000-0005-0000-0000-000023410000}"/>
    <cellStyle name="Comma 2 7 9 3" xfId="16679" xr:uid="{00000000-0005-0000-0000-000024410000}"/>
    <cellStyle name="Comma 2 7 9 3 2" xfId="16680" xr:uid="{00000000-0005-0000-0000-000025410000}"/>
    <cellStyle name="Comma 2 7 9 3 2 2" xfId="16681" xr:uid="{00000000-0005-0000-0000-000026410000}"/>
    <cellStyle name="Comma 2 7 9 3 2 3" xfId="16682" xr:uid="{00000000-0005-0000-0000-000027410000}"/>
    <cellStyle name="Comma 2 7 9 3 3" xfId="16683" xr:uid="{00000000-0005-0000-0000-000028410000}"/>
    <cellStyle name="Comma 2 7 9 3 4" xfId="16684" xr:uid="{00000000-0005-0000-0000-000029410000}"/>
    <cellStyle name="Comma 2 7 9 3 5" xfId="16685" xr:uid="{00000000-0005-0000-0000-00002A410000}"/>
    <cellStyle name="Comma 2 7 9 3 6" xfId="16686" xr:uid="{00000000-0005-0000-0000-00002B410000}"/>
    <cellStyle name="Comma 2 7 9 4" xfId="16687" xr:uid="{00000000-0005-0000-0000-00002C410000}"/>
    <cellStyle name="Comma 2 7 9 4 2" xfId="16688" xr:uid="{00000000-0005-0000-0000-00002D410000}"/>
    <cellStyle name="Comma 2 7 9 4 2 2" xfId="16689" xr:uid="{00000000-0005-0000-0000-00002E410000}"/>
    <cellStyle name="Comma 2 7 9 4 3" xfId="16690" xr:uid="{00000000-0005-0000-0000-00002F410000}"/>
    <cellStyle name="Comma 2 7 9 4 4" xfId="16691" xr:uid="{00000000-0005-0000-0000-000030410000}"/>
    <cellStyle name="Comma 2 7 9 4 5" xfId="16692" xr:uid="{00000000-0005-0000-0000-000031410000}"/>
    <cellStyle name="Comma 2 7 9 5" xfId="16693" xr:uid="{00000000-0005-0000-0000-000032410000}"/>
    <cellStyle name="Comma 2 7 9 5 2" xfId="16694" xr:uid="{00000000-0005-0000-0000-000033410000}"/>
    <cellStyle name="Comma 2 7 9 5 3" xfId="16695" xr:uid="{00000000-0005-0000-0000-000034410000}"/>
    <cellStyle name="Comma 2 7 9 5 4" xfId="16696" xr:uid="{00000000-0005-0000-0000-000035410000}"/>
    <cellStyle name="Comma 2 7 9 6" xfId="16697" xr:uid="{00000000-0005-0000-0000-000036410000}"/>
    <cellStyle name="Comma 2 7 9 6 2" xfId="16698" xr:uid="{00000000-0005-0000-0000-000037410000}"/>
    <cellStyle name="Comma 2 7 9 7" xfId="16699" xr:uid="{00000000-0005-0000-0000-000038410000}"/>
    <cellStyle name="Comma 2 7 9 8" xfId="16700" xr:uid="{00000000-0005-0000-0000-000039410000}"/>
    <cellStyle name="Comma 2 7 9 9" xfId="16701" xr:uid="{00000000-0005-0000-0000-00003A410000}"/>
    <cellStyle name="Comma 2 8" xfId="16702" xr:uid="{00000000-0005-0000-0000-00003B410000}"/>
    <cellStyle name="Comma 2 8 10" xfId="16703" xr:uid="{00000000-0005-0000-0000-00003C410000}"/>
    <cellStyle name="Comma 2 8 10 10" xfId="16704" xr:uid="{00000000-0005-0000-0000-00003D410000}"/>
    <cellStyle name="Comma 2 8 10 2" xfId="16705" xr:uid="{00000000-0005-0000-0000-00003E410000}"/>
    <cellStyle name="Comma 2 8 10 2 2" xfId="16706" xr:uid="{00000000-0005-0000-0000-00003F410000}"/>
    <cellStyle name="Comma 2 8 10 2 2 2" xfId="16707" xr:uid="{00000000-0005-0000-0000-000040410000}"/>
    <cellStyle name="Comma 2 8 10 2 2 3" xfId="16708" xr:uid="{00000000-0005-0000-0000-000041410000}"/>
    <cellStyle name="Comma 2 8 10 2 3" xfId="16709" xr:uid="{00000000-0005-0000-0000-000042410000}"/>
    <cellStyle name="Comma 2 8 10 2 4" xfId="16710" xr:uid="{00000000-0005-0000-0000-000043410000}"/>
    <cellStyle name="Comma 2 8 10 2 5" xfId="16711" xr:uid="{00000000-0005-0000-0000-000044410000}"/>
    <cellStyle name="Comma 2 8 10 2 6" xfId="16712" xr:uid="{00000000-0005-0000-0000-000045410000}"/>
    <cellStyle name="Comma 2 8 10 3" xfId="16713" xr:uid="{00000000-0005-0000-0000-000046410000}"/>
    <cellStyle name="Comma 2 8 10 3 2" xfId="16714" xr:uid="{00000000-0005-0000-0000-000047410000}"/>
    <cellStyle name="Comma 2 8 10 3 2 2" xfId="16715" xr:uid="{00000000-0005-0000-0000-000048410000}"/>
    <cellStyle name="Comma 2 8 10 3 2 3" xfId="16716" xr:uid="{00000000-0005-0000-0000-000049410000}"/>
    <cellStyle name="Comma 2 8 10 3 3" xfId="16717" xr:uid="{00000000-0005-0000-0000-00004A410000}"/>
    <cellStyle name="Comma 2 8 10 3 4" xfId="16718" xr:uid="{00000000-0005-0000-0000-00004B410000}"/>
    <cellStyle name="Comma 2 8 10 3 5" xfId="16719" xr:uid="{00000000-0005-0000-0000-00004C410000}"/>
    <cellStyle name="Comma 2 8 10 3 6" xfId="16720" xr:uid="{00000000-0005-0000-0000-00004D410000}"/>
    <cellStyle name="Comma 2 8 10 4" xfId="16721" xr:uid="{00000000-0005-0000-0000-00004E410000}"/>
    <cellStyle name="Comma 2 8 10 4 2" xfId="16722" xr:uid="{00000000-0005-0000-0000-00004F410000}"/>
    <cellStyle name="Comma 2 8 10 4 2 2" xfId="16723" xr:uid="{00000000-0005-0000-0000-000050410000}"/>
    <cellStyle name="Comma 2 8 10 4 3" xfId="16724" xr:uid="{00000000-0005-0000-0000-000051410000}"/>
    <cellStyle name="Comma 2 8 10 4 4" xfId="16725" xr:uid="{00000000-0005-0000-0000-000052410000}"/>
    <cellStyle name="Comma 2 8 10 4 5" xfId="16726" xr:uid="{00000000-0005-0000-0000-000053410000}"/>
    <cellStyle name="Comma 2 8 10 5" xfId="16727" xr:uid="{00000000-0005-0000-0000-000054410000}"/>
    <cellStyle name="Comma 2 8 10 5 2" xfId="16728" xr:uid="{00000000-0005-0000-0000-000055410000}"/>
    <cellStyle name="Comma 2 8 10 5 3" xfId="16729" xr:uid="{00000000-0005-0000-0000-000056410000}"/>
    <cellStyle name="Comma 2 8 10 5 4" xfId="16730" xr:uid="{00000000-0005-0000-0000-000057410000}"/>
    <cellStyle name="Comma 2 8 10 6" xfId="16731" xr:uid="{00000000-0005-0000-0000-000058410000}"/>
    <cellStyle name="Comma 2 8 10 6 2" xfId="16732" xr:uid="{00000000-0005-0000-0000-000059410000}"/>
    <cellStyle name="Comma 2 8 10 7" xfId="16733" xr:uid="{00000000-0005-0000-0000-00005A410000}"/>
    <cellStyle name="Comma 2 8 10 8" xfId="16734" xr:uid="{00000000-0005-0000-0000-00005B410000}"/>
    <cellStyle name="Comma 2 8 10 9" xfId="16735" xr:uid="{00000000-0005-0000-0000-00005C410000}"/>
    <cellStyle name="Comma 2 8 11" xfId="16736" xr:uid="{00000000-0005-0000-0000-00005D410000}"/>
    <cellStyle name="Comma 2 8 11 10" xfId="16737" xr:uid="{00000000-0005-0000-0000-00005E410000}"/>
    <cellStyle name="Comma 2 8 11 2" xfId="16738" xr:uid="{00000000-0005-0000-0000-00005F410000}"/>
    <cellStyle name="Comma 2 8 11 2 2" xfId="16739" xr:uid="{00000000-0005-0000-0000-000060410000}"/>
    <cellStyle name="Comma 2 8 11 2 2 2" xfId="16740" xr:uid="{00000000-0005-0000-0000-000061410000}"/>
    <cellStyle name="Comma 2 8 11 2 2 3" xfId="16741" xr:uid="{00000000-0005-0000-0000-000062410000}"/>
    <cellStyle name="Comma 2 8 11 2 3" xfId="16742" xr:uid="{00000000-0005-0000-0000-000063410000}"/>
    <cellStyle name="Comma 2 8 11 2 4" xfId="16743" xr:uid="{00000000-0005-0000-0000-000064410000}"/>
    <cellStyle name="Comma 2 8 11 2 5" xfId="16744" xr:uid="{00000000-0005-0000-0000-000065410000}"/>
    <cellStyle name="Comma 2 8 11 2 6" xfId="16745" xr:uid="{00000000-0005-0000-0000-000066410000}"/>
    <cellStyle name="Comma 2 8 11 3" xfId="16746" xr:uid="{00000000-0005-0000-0000-000067410000}"/>
    <cellStyle name="Comma 2 8 11 3 2" xfId="16747" xr:uid="{00000000-0005-0000-0000-000068410000}"/>
    <cellStyle name="Comma 2 8 11 3 2 2" xfId="16748" xr:uid="{00000000-0005-0000-0000-000069410000}"/>
    <cellStyle name="Comma 2 8 11 3 2 3" xfId="16749" xr:uid="{00000000-0005-0000-0000-00006A410000}"/>
    <cellStyle name="Comma 2 8 11 3 3" xfId="16750" xr:uid="{00000000-0005-0000-0000-00006B410000}"/>
    <cellStyle name="Comma 2 8 11 3 4" xfId="16751" xr:uid="{00000000-0005-0000-0000-00006C410000}"/>
    <cellStyle name="Comma 2 8 11 3 5" xfId="16752" xr:uid="{00000000-0005-0000-0000-00006D410000}"/>
    <cellStyle name="Comma 2 8 11 3 6" xfId="16753" xr:uid="{00000000-0005-0000-0000-00006E410000}"/>
    <cellStyle name="Comma 2 8 11 4" xfId="16754" xr:uid="{00000000-0005-0000-0000-00006F410000}"/>
    <cellStyle name="Comma 2 8 11 4 2" xfId="16755" xr:uid="{00000000-0005-0000-0000-000070410000}"/>
    <cellStyle name="Comma 2 8 11 4 2 2" xfId="16756" xr:uid="{00000000-0005-0000-0000-000071410000}"/>
    <cellStyle name="Comma 2 8 11 4 3" xfId="16757" xr:uid="{00000000-0005-0000-0000-000072410000}"/>
    <cellStyle name="Comma 2 8 11 4 4" xfId="16758" xr:uid="{00000000-0005-0000-0000-000073410000}"/>
    <cellStyle name="Comma 2 8 11 4 5" xfId="16759" xr:uid="{00000000-0005-0000-0000-000074410000}"/>
    <cellStyle name="Comma 2 8 11 5" xfId="16760" xr:uid="{00000000-0005-0000-0000-000075410000}"/>
    <cellStyle name="Comma 2 8 11 5 2" xfId="16761" xr:uid="{00000000-0005-0000-0000-000076410000}"/>
    <cellStyle name="Comma 2 8 11 5 3" xfId="16762" xr:uid="{00000000-0005-0000-0000-000077410000}"/>
    <cellStyle name="Comma 2 8 11 5 4" xfId="16763" xr:uid="{00000000-0005-0000-0000-000078410000}"/>
    <cellStyle name="Comma 2 8 11 6" xfId="16764" xr:uid="{00000000-0005-0000-0000-000079410000}"/>
    <cellStyle name="Comma 2 8 11 6 2" xfId="16765" xr:uid="{00000000-0005-0000-0000-00007A410000}"/>
    <cellStyle name="Comma 2 8 11 7" xfId="16766" xr:uid="{00000000-0005-0000-0000-00007B410000}"/>
    <cellStyle name="Comma 2 8 11 8" xfId="16767" xr:uid="{00000000-0005-0000-0000-00007C410000}"/>
    <cellStyle name="Comma 2 8 11 9" xfId="16768" xr:uid="{00000000-0005-0000-0000-00007D410000}"/>
    <cellStyle name="Comma 2 8 12" xfId="16769" xr:uid="{00000000-0005-0000-0000-00007E410000}"/>
    <cellStyle name="Comma 2 8 12 10" xfId="16770" xr:uid="{00000000-0005-0000-0000-00007F410000}"/>
    <cellStyle name="Comma 2 8 12 2" xfId="16771" xr:uid="{00000000-0005-0000-0000-000080410000}"/>
    <cellStyle name="Comma 2 8 12 2 2" xfId="16772" xr:uid="{00000000-0005-0000-0000-000081410000}"/>
    <cellStyle name="Comma 2 8 12 2 2 2" xfId="16773" xr:uid="{00000000-0005-0000-0000-000082410000}"/>
    <cellStyle name="Comma 2 8 12 2 2 3" xfId="16774" xr:uid="{00000000-0005-0000-0000-000083410000}"/>
    <cellStyle name="Comma 2 8 12 2 3" xfId="16775" xr:uid="{00000000-0005-0000-0000-000084410000}"/>
    <cellStyle name="Comma 2 8 12 2 4" xfId="16776" xr:uid="{00000000-0005-0000-0000-000085410000}"/>
    <cellStyle name="Comma 2 8 12 2 5" xfId="16777" xr:uid="{00000000-0005-0000-0000-000086410000}"/>
    <cellStyle name="Comma 2 8 12 2 6" xfId="16778" xr:uid="{00000000-0005-0000-0000-000087410000}"/>
    <cellStyle name="Comma 2 8 12 3" xfId="16779" xr:uid="{00000000-0005-0000-0000-000088410000}"/>
    <cellStyle name="Comma 2 8 12 3 2" xfId="16780" xr:uid="{00000000-0005-0000-0000-000089410000}"/>
    <cellStyle name="Comma 2 8 12 3 2 2" xfId="16781" xr:uid="{00000000-0005-0000-0000-00008A410000}"/>
    <cellStyle name="Comma 2 8 12 3 2 3" xfId="16782" xr:uid="{00000000-0005-0000-0000-00008B410000}"/>
    <cellStyle name="Comma 2 8 12 3 3" xfId="16783" xr:uid="{00000000-0005-0000-0000-00008C410000}"/>
    <cellStyle name="Comma 2 8 12 3 4" xfId="16784" xr:uid="{00000000-0005-0000-0000-00008D410000}"/>
    <cellStyle name="Comma 2 8 12 3 5" xfId="16785" xr:uid="{00000000-0005-0000-0000-00008E410000}"/>
    <cellStyle name="Comma 2 8 12 3 6" xfId="16786" xr:uid="{00000000-0005-0000-0000-00008F410000}"/>
    <cellStyle name="Comma 2 8 12 4" xfId="16787" xr:uid="{00000000-0005-0000-0000-000090410000}"/>
    <cellStyle name="Comma 2 8 12 4 2" xfId="16788" xr:uid="{00000000-0005-0000-0000-000091410000}"/>
    <cellStyle name="Comma 2 8 12 4 2 2" xfId="16789" xr:uid="{00000000-0005-0000-0000-000092410000}"/>
    <cellStyle name="Comma 2 8 12 4 3" xfId="16790" xr:uid="{00000000-0005-0000-0000-000093410000}"/>
    <cellStyle name="Comma 2 8 12 4 4" xfId="16791" xr:uid="{00000000-0005-0000-0000-000094410000}"/>
    <cellStyle name="Comma 2 8 12 4 5" xfId="16792" xr:uid="{00000000-0005-0000-0000-000095410000}"/>
    <cellStyle name="Comma 2 8 12 5" xfId="16793" xr:uid="{00000000-0005-0000-0000-000096410000}"/>
    <cellStyle name="Comma 2 8 12 5 2" xfId="16794" xr:uid="{00000000-0005-0000-0000-000097410000}"/>
    <cellStyle name="Comma 2 8 12 5 3" xfId="16795" xr:uid="{00000000-0005-0000-0000-000098410000}"/>
    <cellStyle name="Comma 2 8 12 5 4" xfId="16796" xr:uid="{00000000-0005-0000-0000-000099410000}"/>
    <cellStyle name="Comma 2 8 12 6" xfId="16797" xr:uid="{00000000-0005-0000-0000-00009A410000}"/>
    <cellStyle name="Comma 2 8 12 6 2" xfId="16798" xr:uid="{00000000-0005-0000-0000-00009B410000}"/>
    <cellStyle name="Comma 2 8 12 7" xfId="16799" xr:uid="{00000000-0005-0000-0000-00009C410000}"/>
    <cellStyle name="Comma 2 8 12 8" xfId="16800" xr:uid="{00000000-0005-0000-0000-00009D410000}"/>
    <cellStyle name="Comma 2 8 12 9" xfId="16801" xr:uid="{00000000-0005-0000-0000-00009E410000}"/>
    <cellStyle name="Comma 2 8 13" xfId="16802" xr:uid="{00000000-0005-0000-0000-00009F410000}"/>
    <cellStyle name="Comma 2 8 13 2" xfId="16803" xr:uid="{00000000-0005-0000-0000-0000A0410000}"/>
    <cellStyle name="Comma 2 8 13 2 2" xfId="16804" xr:uid="{00000000-0005-0000-0000-0000A1410000}"/>
    <cellStyle name="Comma 2 8 13 2 2 2" xfId="16805" xr:uid="{00000000-0005-0000-0000-0000A2410000}"/>
    <cellStyle name="Comma 2 8 13 2 2 3" xfId="16806" xr:uid="{00000000-0005-0000-0000-0000A3410000}"/>
    <cellStyle name="Comma 2 8 13 2 3" xfId="16807" xr:uid="{00000000-0005-0000-0000-0000A4410000}"/>
    <cellStyle name="Comma 2 8 13 2 4" xfId="16808" xr:uid="{00000000-0005-0000-0000-0000A5410000}"/>
    <cellStyle name="Comma 2 8 13 2 5" xfId="16809" xr:uid="{00000000-0005-0000-0000-0000A6410000}"/>
    <cellStyle name="Comma 2 8 13 2 6" xfId="16810" xr:uid="{00000000-0005-0000-0000-0000A7410000}"/>
    <cellStyle name="Comma 2 8 13 3" xfId="16811" xr:uid="{00000000-0005-0000-0000-0000A8410000}"/>
    <cellStyle name="Comma 2 8 13 3 2" xfId="16812" xr:uid="{00000000-0005-0000-0000-0000A9410000}"/>
    <cellStyle name="Comma 2 8 13 3 2 2" xfId="16813" xr:uid="{00000000-0005-0000-0000-0000AA410000}"/>
    <cellStyle name="Comma 2 8 13 3 3" xfId="16814" xr:uid="{00000000-0005-0000-0000-0000AB410000}"/>
    <cellStyle name="Comma 2 8 13 3 4" xfId="16815" xr:uid="{00000000-0005-0000-0000-0000AC410000}"/>
    <cellStyle name="Comma 2 8 13 3 5" xfId="16816" xr:uid="{00000000-0005-0000-0000-0000AD410000}"/>
    <cellStyle name="Comma 2 8 13 4" xfId="16817" xr:uid="{00000000-0005-0000-0000-0000AE410000}"/>
    <cellStyle name="Comma 2 8 13 4 2" xfId="16818" xr:uid="{00000000-0005-0000-0000-0000AF410000}"/>
    <cellStyle name="Comma 2 8 13 4 3" xfId="16819" xr:uid="{00000000-0005-0000-0000-0000B0410000}"/>
    <cellStyle name="Comma 2 8 13 4 4" xfId="16820" xr:uid="{00000000-0005-0000-0000-0000B1410000}"/>
    <cellStyle name="Comma 2 8 13 5" xfId="16821" xr:uid="{00000000-0005-0000-0000-0000B2410000}"/>
    <cellStyle name="Comma 2 8 13 5 2" xfId="16822" xr:uid="{00000000-0005-0000-0000-0000B3410000}"/>
    <cellStyle name="Comma 2 8 13 6" xfId="16823" xr:uid="{00000000-0005-0000-0000-0000B4410000}"/>
    <cellStyle name="Comma 2 8 13 7" xfId="16824" xr:uid="{00000000-0005-0000-0000-0000B5410000}"/>
    <cellStyle name="Comma 2 8 13 8" xfId="16825" xr:uid="{00000000-0005-0000-0000-0000B6410000}"/>
    <cellStyle name="Comma 2 8 13 9" xfId="16826" xr:uid="{00000000-0005-0000-0000-0000B7410000}"/>
    <cellStyle name="Comma 2 8 14" xfId="16827" xr:uid="{00000000-0005-0000-0000-0000B8410000}"/>
    <cellStyle name="Comma 2 8 14 2" xfId="16828" xr:uid="{00000000-0005-0000-0000-0000B9410000}"/>
    <cellStyle name="Comma 2 8 14 2 2" xfId="16829" xr:uid="{00000000-0005-0000-0000-0000BA410000}"/>
    <cellStyle name="Comma 2 8 14 2 2 2" xfId="16830" xr:uid="{00000000-0005-0000-0000-0000BB410000}"/>
    <cellStyle name="Comma 2 8 14 2 2 3" xfId="16831" xr:uid="{00000000-0005-0000-0000-0000BC410000}"/>
    <cellStyle name="Comma 2 8 14 2 3" xfId="16832" xr:uid="{00000000-0005-0000-0000-0000BD410000}"/>
    <cellStyle name="Comma 2 8 14 2 4" xfId="16833" xr:uid="{00000000-0005-0000-0000-0000BE410000}"/>
    <cellStyle name="Comma 2 8 14 2 5" xfId="16834" xr:uid="{00000000-0005-0000-0000-0000BF410000}"/>
    <cellStyle name="Comma 2 8 14 2 6" xfId="16835" xr:uid="{00000000-0005-0000-0000-0000C0410000}"/>
    <cellStyle name="Comma 2 8 14 3" xfId="16836" xr:uid="{00000000-0005-0000-0000-0000C1410000}"/>
    <cellStyle name="Comma 2 8 14 3 2" xfId="16837" xr:uid="{00000000-0005-0000-0000-0000C2410000}"/>
    <cellStyle name="Comma 2 8 14 3 2 2" xfId="16838" xr:uid="{00000000-0005-0000-0000-0000C3410000}"/>
    <cellStyle name="Comma 2 8 14 3 3" xfId="16839" xr:uid="{00000000-0005-0000-0000-0000C4410000}"/>
    <cellStyle name="Comma 2 8 14 3 4" xfId="16840" xr:uid="{00000000-0005-0000-0000-0000C5410000}"/>
    <cellStyle name="Comma 2 8 14 3 5" xfId="16841" xr:uid="{00000000-0005-0000-0000-0000C6410000}"/>
    <cellStyle name="Comma 2 8 14 4" xfId="16842" xr:uid="{00000000-0005-0000-0000-0000C7410000}"/>
    <cellStyle name="Comma 2 8 14 4 2" xfId="16843" xr:uid="{00000000-0005-0000-0000-0000C8410000}"/>
    <cellStyle name="Comma 2 8 14 4 3" xfId="16844" xr:uid="{00000000-0005-0000-0000-0000C9410000}"/>
    <cellStyle name="Comma 2 8 14 4 4" xfId="16845" xr:uid="{00000000-0005-0000-0000-0000CA410000}"/>
    <cellStyle name="Comma 2 8 14 5" xfId="16846" xr:uid="{00000000-0005-0000-0000-0000CB410000}"/>
    <cellStyle name="Comma 2 8 14 5 2" xfId="16847" xr:uid="{00000000-0005-0000-0000-0000CC410000}"/>
    <cellStyle name="Comma 2 8 14 6" xfId="16848" xr:uid="{00000000-0005-0000-0000-0000CD410000}"/>
    <cellStyle name="Comma 2 8 14 7" xfId="16849" xr:uid="{00000000-0005-0000-0000-0000CE410000}"/>
    <cellStyle name="Comma 2 8 14 8" xfId="16850" xr:uid="{00000000-0005-0000-0000-0000CF410000}"/>
    <cellStyle name="Comma 2 8 14 9" xfId="16851" xr:uid="{00000000-0005-0000-0000-0000D0410000}"/>
    <cellStyle name="Comma 2 8 15" xfId="16852" xr:uid="{00000000-0005-0000-0000-0000D1410000}"/>
    <cellStyle name="Comma 2 8 15 2" xfId="16853" xr:uid="{00000000-0005-0000-0000-0000D2410000}"/>
    <cellStyle name="Comma 2 8 15 2 2" xfId="16854" xr:uid="{00000000-0005-0000-0000-0000D3410000}"/>
    <cellStyle name="Comma 2 8 15 2 3" xfId="16855" xr:uid="{00000000-0005-0000-0000-0000D4410000}"/>
    <cellStyle name="Comma 2 8 15 3" xfId="16856" xr:uid="{00000000-0005-0000-0000-0000D5410000}"/>
    <cellStyle name="Comma 2 8 15 4" xfId="16857" xr:uid="{00000000-0005-0000-0000-0000D6410000}"/>
    <cellStyle name="Comma 2 8 15 5" xfId="16858" xr:uid="{00000000-0005-0000-0000-0000D7410000}"/>
    <cellStyle name="Comma 2 8 15 6" xfId="16859" xr:uid="{00000000-0005-0000-0000-0000D8410000}"/>
    <cellStyle name="Comma 2 8 16" xfId="16860" xr:uid="{00000000-0005-0000-0000-0000D9410000}"/>
    <cellStyle name="Comma 2 8 16 2" xfId="16861" xr:uid="{00000000-0005-0000-0000-0000DA410000}"/>
    <cellStyle name="Comma 2 8 16 2 2" xfId="16862" xr:uid="{00000000-0005-0000-0000-0000DB410000}"/>
    <cellStyle name="Comma 2 8 16 3" xfId="16863" xr:uid="{00000000-0005-0000-0000-0000DC410000}"/>
    <cellStyle name="Comma 2 8 16 4" xfId="16864" xr:uid="{00000000-0005-0000-0000-0000DD410000}"/>
    <cellStyle name="Comma 2 8 16 5" xfId="16865" xr:uid="{00000000-0005-0000-0000-0000DE410000}"/>
    <cellStyle name="Comma 2 8 17" xfId="16866" xr:uid="{00000000-0005-0000-0000-0000DF410000}"/>
    <cellStyle name="Comma 2 8 17 2" xfId="16867" xr:uid="{00000000-0005-0000-0000-0000E0410000}"/>
    <cellStyle name="Comma 2 8 17 2 2" xfId="16868" xr:uid="{00000000-0005-0000-0000-0000E1410000}"/>
    <cellStyle name="Comma 2 8 17 3" xfId="16869" xr:uid="{00000000-0005-0000-0000-0000E2410000}"/>
    <cellStyle name="Comma 2 8 17 4" xfId="16870" xr:uid="{00000000-0005-0000-0000-0000E3410000}"/>
    <cellStyle name="Comma 2 8 17 5" xfId="16871" xr:uid="{00000000-0005-0000-0000-0000E4410000}"/>
    <cellStyle name="Comma 2 8 18" xfId="16872" xr:uid="{00000000-0005-0000-0000-0000E5410000}"/>
    <cellStyle name="Comma 2 8 18 2" xfId="16873" xr:uid="{00000000-0005-0000-0000-0000E6410000}"/>
    <cellStyle name="Comma 2 8 19" xfId="16874" xr:uid="{00000000-0005-0000-0000-0000E7410000}"/>
    <cellStyle name="Comma 2 8 2" xfId="16875" xr:uid="{00000000-0005-0000-0000-0000E8410000}"/>
    <cellStyle name="Comma 2 8 2 10" xfId="16876" xr:uid="{00000000-0005-0000-0000-0000E9410000}"/>
    <cellStyle name="Comma 2 8 2 11" xfId="16877" xr:uid="{00000000-0005-0000-0000-0000EA410000}"/>
    <cellStyle name="Comma 2 8 2 2" xfId="16878" xr:uid="{00000000-0005-0000-0000-0000EB410000}"/>
    <cellStyle name="Comma 2 8 2 2 2" xfId="16879" xr:uid="{00000000-0005-0000-0000-0000EC410000}"/>
    <cellStyle name="Comma 2 8 2 2 2 2" xfId="16880" xr:uid="{00000000-0005-0000-0000-0000ED410000}"/>
    <cellStyle name="Comma 2 8 2 2 2 2 2" xfId="16881" xr:uid="{00000000-0005-0000-0000-0000EE410000}"/>
    <cellStyle name="Comma 2 8 2 2 2 2 3" xfId="16882" xr:uid="{00000000-0005-0000-0000-0000EF410000}"/>
    <cellStyle name="Comma 2 8 2 2 2 3" xfId="16883" xr:uid="{00000000-0005-0000-0000-0000F0410000}"/>
    <cellStyle name="Comma 2 8 2 2 2 4" xfId="16884" xr:uid="{00000000-0005-0000-0000-0000F1410000}"/>
    <cellStyle name="Comma 2 8 2 2 2 5" xfId="16885" xr:uid="{00000000-0005-0000-0000-0000F2410000}"/>
    <cellStyle name="Comma 2 8 2 2 2 6" xfId="16886" xr:uid="{00000000-0005-0000-0000-0000F3410000}"/>
    <cellStyle name="Comma 2 8 2 2 3" xfId="16887" xr:uid="{00000000-0005-0000-0000-0000F4410000}"/>
    <cellStyle name="Comma 2 8 2 2 3 2" xfId="16888" xr:uid="{00000000-0005-0000-0000-0000F5410000}"/>
    <cellStyle name="Comma 2 8 2 2 3 2 2" xfId="16889" xr:uid="{00000000-0005-0000-0000-0000F6410000}"/>
    <cellStyle name="Comma 2 8 2 2 3 3" xfId="16890" xr:uid="{00000000-0005-0000-0000-0000F7410000}"/>
    <cellStyle name="Comma 2 8 2 2 3 4" xfId="16891" xr:uid="{00000000-0005-0000-0000-0000F8410000}"/>
    <cellStyle name="Comma 2 8 2 2 3 5" xfId="16892" xr:uid="{00000000-0005-0000-0000-0000F9410000}"/>
    <cellStyle name="Comma 2 8 2 2 4" xfId="16893" xr:uid="{00000000-0005-0000-0000-0000FA410000}"/>
    <cellStyle name="Comma 2 8 2 2 4 2" xfId="16894" xr:uid="{00000000-0005-0000-0000-0000FB410000}"/>
    <cellStyle name="Comma 2 8 2 2 4 3" xfId="16895" xr:uid="{00000000-0005-0000-0000-0000FC410000}"/>
    <cellStyle name="Comma 2 8 2 2 4 4" xfId="16896" xr:uid="{00000000-0005-0000-0000-0000FD410000}"/>
    <cellStyle name="Comma 2 8 2 2 5" xfId="16897" xr:uid="{00000000-0005-0000-0000-0000FE410000}"/>
    <cellStyle name="Comma 2 8 2 2 5 2" xfId="16898" xr:uid="{00000000-0005-0000-0000-0000FF410000}"/>
    <cellStyle name="Comma 2 8 2 2 6" xfId="16899" xr:uid="{00000000-0005-0000-0000-000000420000}"/>
    <cellStyle name="Comma 2 8 2 2 7" xfId="16900" xr:uid="{00000000-0005-0000-0000-000001420000}"/>
    <cellStyle name="Comma 2 8 2 2 8" xfId="16901" xr:uid="{00000000-0005-0000-0000-000002420000}"/>
    <cellStyle name="Comma 2 8 2 2 9" xfId="16902" xr:uid="{00000000-0005-0000-0000-000003420000}"/>
    <cellStyle name="Comma 2 8 2 3" xfId="16903" xr:uid="{00000000-0005-0000-0000-000004420000}"/>
    <cellStyle name="Comma 2 8 2 3 2" xfId="16904" xr:uid="{00000000-0005-0000-0000-000005420000}"/>
    <cellStyle name="Comma 2 8 2 3 2 2" xfId="16905" xr:uid="{00000000-0005-0000-0000-000006420000}"/>
    <cellStyle name="Comma 2 8 2 3 2 2 2" xfId="16906" xr:uid="{00000000-0005-0000-0000-000007420000}"/>
    <cellStyle name="Comma 2 8 2 3 2 2 3" xfId="16907" xr:uid="{00000000-0005-0000-0000-000008420000}"/>
    <cellStyle name="Comma 2 8 2 3 2 3" xfId="16908" xr:uid="{00000000-0005-0000-0000-000009420000}"/>
    <cellStyle name="Comma 2 8 2 3 2 4" xfId="16909" xr:uid="{00000000-0005-0000-0000-00000A420000}"/>
    <cellStyle name="Comma 2 8 2 3 2 5" xfId="16910" xr:uid="{00000000-0005-0000-0000-00000B420000}"/>
    <cellStyle name="Comma 2 8 2 3 2 6" xfId="16911" xr:uid="{00000000-0005-0000-0000-00000C420000}"/>
    <cellStyle name="Comma 2 8 2 3 3" xfId="16912" xr:uid="{00000000-0005-0000-0000-00000D420000}"/>
    <cellStyle name="Comma 2 8 2 3 3 2" xfId="16913" xr:uid="{00000000-0005-0000-0000-00000E420000}"/>
    <cellStyle name="Comma 2 8 2 3 3 2 2" xfId="16914" xr:uid="{00000000-0005-0000-0000-00000F420000}"/>
    <cellStyle name="Comma 2 8 2 3 3 3" xfId="16915" xr:uid="{00000000-0005-0000-0000-000010420000}"/>
    <cellStyle name="Comma 2 8 2 3 3 4" xfId="16916" xr:uid="{00000000-0005-0000-0000-000011420000}"/>
    <cellStyle name="Comma 2 8 2 3 3 5" xfId="16917" xr:uid="{00000000-0005-0000-0000-000012420000}"/>
    <cellStyle name="Comma 2 8 2 3 4" xfId="16918" xr:uid="{00000000-0005-0000-0000-000013420000}"/>
    <cellStyle name="Comma 2 8 2 3 4 2" xfId="16919" xr:uid="{00000000-0005-0000-0000-000014420000}"/>
    <cellStyle name="Comma 2 8 2 3 4 3" xfId="16920" xr:uid="{00000000-0005-0000-0000-000015420000}"/>
    <cellStyle name="Comma 2 8 2 3 4 4" xfId="16921" xr:uid="{00000000-0005-0000-0000-000016420000}"/>
    <cellStyle name="Comma 2 8 2 3 5" xfId="16922" xr:uid="{00000000-0005-0000-0000-000017420000}"/>
    <cellStyle name="Comma 2 8 2 3 5 2" xfId="16923" xr:uid="{00000000-0005-0000-0000-000018420000}"/>
    <cellStyle name="Comma 2 8 2 3 6" xfId="16924" xr:uid="{00000000-0005-0000-0000-000019420000}"/>
    <cellStyle name="Comma 2 8 2 3 7" xfId="16925" xr:uid="{00000000-0005-0000-0000-00001A420000}"/>
    <cellStyle name="Comma 2 8 2 3 8" xfId="16926" xr:uid="{00000000-0005-0000-0000-00001B420000}"/>
    <cellStyle name="Comma 2 8 2 3 9" xfId="16927" xr:uid="{00000000-0005-0000-0000-00001C420000}"/>
    <cellStyle name="Comma 2 8 2 4" xfId="16928" xr:uid="{00000000-0005-0000-0000-00001D420000}"/>
    <cellStyle name="Comma 2 8 2 4 2" xfId="16929" xr:uid="{00000000-0005-0000-0000-00001E420000}"/>
    <cellStyle name="Comma 2 8 2 4 2 2" xfId="16930" xr:uid="{00000000-0005-0000-0000-00001F420000}"/>
    <cellStyle name="Comma 2 8 2 4 2 3" xfId="16931" xr:uid="{00000000-0005-0000-0000-000020420000}"/>
    <cellStyle name="Comma 2 8 2 4 3" xfId="16932" xr:uid="{00000000-0005-0000-0000-000021420000}"/>
    <cellStyle name="Comma 2 8 2 4 4" xfId="16933" xr:uid="{00000000-0005-0000-0000-000022420000}"/>
    <cellStyle name="Comma 2 8 2 4 5" xfId="16934" xr:uid="{00000000-0005-0000-0000-000023420000}"/>
    <cellStyle name="Comma 2 8 2 4 6" xfId="16935" xr:uid="{00000000-0005-0000-0000-000024420000}"/>
    <cellStyle name="Comma 2 8 2 5" xfId="16936" xr:uid="{00000000-0005-0000-0000-000025420000}"/>
    <cellStyle name="Comma 2 8 2 5 2" xfId="16937" xr:uid="{00000000-0005-0000-0000-000026420000}"/>
    <cellStyle name="Comma 2 8 2 5 2 2" xfId="16938" xr:uid="{00000000-0005-0000-0000-000027420000}"/>
    <cellStyle name="Comma 2 8 2 5 3" xfId="16939" xr:uid="{00000000-0005-0000-0000-000028420000}"/>
    <cellStyle name="Comma 2 8 2 5 4" xfId="16940" xr:uid="{00000000-0005-0000-0000-000029420000}"/>
    <cellStyle name="Comma 2 8 2 5 5" xfId="16941" xr:uid="{00000000-0005-0000-0000-00002A420000}"/>
    <cellStyle name="Comma 2 8 2 6" xfId="16942" xr:uid="{00000000-0005-0000-0000-00002B420000}"/>
    <cellStyle name="Comma 2 8 2 6 2" xfId="16943" xr:uid="{00000000-0005-0000-0000-00002C420000}"/>
    <cellStyle name="Comma 2 8 2 6 3" xfId="16944" xr:uid="{00000000-0005-0000-0000-00002D420000}"/>
    <cellStyle name="Comma 2 8 2 6 4" xfId="16945" xr:uid="{00000000-0005-0000-0000-00002E420000}"/>
    <cellStyle name="Comma 2 8 2 7" xfId="16946" xr:uid="{00000000-0005-0000-0000-00002F420000}"/>
    <cellStyle name="Comma 2 8 2 7 2" xfId="16947" xr:uid="{00000000-0005-0000-0000-000030420000}"/>
    <cellStyle name="Comma 2 8 2 8" xfId="16948" xr:uid="{00000000-0005-0000-0000-000031420000}"/>
    <cellStyle name="Comma 2 8 2 9" xfId="16949" xr:uid="{00000000-0005-0000-0000-000032420000}"/>
    <cellStyle name="Comma 2 8 20" xfId="16950" xr:uid="{00000000-0005-0000-0000-000033420000}"/>
    <cellStyle name="Comma 2 8 21" xfId="16951" xr:uid="{00000000-0005-0000-0000-000034420000}"/>
    <cellStyle name="Comma 2 8 22" xfId="16952" xr:uid="{00000000-0005-0000-0000-000035420000}"/>
    <cellStyle name="Comma 2 8 3" xfId="16953" xr:uid="{00000000-0005-0000-0000-000036420000}"/>
    <cellStyle name="Comma 2 8 3 10" xfId="16954" xr:uid="{00000000-0005-0000-0000-000037420000}"/>
    <cellStyle name="Comma 2 8 3 11" xfId="16955" xr:uid="{00000000-0005-0000-0000-000038420000}"/>
    <cellStyle name="Comma 2 8 3 2" xfId="16956" xr:uid="{00000000-0005-0000-0000-000039420000}"/>
    <cellStyle name="Comma 2 8 3 2 2" xfId="16957" xr:uid="{00000000-0005-0000-0000-00003A420000}"/>
    <cellStyle name="Comma 2 8 3 2 2 2" xfId="16958" xr:uid="{00000000-0005-0000-0000-00003B420000}"/>
    <cellStyle name="Comma 2 8 3 2 2 2 2" xfId="16959" xr:uid="{00000000-0005-0000-0000-00003C420000}"/>
    <cellStyle name="Comma 2 8 3 2 2 2 3" xfId="16960" xr:uid="{00000000-0005-0000-0000-00003D420000}"/>
    <cellStyle name="Comma 2 8 3 2 2 3" xfId="16961" xr:uid="{00000000-0005-0000-0000-00003E420000}"/>
    <cellStyle name="Comma 2 8 3 2 2 4" xfId="16962" xr:uid="{00000000-0005-0000-0000-00003F420000}"/>
    <cellStyle name="Comma 2 8 3 2 2 5" xfId="16963" xr:uid="{00000000-0005-0000-0000-000040420000}"/>
    <cellStyle name="Comma 2 8 3 2 2 6" xfId="16964" xr:uid="{00000000-0005-0000-0000-000041420000}"/>
    <cellStyle name="Comma 2 8 3 2 3" xfId="16965" xr:uid="{00000000-0005-0000-0000-000042420000}"/>
    <cellStyle name="Comma 2 8 3 2 3 2" xfId="16966" xr:uid="{00000000-0005-0000-0000-000043420000}"/>
    <cellStyle name="Comma 2 8 3 2 3 2 2" xfId="16967" xr:uid="{00000000-0005-0000-0000-000044420000}"/>
    <cellStyle name="Comma 2 8 3 2 3 3" xfId="16968" xr:uid="{00000000-0005-0000-0000-000045420000}"/>
    <cellStyle name="Comma 2 8 3 2 3 4" xfId="16969" xr:uid="{00000000-0005-0000-0000-000046420000}"/>
    <cellStyle name="Comma 2 8 3 2 3 5" xfId="16970" xr:uid="{00000000-0005-0000-0000-000047420000}"/>
    <cellStyle name="Comma 2 8 3 2 4" xfId="16971" xr:uid="{00000000-0005-0000-0000-000048420000}"/>
    <cellStyle name="Comma 2 8 3 2 4 2" xfId="16972" xr:uid="{00000000-0005-0000-0000-000049420000}"/>
    <cellStyle name="Comma 2 8 3 2 4 3" xfId="16973" xr:uid="{00000000-0005-0000-0000-00004A420000}"/>
    <cellStyle name="Comma 2 8 3 2 4 4" xfId="16974" xr:uid="{00000000-0005-0000-0000-00004B420000}"/>
    <cellStyle name="Comma 2 8 3 2 5" xfId="16975" xr:uid="{00000000-0005-0000-0000-00004C420000}"/>
    <cellStyle name="Comma 2 8 3 2 5 2" xfId="16976" xr:uid="{00000000-0005-0000-0000-00004D420000}"/>
    <cellStyle name="Comma 2 8 3 2 6" xfId="16977" xr:uid="{00000000-0005-0000-0000-00004E420000}"/>
    <cellStyle name="Comma 2 8 3 2 7" xfId="16978" xr:uid="{00000000-0005-0000-0000-00004F420000}"/>
    <cellStyle name="Comma 2 8 3 2 8" xfId="16979" xr:uid="{00000000-0005-0000-0000-000050420000}"/>
    <cellStyle name="Comma 2 8 3 2 9" xfId="16980" xr:uid="{00000000-0005-0000-0000-000051420000}"/>
    <cellStyle name="Comma 2 8 3 3" xfId="16981" xr:uid="{00000000-0005-0000-0000-000052420000}"/>
    <cellStyle name="Comma 2 8 3 3 2" xfId="16982" xr:uid="{00000000-0005-0000-0000-000053420000}"/>
    <cellStyle name="Comma 2 8 3 3 2 2" xfId="16983" xr:uid="{00000000-0005-0000-0000-000054420000}"/>
    <cellStyle name="Comma 2 8 3 3 2 2 2" xfId="16984" xr:uid="{00000000-0005-0000-0000-000055420000}"/>
    <cellStyle name="Comma 2 8 3 3 2 2 3" xfId="16985" xr:uid="{00000000-0005-0000-0000-000056420000}"/>
    <cellStyle name="Comma 2 8 3 3 2 3" xfId="16986" xr:uid="{00000000-0005-0000-0000-000057420000}"/>
    <cellStyle name="Comma 2 8 3 3 2 4" xfId="16987" xr:uid="{00000000-0005-0000-0000-000058420000}"/>
    <cellStyle name="Comma 2 8 3 3 2 5" xfId="16988" xr:uid="{00000000-0005-0000-0000-000059420000}"/>
    <cellStyle name="Comma 2 8 3 3 2 6" xfId="16989" xr:uid="{00000000-0005-0000-0000-00005A420000}"/>
    <cellStyle name="Comma 2 8 3 3 3" xfId="16990" xr:uid="{00000000-0005-0000-0000-00005B420000}"/>
    <cellStyle name="Comma 2 8 3 3 3 2" xfId="16991" xr:uid="{00000000-0005-0000-0000-00005C420000}"/>
    <cellStyle name="Comma 2 8 3 3 3 2 2" xfId="16992" xr:uid="{00000000-0005-0000-0000-00005D420000}"/>
    <cellStyle name="Comma 2 8 3 3 3 3" xfId="16993" xr:uid="{00000000-0005-0000-0000-00005E420000}"/>
    <cellStyle name="Comma 2 8 3 3 3 4" xfId="16994" xr:uid="{00000000-0005-0000-0000-00005F420000}"/>
    <cellStyle name="Comma 2 8 3 3 3 5" xfId="16995" xr:uid="{00000000-0005-0000-0000-000060420000}"/>
    <cellStyle name="Comma 2 8 3 3 4" xfId="16996" xr:uid="{00000000-0005-0000-0000-000061420000}"/>
    <cellStyle name="Comma 2 8 3 3 4 2" xfId="16997" xr:uid="{00000000-0005-0000-0000-000062420000}"/>
    <cellStyle name="Comma 2 8 3 3 4 3" xfId="16998" xr:uid="{00000000-0005-0000-0000-000063420000}"/>
    <cellStyle name="Comma 2 8 3 3 4 4" xfId="16999" xr:uid="{00000000-0005-0000-0000-000064420000}"/>
    <cellStyle name="Comma 2 8 3 3 5" xfId="17000" xr:uid="{00000000-0005-0000-0000-000065420000}"/>
    <cellStyle name="Comma 2 8 3 3 5 2" xfId="17001" xr:uid="{00000000-0005-0000-0000-000066420000}"/>
    <cellStyle name="Comma 2 8 3 3 6" xfId="17002" xr:uid="{00000000-0005-0000-0000-000067420000}"/>
    <cellStyle name="Comma 2 8 3 3 7" xfId="17003" xr:uid="{00000000-0005-0000-0000-000068420000}"/>
    <cellStyle name="Comma 2 8 3 3 8" xfId="17004" xr:uid="{00000000-0005-0000-0000-000069420000}"/>
    <cellStyle name="Comma 2 8 3 3 9" xfId="17005" xr:uid="{00000000-0005-0000-0000-00006A420000}"/>
    <cellStyle name="Comma 2 8 3 4" xfId="17006" xr:uid="{00000000-0005-0000-0000-00006B420000}"/>
    <cellStyle name="Comma 2 8 3 4 2" xfId="17007" xr:uid="{00000000-0005-0000-0000-00006C420000}"/>
    <cellStyle name="Comma 2 8 3 4 2 2" xfId="17008" xr:uid="{00000000-0005-0000-0000-00006D420000}"/>
    <cellStyle name="Comma 2 8 3 4 2 3" xfId="17009" xr:uid="{00000000-0005-0000-0000-00006E420000}"/>
    <cellStyle name="Comma 2 8 3 4 3" xfId="17010" xr:uid="{00000000-0005-0000-0000-00006F420000}"/>
    <cellStyle name="Comma 2 8 3 4 4" xfId="17011" xr:uid="{00000000-0005-0000-0000-000070420000}"/>
    <cellStyle name="Comma 2 8 3 4 5" xfId="17012" xr:uid="{00000000-0005-0000-0000-000071420000}"/>
    <cellStyle name="Comma 2 8 3 4 6" xfId="17013" xr:uid="{00000000-0005-0000-0000-000072420000}"/>
    <cellStyle name="Comma 2 8 3 5" xfId="17014" xr:uid="{00000000-0005-0000-0000-000073420000}"/>
    <cellStyle name="Comma 2 8 3 5 2" xfId="17015" xr:uid="{00000000-0005-0000-0000-000074420000}"/>
    <cellStyle name="Comma 2 8 3 5 2 2" xfId="17016" xr:uid="{00000000-0005-0000-0000-000075420000}"/>
    <cellStyle name="Comma 2 8 3 5 3" xfId="17017" xr:uid="{00000000-0005-0000-0000-000076420000}"/>
    <cellStyle name="Comma 2 8 3 5 4" xfId="17018" xr:uid="{00000000-0005-0000-0000-000077420000}"/>
    <cellStyle name="Comma 2 8 3 5 5" xfId="17019" xr:uid="{00000000-0005-0000-0000-000078420000}"/>
    <cellStyle name="Comma 2 8 3 6" xfId="17020" xr:uid="{00000000-0005-0000-0000-000079420000}"/>
    <cellStyle name="Comma 2 8 3 6 2" xfId="17021" xr:uid="{00000000-0005-0000-0000-00007A420000}"/>
    <cellStyle name="Comma 2 8 3 6 3" xfId="17022" xr:uid="{00000000-0005-0000-0000-00007B420000}"/>
    <cellStyle name="Comma 2 8 3 6 4" xfId="17023" xr:uid="{00000000-0005-0000-0000-00007C420000}"/>
    <cellStyle name="Comma 2 8 3 7" xfId="17024" xr:uid="{00000000-0005-0000-0000-00007D420000}"/>
    <cellStyle name="Comma 2 8 3 7 2" xfId="17025" xr:uid="{00000000-0005-0000-0000-00007E420000}"/>
    <cellStyle name="Comma 2 8 3 8" xfId="17026" xr:uid="{00000000-0005-0000-0000-00007F420000}"/>
    <cellStyle name="Comma 2 8 3 9" xfId="17027" xr:uid="{00000000-0005-0000-0000-000080420000}"/>
    <cellStyle name="Comma 2 8 4" xfId="17028" xr:uid="{00000000-0005-0000-0000-000081420000}"/>
    <cellStyle name="Comma 2 8 4 10" xfId="17029" xr:uid="{00000000-0005-0000-0000-000082420000}"/>
    <cellStyle name="Comma 2 8 4 11" xfId="17030" xr:uid="{00000000-0005-0000-0000-000083420000}"/>
    <cellStyle name="Comma 2 8 4 2" xfId="17031" xr:uid="{00000000-0005-0000-0000-000084420000}"/>
    <cellStyle name="Comma 2 8 4 2 2" xfId="17032" xr:uid="{00000000-0005-0000-0000-000085420000}"/>
    <cellStyle name="Comma 2 8 4 2 2 2" xfId="17033" xr:uid="{00000000-0005-0000-0000-000086420000}"/>
    <cellStyle name="Comma 2 8 4 2 2 2 2" xfId="17034" xr:uid="{00000000-0005-0000-0000-000087420000}"/>
    <cellStyle name="Comma 2 8 4 2 2 2 3" xfId="17035" xr:uid="{00000000-0005-0000-0000-000088420000}"/>
    <cellStyle name="Comma 2 8 4 2 2 3" xfId="17036" xr:uid="{00000000-0005-0000-0000-000089420000}"/>
    <cellStyle name="Comma 2 8 4 2 2 4" xfId="17037" xr:uid="{00000000-0005-0000-0000-00008A420000}"/>
    <cellStyle name="Comma 2 8 4 2 2 5" xfId="17038" xr:uid="{00000000-0005-0000-0000-00008B420000}"/>
    <cellStyle name="Comma 2 8 4 2 2 6" xfId="17039" xr:uid="{00000000-0005-0000-0000-00008C420000}"/>
    <cellStyle name="Comma 2 8 4 2 3" xfId="17040" xr:uid="{00000000-0005-0000-0000-00008D420000}"/>
    <cellStyle name="Comma 2 8 4 2 3 2" xfId="17041" xr:uid="{00000000-0005-0000-0000-00008E420000}"/>
    <cellStyle name="Comma 2 8 4 2 3 2 2" xfId="17042" xr:uid="{00000000-0005-0000-0000-00008F420000}"/>
    <cellStyle name="Comma 2 8 4 2 3 3" xfId="17043" xr:uid="{00000000-0005-0000-0000-000090420000}"/>
    <cellStyle name="Comma 2 8 4 2 3 4" xfId="17044" xr:uid="{00000000-0005-0000-0000-000091420000}"/>
    <cellStyle name="Comma 2 8 4 2 3 5" xfId="17045" xr:uid="{00000000-0005-0000-0000-000092420000}"/>
    <cellStyle name="Comma 2 8 4 2 4" xfId="17046" xr:uid="{00000000-0005-0000-0000-000093420000}"/>
    <cellStyle name="Comma 2 8 4 2 4 2" xfId="17047" xr:uid="{00000000-0005-0000-0000-000094420000}"/>
    <cellStyle name="Comma 2 8 4 2 4 3" xfId="17048" xr:uid="{00000000-0005-0000-0000-000095420000}"/>
    <cellStyle name="Comma 2 8 4 2 4 4" xfId="17049" xr:uid="{00000000-0005-0000-0000-000096420000}"/>
    <cellStyle name="Comma 2 8 4 2 5" xfId="17050" xr:uid="{00000000-0005-0000-0000-000097420000}"/>
    <cellStyle name="Comma 2 8 4 2 5 2" xfId="17051" xr:uid="{00000000-0005-0000-0000-000098420000}"/>
    <cellStyle name="Comma 2 8 4 2 6" xfId="17052" xr:uid="{00000000-0005-0000-0000-000099420000}"/>
    <cellStyle name="Comma 2 8 4 2 7" xfId="17053" xr:uid="{00000000-0005-0000-0000-00009A420000}"/>
    <cellStyle name="Comma 2 8 4 2 8" xfId="17054" xr:uid="{00000000-0005-0000-0000-00009B420000}"/>
    <cellStyle name="Comma 2 8 4 2 9" xfId="17055" xr:uid="{00000000-0005-0000-0000-00009C420000}"/>
    <cellStyle name="Comma 2 8 4 3" xfId="17056" xr:uid="{00000000-0005-0000-0000-00009D420000}"/>
    <cellStyle name="Comma 2 8 4 3 2" xfId="17057" xr:uid="{00000000-0005-0000-0000-00009E420000}"/>
    <cellStyle name="Comma 2 8 4 3 2 2" xfId="17058" xr:uid="{00000000-0005-0000-0000-00009F420000}"/>
    <cellStyle name="Comma 2 8 4 3 2 2 2" xfId="17059" xr:uid="{00000000-0005-0000-0000-0000A0420000}"/>
    <cellStyle name="Comma 2 8 4 3 2 2 3" xfId="17060" xr:uid="{00000000-0005-0000-0000-0000A1420000}"/>
    <cellStyle name="Comma 2 8 4 3 2 3" xfId="17061" xr:uid="{00000000-0005-0000-0000-0000A2420000}"/>
    <cellStyle name="Comma 2 8 4 3 2 4" xfId="17062" xr:uid="{00000000-0005-0000-0000-0000A3420000}"/>
    <cellStyle name="Comma 2 8 4 3 2 5" xfId="17063" xr:uid="{00000000-0005-0000-0000-0000A4420000}"/>
    <cellStyle name="Comma 2 8 4 3 2 6" xfId="17064" xr:uid="{00000000-0005-0000-0000-0000A5420000}"/>
    <cellStyle name="Comma 2 8 4 3 3" xfId="17065" xr:uid="{00000000-0005-0000-0000-0000A6420000}"/>
    <cellStyle name="Comma 2 8 4 3 3 2" xfId="17066" xr:uid="{00000000-0005-0000-0000-0000A7420000}"/>
    <cellStyle name="Comma 2 8 4 3 3 2 2" xfId="17067" xr:uid="{00000000-0005-0000-0000-0000A8420000}"/>
    <cellStyle name="Comma 2 8 4 3 3 3" xfId="17068" xr:uid="{00000000-0005-0000-0000-0000A9420000}"/>
    <cellStyle name="Comma 2 8 4 3 3 4" xfId="17069" xr:uid="{00000000-0005-0000-0000-0000AA420000}"/>
    <cellStyle name="Comma 2 8 4 3 3 5" xfId="17070" xr:uid="{00000000-0005-0000-0000-0000AB420000}"/>
    <cellStyle name="Comma 2 8 4 3 4" xfId="17071" xr:uid="{00000000-0005-0000-0000-0000AC420000}"/>
    <cellStyle name="Comma 2 8 4 3 4 2" xfId="17072" xr:uid="{00000000-0005-0000-0000-0000AD420000}"/>
    <cellStyle name="Comma 2 8 4 3 4 3" xfId="17073" xr:uid="{00000000-0005-0000-0000-0000AE420000}"/>
    <cellStyle name="Comma 2 8 4 3 4 4" xfId="17074" xr:uid="{00000000-0005-0000-0000-0000AF420000}"/>
    <cellStyle name="Comma 2 8 4 3 5" xfId="17075" xr:uid="{00000000-0005-0000-0000-0000B0420000}"/>
    <cellStyle name="Comma 2 8 4 3 5 2" xfId="17076" xr:uid="{00000000-0005-0000-0000-0000B1420000}"/>
    <cellStyle name="Comma 2 8 4 3 6" xfId="17077" xr:uid="{00000000-0005-0000-0000-0000B2420000}"/>
    <cellStyle name="Comma 2 8 4 3 7" xfId="17078" xr:uid="{00000000-0005-0000-0000-0000B3420000}"/>
    <cellStyle name="Comma 2 8 4 3 8" xfId="17079" xr:uid="{00000000-0005-0000-0000-0000B4420000}"/>
    <cellStyle name="Comma 2 8 4 3 9" xfId="17080" xr:uid="{00000000-0005-0000-0000-0000B5420000}"/>
    <cellStyle name="Comma 2 8 4 4" xfId="17081" xr:uid="{00000000-0005-0000-0000-0000B6420000}"/>
    <cellStyle name="Comma 2 8 4 4 2" xfId="17082" xr:uid="{00000000-0005-0000-0000-0000B7420000}"/>
    <cellStyle name="Comma 2 8 4 4 2 2" xfId="17083" xr:uid="{00000000-0005-0000-0000-0000B8420000}"/>
    <cellStyle name="Comma 2 8 4 4 2 3" xfId="17084" xr:uid="{00000000-0005-0000-0000-0000B9420000}"/>
    <cellStyle name="Comma 2 8 4 4 3" xfId="17085" xr:uid="{00000000-0005-0000-0000-0000BA420000}"/>
    <cellStyle name="Comma 2 8 4 4 4" xfId="17086" xr:uid="{00000000-0005-0000-0000-0000BB420000}"/>
    <cellStyle name="Comma 2 8 4 4 5" xfId="17087" xr:uid="{00000000-0005-0000-0000-0000BC420000}"/>
    <cellStyle name="Comma 2 8 4 4 6" xfId="17088" xr:uid="{00000000-0005-0000-0000-0000BD420000}"/>
    <cellStyle name="Comma 2 8 4 5" xfId="17089" xr:uid="{00000000-0005-0000-0000-0000BE420000}"/>
    <cellStyle name="Comma 2 8 4 5 2" xfId="17090" xr:uid="{00000000-0005-0000-0000-0000BF420000}"/>
    <cellStyle name="Comma 2 8 4 5 2 2" xfId="17091" xr:uid="{00000000-0005-0000-0000-0000C0420000}"/>
    <cellStyle name="Comma 2 8 4 5 3" xfId="17092" xr:uid="{00000000-0005-0000-0000-0000C1420000}"/>
    <cellStyle name="Comma 2 8 4 5 4" xfId="17093" xr:uid="{00000000-0005-0000-0000-0000C2420000}"/>
    <cellStyle name="Comma 2 8 4 5 5" xfId="17094" xr:uid="{00000000-0005-0000-0000-0000C3420000}"/>
    <cellStyle name="Comma 2 8 4 6" xfId="17095" xr:uid="{00000000-0005-0000-0000-0000C4420000}"/>
    <cellStyle name="Comma 2 8 4 6 2" xfId="17096" xr:uid="{00000000-0005-0000-0000-0000C5420000}"/>
    <cellStyle name="Comma 2 8 4 6 3" xfId="17097" xr:uid="{00000000-0005-0000-0000-0000C6420000}"/>
    <cellStyle name="Comma 2 8 4 6 4" xfId="17098" xr:uid="{00000000-0005-0000-0000-0000C7420000}"/>
    <cellStyle name="Comma 2 8 4 7" xfId="17099" xr:uid="{00000000-0005-0000-0000-0000C8420000}"/>
    <cellStyle name="Comma 2 8 4 7 2" xfId="17100" xr:uid="{00000000-0005-0000-0000-0000C9420000}"/>
    <cellStyle name="Comma 2 8 4 8" xfId="17101" xr:uid="{00000000-0005-0000-0000-0000CA420000}"/>
    <cellStyle name="Comma 2 8 4 9" xfId="17102" xr:uid="{00000000-0005-0000-0000-0000CB420000}"/>
    <cellStyle name="Comma 2 8 5" xfId="17103" xr:uid="{00000000-0005-0000-0000-0000CC420000}"/>
    <cellStyle name="Comma 2 8 5 10" xfId="17104" xr:uid="{00000000-0005-0000-0000-0000CD420000}"/>
    <cellStyle name="Comma 2 8 5 11" xfId="17105" xr:uid="{00000000-0005-0000-0000-0000CE420000}"/>
    <cellStyle name="Comma 2 8 5 2" xfId="17106" xr:uid="{00000000-0005-0000-0000-0000CF420000}"/>
    <cellStyle name="Comma 2 8 5 2 2" xfId="17107" xr:uid="{00000000-0005-0000-0000-0000D0420000}"/>
    <cellStyle name="Comma 2 8 5 2 2 2" xfId="17108" xr:uid="{00000000-0005-0000-0000-0000D1420000}"/>
    <cellStyle name="Comma 2 8 5 2 2 2 2" xfId="17109" xr:uid="{00000000-0005-0000-0000-0000D2420000}"/>
    <cellStyle name="Comma 2 8 5 2 2 2 3" xfId="17110" xr:uid="{00000000-0005-0000-0000-0000D3420000}"/>
    <cellStyle name="Comma 2 8 5 2 2 3" xfId="17111" xr:uid="{00000000-0005-0000-0000-0000D4420000}"/>
    <cellStyle name="Comma 2 8 5 2 2 4" xfId="17112" xr:uid="{00000000-0005-0000-0000-0000D5420000}"/>
    <cellStyle name="Comma 2 8 5 2 2 5" xfId="17113" xr:uid="{00000000-0005-0000-0000-0000D6420000}"/>
    <cellStyle name="Comma 2 8 5 2 2 6" xfId="17114" xr:uid="{00000000-0005-0000-0000-0000D7420000}"/>
    <cellStyle name="Comma 2 8 5 2 3" xfId="17115" xr:uid="{00000000-0005-0000-0000-0000D8420000}"/>
    <cellStyle name="Comma 2 8 5 2 3 2" xfId="17116" xr:uid="{00000000-0005-0000-0000-0000D9420000}"/>
    <cellStyle name="Comma 2 8 5 2 3 2 2" xfId="17117" xr:uid="{00000000-0005-0000-0000-0000DA420000}"/>
    <cellStyle name="Comma 2 8 5 2 3 3" xfId="17118" xr:uid="{00000000-0005-0000-0000-0000DB420000}"/>
    <cellStyle name="Comma 2 8 5 2 3 4" xfId="17119" xr:uid="{00000000-0005-0000-0000-0000DC420000}"/>
    <cellStyle name="Comma 2 8 5 2 3 5" xfId="17120" xr:uid="{00000000-0005-0000-0000-0000DD420000}"/>
    <cellStyle name="Comma 2 8 5 2 4" xfId="17121" xr:uid="{00000000-0005-0000-0000-0000DE420000}"/>
    <cellStyle name="Comma 2 8 5 2 4 2" xfId="17122" xr:uid="{00000000-0005-0000-0000-0000DF420000}"/>
    <cellStyle name="Comma 2 8 5 2 4 3" xfId="17123" xr:uid="{00000000-0005-0000-0000-0000E0420000}"/>
    <cellStyle name="Comma 2 8 5 2 4 4" xfId="17124" xr:uid="{00000000-0005-0000-0000-0000E1420000}"/>
    <cellStyle name="Comma 2 8 5 2 5" xfId="17125" xr:uid="{00000000-0005-0000-0000-0000E2420000}"/>
    <cellStyle name="Comma 2 8 5 2 5 2" xfId="17126" xr:uid="{00000000-0005-0000-0000-0000E3420000}"/>
    <cellStyle name="Comma 2 8 5 2 6" xfId="17127" xr:uid="{00000000-0005-0000-0000-0000E4420000}"/>
    <cellStyle name="Comma 2 8 5 2 7" xfId="17128" xr:uid="{00000000-0005-0000-0000-0000E5420000}"/>
    <cellStyle name="Comma 2 8 5 2 8" xfId="17129" xr:uid="{00000000-0005-0000-0000-0000E6420000}"/>
    <cellStyle name="Comma 2 8 5 2 9" xfId="17130" xr:uid="{00000000-0005-0000-0000-0000E7420000}"/>
    <cellStyle name="Comma 2 8 5 3" xfId="17131" xr:uid="{00000000-0005-0000-0000-0000E8420000}"/>
    <cellStyle name="Comma 2 8 5 3 2" xfId="17132" xr:uid="{00000000-0005-0000-0000-0000E9420000}"/>
    <cellStyle name="Comma 2 8 5 3 2 2" xfId="17133" xr:uid="{00000000-0005-0000-0000-0000EA420000}"/>
    <cellStyle name="Comma 2 8 5 3 2 2 2" xfId="17134" xr:uid="{00000000-0005-0000-0000-0000EB420000}"/>
    <cellStyle name="Comma 2 8 5 3 2 2 3" xfId="17135" xr:uid="{00000000-0005-0000-0000-0000EC420000}"/>
    <cellStyle name="Comma 2 8 5 3 2 3" xfId="17136" xr:uid="{00000000-0005-0000-0000-0000ED420000}"/>
    <cellStyle name="Comma 2 8 5 3 2 4" xfId="17137" xr:uid="{00000000-0005-0000-0000-0000EE420000}"/>
    <cellStyle name="Comma 2 8 5 3 2 5" xfId="17138" xr:uid="{00000000-0005-0000-0000-0000EF420000}"/>
    <cellStyle name="Comma 2 8 5 3 2 6" xfId="17139" xr:uid="{00000000-0005-0000-0000-0000F0420000}"/>
    <cellStyle name="Comma 2 8 5 3 3" xfId="17140" xr:uid="{00000000-0005-0000-0000-0000F1420000}"/>
    <cellStyle name="Comma 2 8 5 3 3 2" xfId="17141" xr:uid="{00000000-0005-0000-0000-0000F2420000}"/>
    <cellStyle name="Comma 2 8 5 3 3 2 2" xfId="17142" xr:uid="{00000000-0005-0000-0000-0000F3420000}"/>
    <cellStyle name="Comma 2 8 5 3 3 3" xfId="17143" xr:uid="{00000000-0005-0000-0000-0000F4420000}"/>
    <cellStyle name="Comma 2 8 5 3 3 4" xfId="17144" xr:uid="{00000000-0005-0000-0000-0000F5420000}"/>
    <cellStyle name="Comma 2 8 5 3 3 5" xfId="17145" xr:uid="{00000000-0005-0000-0000-0000F6420000}"/>
    <cellStyle name="Comma 2 8 5 3 4" xfId="17146" xr:uid="{00000000-0005-0000-0000-0000F7420000}"/>
    <cellStyle name="Comma 2 8 5 3 4 2" xfId="17147" xr:uid="{00000000-0005-0000-0000-0000F8420000}"/>
    <cellStyle name="Comma 2 8 5 3 4 3" xfId="17148" xr:uid="{00000000-0005-0000-0000-0000F9420000}"/>
    <cellStyle name="Comma 2 8 5 3 4 4" xfId="17149" xr:uid="{00000000-0005-0000-0000-0000FA420000}"/>
    <cellStyle name="Comma 2 8 5 3 5" xfId="17150" xr:uid="{00000000-0005-0000-0000-0000FB420000}"/>
    <cellStyle name="Comma 2 8 5 3 5 2" xfId="17151" xr:uid="{00000000-0005-0000-0000-0000FC420000}"/>
    <cellStyle name="Comma 2 8 5 3 6" xfId="17152" xr:uid="{00000000-0005-0000-0000-0000FD420000}"/>
    <cellStyle name="Comma 2 8 5 3 7" xfId="17153" xr:uid="{00000000-0005-0000-0000-0000FE420000}"/>
    <cellStyle name="Comma 2 8 5 3 8" xfId="17154" xr:uid="{00000000-0005-0000-0000-0000FF420000}"/>
    <cellStyle name="Comma 2 8 5 3 9" xfId="17155" xr:uid="{00000000-0005-0000-0000-000000430000}"/>
    <cellStyle name="Comma 2 8 5 4" xfId="17156" xr:uid="{00000000-0005-0000-0000-000001430000}"/>
    <cellStyle name="Comma 2 8 5 4 2" xfId="17157" xr:uid="{00000000-0005-0000-0000-000002430000}"/>
    <cellStyle name="Comma 2 8 5 4 2 2" xfId="17158" xr:uid="{00000000-0005-0000-0000-000003430000}"/>
    <cellStyle name="Comma 2 8 5 4 2 3" xfId="17159" xr:uid="{00000000-0005-0000-0000-000004430000}"/>
    <cellStyle name="Comma 2 8 5 4 3" xfId="17160" xr:uid="{00000000-0005-0000-0000-000005430000}"/>
    <cellStyle name="Comma 2 8 5 4 4" xfId="17161" xr:uid="{00000000-0005-0000-0000-000006430000}"/>
    <cellStyle name="Comma 2 8 5 4 5" xfId="17162" xr:uid="{00000000-0005-0000-0000-000007430000}"/>
    <cellStyle name="Comma 2 8 5 4 6" xfId="17163" xr:uid="{00000000-0005-0000-0000-000008430000}"/>
    <cellStyle name="Comma 2 8 5 5" xfId="17164" xr:uid="{00000000-0005-0000-0000-000009430000}"/>
    <cellStyle name="Comma 2 8 5 5 2" xfId="17165" xr:uid="{00000000-0005-0000-0000-00000A430000}"/>
    <cellStyle name="Comma 2 8 5 5 2 2" xfId="17166" xr:uid="{00000000-0005-0000-0000-00000B430000}"/>
    <cellStyle name="Comma 2 8 5 5 3" xfId="17167" xr:uid="{00000000-0005-0000-0000-00000C430000}"/>
    <cellStyle name="Comma 2 8 5 5 4" xfId="17168" xr:uid="{00000000-0005-0000-0000-00000D430000}"/>
    <cellStyle name="Comma 2 8 5 5 5" xfId="17169" xr:uid="{00000000-0005-0000-0000-00000E430000}"/>
    <cellStyle name="Comma 2 8 5 6" xfId="17170" xr:uid="{00000000-0005-0000-0000-00000F430000}"/>
    <cellStyle name="Comma 2 8 5 6 2" xfId="17171" xr:uid="{00000000-0005-0000-0000-000010430000}"/>
    <cellStyle name="Comma 2 8 5 6 3" xfId="17172" xr:uid="{00000000-0005-0000-0000-000011430000}"/>
    <cellStyle name="Comma 2 8 5 6 4" xfId="17173" xr:uid="{00000000-0005-0000-0000-000012430000}"/>
    <cellStyle name="Comma 2 8 5 7" xfId="17174" xr:uid="{00000000-0005-0000-0000-000013430000}"/>
    <cellStyle name="Comma 2 8 5 7 2" xfId="17175" xr:uid="{00000000-0005-0000-0000-000014430000}"/>
    <cellStyle name="Comma 2 8 5 8" xfId="17176" xr:uid="{00000000-0005-0000-0000-000015430000}"/>
    <cellStyle name="Comma 2 8 5 9" xfId="17177" xr:uid="{00000000-0005-0000-0000-000016430000}"/>
    <cellStyle name="Comma 2 8 6" xfId="17178" xr:uid="{00000000-0005-0000-0000-000017430000}"/>
    <cellStyle name="Comma 2 8 6 10" xfId="17179" xr:uid="{00000000-0005-0000-0000-000018430000}"/>
    <cellStyle name="Comma 2 8 6 11" xfId="17180" xr:uid="{00000000-0005-0000-0000-000019430000}"/>
    <cellStyle name="Comma 2 8 6 2" xfId="17181" xr:uid="{00000000-0005-0000-0000-00001A430000}"/>
    <cellStyle name="Comma 2 8 6 2 2" xfId="17182" xr:uid="{00000000-0005-0000-0000-00001B430000}"/>
    <cellStyle name="Comma 2 8 6 2 2 2" xfId="17183" xr:uid="{00000000-0005-0000-0000-00001C430000}"/>
    <cellStyle name="Comma 2 8 6 2 2 2 2" xfId="17184" xr:uid="{00000000-0005-0000-0000-00001D430000}"/>
    <cellStyle name="Comma 2 8 6 2 2 2 3" xfId="17185" xr:uid="{00000000-0005-0000-0000-00001E430000}"/>
    <cellStyle name="Comma 2 8 6 2 2 3" xfId="17186" xr:uid="{00000000-0005-0000-0000-00001F430000}"/>
    <cellStyle name="Comma 2 8 6 2 2 4" xfId="17187" xr:uid="{00000000-0005-0000-0000-000020430000}"/>
    <cellStyle name="Comma 2 8 6 2 2 5" xfId="17188" xr:uid="{00000000-0005-0000-0000-000021430000}"/>
    <cellStyle name="Comma 2 8 6 2 2 6" xfId="17189" xr:uid="{00000000-0005-0000-0000-000022430000}"/>
    <cellStyle name="Comma 2 8 6 2 3" xfId="17190" xr:uid="{00000000-0005-0000-0000-000023430000}"/>
    <cellStyle name="Comma 2 8 6 2 3 2" xfId="17191" xr:uid="{00000000-0005-0000-0000-000024430000}"/>
    <cellStyle name="Comma 2 8 6 2 3 2 2" xfId="17192" xr:uid="{00000000-0005-0000-0000-000025430000}"/>
    <cellStyle name="Comma 2 8 6 2 3 3" xfId="17193" xr:uid="{00000000-0005-0000-0000-000026430000}"/>
    <cellStyle name="Comma 2 8 6 2 3 4" xfId="17194" xr:uid="{00000000-0005-0000-0000-000027430000}"/>
    <cellStyle name="Comma 2 8 6 2 3 5" xfId="17195" xr:uid="{00000000-0005-0000-0000-000028430000}"/>
    <cellStyle name="Comma 2 8 6 2 4" xfId="17196" xr:uid="{00000000-0005-0000-0000-000029430000}"/>
    <cellStyle name="Comma 2 8 6 2 4 2" xfId="17197" xr:uid="{00000000-0005-0000-0000-00002A430000}"/>
    <cellStyle name="Comma 2 8 6 2 4 3" xfId="17198" xr:uid="{00000000-0005-0000-0000-00002B430000}"/>
    <cellStyle name="Comma 2 8 6 2 4 4" xfId="17199" xr:uid="{00000000-0005-0000-0000-00002C430000}"/>
    <cellStyle name="Comma 2 8 6 2 5" xfId="17200" xr:uid="{00000000-0005-0000-0000-00002D430000}"/>
    <cellStyle name="Comma 2 8 6 2 5 2" xfId="17201" xr:uid="{00000000-0005-0000-0000-00002E430000}"/>
    <cellStyle name="Comma 2 8 6 2 6" xfId="17202" xr:uid="{00000000-0005-0000-0000-00002F430000}"/>
    <cellStyle name="Comma 2 8 6 2 7" xfId="17203" xr:uid="{00000000-0005-0000-0000-000030430000}"/>
    <cellStyle name="Comma 2 8 6 2 8" xfId="17204" xr:uid="{00000000-0005-0000-0000-000031430000}"/>
    <cellStyle name="Comma 2 8 6 2 9" xfId="17205" xr:uid="{00000000-0005-0000-0000-000032430000}"/>
    <cellStyle name="Comma 2 8 6 3" xfId="17206" xr:uid="{00000000-0005-0000-0000-000033430000}"/>
    <cellStyle name="Comma 2 8 6 3 2" xfId="17207" xr:uid="{00000000-0005-0000-0000-000034430000}"/>
    <cellStyle name="Comma 2 8 6 3 2 2" xfId="17208" xr:uid="{00000000-0005-0000-0000-000035430000}"/>
    <cellStyle name="Comma 2 8 6 3 2 2 2" xfId="17209" xr:uid="{00000000-0005-0000-0000-000036430000}"/>
    <cellStyle name="Comma 2 8 6 3 2 2 3" xfId="17210" xr:uid="{00000000-0005-0000-0000-000037430000}"/>
    <cellStyle name="Comma 2 8 6 3 2 3" xfId="17211" xr:uid="{00000000-0005-0000-0000-000038430000}"/>
    <cellStyle name="Comma 2 8 6 3 2 4" xfId="17212" xr:uid="{00000000-0005-0000-0000-000039430000}"/>
    <cellStyle name="Comma 2 8 6 3 2 5" xfId="17213" xr:uid="{00000000-0005-0000-0000-00003A430000}"/>
    <cellStyle name="Comma 2 8 6 3 2 6" xfId="17214" xr:uid="{00000000-0005-0000-0000-00003B430000}"/>
    <cellStyle name="Comma 2 8 6 3 3" xfId="17215" xr:uid="{00000000-0005-0000-0000-00003C430000}"/>
    <cellStyle name="Comma 2 8 6 3 3 2" xfId="17216" xr:uid="{00000000-0005-0000-0000-00003D430000}"/>
    <cellStyle name="Comma 2 8 6 3 3 2 2" xfId="17217" xr:uid="{00000000-0005-0000-0000-00003E430000}"/>
    <cellStyle name="Comma 2 8 6 3 3 3" xfId="17218" xr:uid="{00000000-0005-0000-0000-00003F430000}"/>
    <cellStyle name="Comma 2 8 6 3 3 4" xfId="17219" xr:uid="{00000000-0005-0000-0000-000040430000}"/>
    <cellStyle name="Comma 2 8 6 3 3 5" xfId="17220" xr:uid="{00000000-0005-0000-0000-000041430000}"/>
    <cellStyle name="Comma 2 8 6 3 4" xfId="17221" xr:uid="{00000000-0005-0000-0000-000042430000}"/>
    <cellStyle name="Comma 2 8 6 3 4 2" xfId="17222" xr:uid="{00000000-0005-0000-0000-000043430000}"/>
    <cellStyle name="Comma 2 8 6 3 4 3" xfId="17223" xr:uid="{00000000-0005-0000-0000-000044430000}"/>
    <cellStyle name="Comma 2 8 6 3 4 4" xfId="17224" xr:uid="{00000000-0005-0000-0000-000045430000}"/>
    <cellStyle name="Comma 2 8 6 3 5" xfId="17225" xr:uid="{00000000-0005-0000-0000-000046430000}"/>
    <cellStyle name="Comma 2 8 6 3 5 2" xfId="17226" xr:uid="{00000000-0005-0000-0000-000047430000}"/>
    <cellStyle name="Comma 2 8 6 3 6" xfId="17227" xr:uid="{00000000-0005-0000-0000-000048430000}"/>
    <cellStyle name="Comma 2 8 6 3 7" xfId="17228" xr:uid="{00000000-0005-0000-0000-000049430000}"/>
    <cellStyle name="Comma 2 8 6 3 8" xfId="17229" xr:uid="{00000000-0005-0000-0000-00004A430000}"/>
    <cellStyle name="Comma 2 8 6 3 9" xfId="17230" xr:uid="{00000000-0005-0000-0000-00004B430000}"/>
    <cellStyle name="Comma 2 8 6 4" xfId="17231" xr:uid="{00000000-0005-0000-0000-00004C430000}"/>
    <cellStyle name="Comma 2 8 6 4 2" xfId="17232" xr:uid="{00000000-0005-0000-0000-00004D430000}"/>
    <cellStyle name="Comma 2 8 6 4 2 2" xfId="17233" xr:uid="{00000000-0005-0000-0000-00004E430000}"/>
    <cellStyle name="Comma 2 8 6 4 2 3" xfId="17234" xr:uid="{00000000-0005-0000-0000-00004F430000}"/>
    <cellStyle name="Comma 2 8 6 4 3" xfId="17235" xr:uid="{00000000-0005-0000-0000-000050430000}"/>
    <cellStyle name="Comma 2 8 6 4 4" xfId="17236" xr:uid="{00000000-0005-0000-0000-000051430000}"/>
    <cellStyle name="Comma 2 8 6 4 5" xfId="17237" xr:uid="{00000000-0005-0000-0000-000052430000}"/>
    <cellStyle name="Comma 2 8 6 4 6" xfId="17238" xr:uid="{00000000-0005-0000-0000-000053430000}"/>
    <cellStyle name="Comma 2 8 6 5" xfId="17239" xr:uid="{00000000-0005-0000-0000-000054430000}"/>
    <cellStyle name="Comma 2 8 6 5 2" xfId="17240" xr:uid="{00000000-0005-0000-0000-000055430000}"/>
    <cellStyle name="Comma 2 8 6 5 2 2" xfId="17241" xr:uid="{00000000-0005-0000-0000-000056430000}"/>
    <cellStyle name="Comma 2 8 6 5 3" xfId="17242" xr:uid="{00000000-0005-0000-0000-000057430000}"/>
    <cellStyle name="Comma 2 8 6 5 4" xfId="17243" xr:uid="{00000000-0005-0000-0000-000058430000}"/>
    <cellStyle name="Comma 2 8 6 5 5" xfId="17244" xr:uid="{00000000-0005-0000-0000-000059430000}"/>
    <cellStyle name="Comma 2 8 6 6" xfId="17245" xr:uid="{00000000-0005-0000-0000-00005A430000}"/>
    <cellStyle name="Comma 2 8 6 6 2" xfId="17246" xr:uid="{00000000-0005-0000-0000-00005B430000}"/>
    <cellStyle name="Comma 2 8 6 6 3" xfId="17247" xr:uid="{00000000-0005-0000-0000-00005C430000}"/>
    <cellStyle name="Comma 2 8 6 6 4" xfId="17248" xr:uid="{00000000-0005-0000-0000-00005D430000}"/>
    <cellStyle name="Comma 2 8 6 7" xfId="17249" xr:uid="{00000000-0005-0000-0000-00005E430000}"/>
    <cellStyle name="Comma 2 8 6 7 2" xfId="17250" xr:uid="{00000000-0005-0000-0000-00005F430000}"/>
    <cellStyle name="Comma 2 8 6 8" xfId="17251" xr:uid="{00000000-0005-0000-0000-000060430000}"/>
    <cellStyle name="Comma 2 8 6 9" xfId="17252" xr:uid="{00000000-0005-0000-0000-000061430000}"/>
    <cellStyle name="Comma 2 8 7" xfId="17253" xr:uid="{00000000-0005-0000-0000-000062430000}"/>
    <cellStyle name="Comma 2 8 7 10" xfId="17254" xr:uid="{00000000-0005-0000-0000-000063430000}"/>
    <cellStyle name="Comma 2 8 7 11" xfId="17255" xr:uid="{00000000-0005-0000-0000-000064430000}"/>
    <cellStyle name="Comma 2 8 7 2" xfId="17256" xr:uid="{00000000-0005-0000-0000-000065430000}"/>
    <cellStyle name="Comma 2 8 7 2 2" xfId="17257" xr:uid="{00000000-0005-0000-0000-000066430000}"/>
    <cellStyle name="Comma 2 8 7 2 2 2" xfId="17258" xr:uid="{00000000-0005-0000-0000-000067430000}"/>
    <cellStyle name="Comma 2 8 7 2 2 2 2" xfId="17259" xr:uid="{00000000-0005-0000-0000-000068430000}"/>
    <cellStyle name="Comma 2 8 7 2 2 2 3" xfId="17260" xr:uid="{00000000-0005-0000-0000-000069430000}"/>
    <cellStyle name="Comma 2 8 7 2 2 3" xfId="17261" xr:uid="{00000000-0005-0000-0000-00006A430000}"/>
    <cellStyle name="Comma 2 8 7 2 2 4" xfId="17262" xr:uid="{00000000-0005-0000-0000-00006B430000}"/>
    <cellStyle name="Comma 2 8 7 2 2 5" xfId="17263" xr:uid="{00000000-0005-0000-0000-00006C430000}"/>
    <cellStyle name="Comma 2 8 7 2 2 6" xfId="17264" xr:uid="{00000000-0005-0000-0000-00006D430000}"/>
    <cellStyle name="Comma 2 8 7 2 3" xfId="17265" xr:uid="{00000000-0005-0000-0000-00006E430000}"/>
    <cellStyle name="Comma 2 8 7 2 3 2" xfId="17266" xr:uid="{00000000-0005-0000-0000-00006F430000}"/>
    <cellStyle name="Comma 2 8 7 2 3 2 2" xfId="17267" xr:uid="{00000000-0005-0000-0000-000070430000}"/>
    <cellStyle name="Comma 2 8 7 2 3 3" xfId="17268" xr:uid="{00000000-0005-0000-0000-000071430000}"/>
    <cellStyle name="Comma 2 8 7 2 3 4" xfId="17269" xr:uid="{00000000-0005-0000-0000-000072430000}"/>
    <cellStyle name="Comma 2 8 7 2 3 5" xfId="17270" xr:uid="{00000000-0005-0000-0000-000073430000}"/>
    <cellStyle name="Comma 2 8 7 2 4" xfId="17271" xr:uid="{00000000-0005-0000-0000-000074430000}"/>
    <cellStyle name="Comma 2 8 7 2 4 2" xfId="17272" xr:uid="{00000000-0005-0000-0000-000075430000}"/>
    <cellStyle name="Comma 2 8 7 2 4 3" xfId="17273" xr:uid="{00000000-0005-0000-0000-000076430000}"/>
    <cellStyle name="Comma 2 8 7 2 4 4" xfId="17274" xr:uid="{00000000-0005-0000-0000-000077430000}"/>
    <cellStyle name="Comma 2 8 7 2 5" xfId="17275" xr:uid="{00000000-0005-0000-0000-000078430000}"/>
    <cellStyle name="Comma 2 8 7 2 5 2" xfId="17276" xr:uid="{00000000-0005-0000-0000-000079430000}"/>
    <cellStyle name="Comma 2 8 7 2 6" xfId="17277" xr:uid="{00000000-0005-0000-0000-00007A430000}"/>
    <cellStyle name="Comma 2 8 7 2 7" xfId="17278" xr:uid="{00000000-0005-0000-0000-00007B430000}"/>
    <cellStyle name="Comma 2 8 7 2 8" xfId="17279" xr:uid="{00000000-0005-0000-0000-00007C430000}"/>
    <cellStyle name="Comma 2 8 7 2 9" xfId="17280" xr:uid="{00000000-0005-0000-0000-00007D430000}"/>
    <cellStyle name="Comma 2 8 7 3" xfId="17281" xr:uid="{00000000-0005-0000-0000-00007E430000}"/>
    <cellStyle name="Comma 2 8 7 3 2" xfId="17282" xr:uid="{00000000-0005-0000-0000-00007F430000}"/>
    <cellStyle name="Comma 2 8 7 3 2 2" xfId="17283" xr:uid="{00000000-0005-0000-0000-000080430000}"/>
    <cellStyle name="Comma 2 8 7 3 2 2 2" xfId="17284" xr:uid="{00000000-0005-0000-0000-000081430000}"/>
    <cellStyle name="Comma 2 8 7 3 2 2 3" xfId="17285" xr:uid="{00000000-0005-0000-0000-000082430000}"/>
    <cellStyle name="Comma 2 8 7 3 2 3" xfId="17286" xr:uid="{00000000-0005-0000-0000-000083430000}"/>
    <cellStyle name="Comma 2 8 7 3 2 4" xfId="17287" xr:uid="{00000000-0005-0000-0000-000084430000}"/>
    <cellStyle name="Comma 2 8 7 3 2 5" xfId="17288" xr:uid="{00000000-0005-0000-0000-000085430000}"/>
    <cellStyle name="Comma 2 8 7 3 2 6" xfId="17289" xr:uid="{00000000-0005-0000-0000-000086430000}"/>
    <cellStyle name="Comma 2 8 7 3 3" xfId="17290" xr:uid="{00000000-0005-0000-0000-000087430000}"/>
    <cellStyle name="Comma 2 8 7 3 3 2" xfId="17291" xr:uid="{00000000-0005-0000-0000-000088430000}"/>
    <cellStyle name="Comma 2 8 7 3 3 2 2" xfId="17292" xr:uid="{00000000-0005-0000-0000-000089430000}"/>
    <cellStyle name="Comma 2 8 7 3 3 3" xfId="17293" xr:uid="{00000000-0005-0000-0000-00008A430000}"/>
    <cellStyle name="Comma 2 8 7 3 3 4" xfId="17294" xr:uid="{00000000-0005-0000-0000-00008B430000}"/>
    <cellStyle name="Comma 2 8 7 3 3 5" xfId="17295" xr:uid="{00000000-0005-0000-0000-00008C430000}"/>
    <cellStyle name="Comma 2 8 7 3 4" xfId="17296" xr:uid="{00000000-0005-0000-0000-00008D430000}"/>
    <cellStyle name="Comma 2 8 7 3 4 2" xfId="17297" xr:uid="{00000000-0005-0000-0000-00008E430000}"/>
    <cellStyle name="Comma 2 8 7 3 4 3" xfId="17298" xr:uid="{00000000-0005-0000-0000-00008F430000}"/>
    <cellStyle name="Comma 2 8 7 3 4 4" xfId="17299" xr:uid="{00000000-0005-0000-0000-000090430000}"/>
    <cellStyle name="Comma 2 8 7 3 5" xfId="17300" xr:uid="{00000000-0005-0000-0000-000091430000}"/>
    <cellStyle name="Comma 2 8 7 3 5 2" xfId="17301" xr:uid="{00000000-0005-0000-0000-000092430000}"/>
    <cellStyle name="Comma 2 8 7 3 6" xfId="17302" xr:uid="{00000000-0005-0000-0000-000093430000}"/>
    <cellStyle name="Comma 2 8 7 3 7" xfId="17303" xr:uid="{00000000-0005-0000-0000-000094430000}"/>
    <cellStyle name="Comma 2 8 7 3 8" xfId="17304" xr:uid="{00000000-0005-0000-0000-000095430000}"/>
    <cellStyle name="Comma 2 8 7 3 9" xfId="17305" xr:uid="{00000000-0005-0000-0000-000096430000}"/>
    <cellStyle name="Comma 2 8 7 4" xfId="17306" xr:uid="{00000000-0005-0000-0000-000097430000}"/>
    <cellStyle name="Comma 2 8 7 4 2" xfId="17307" xr:uid="{00000000-0005-0000-0000-000098430000}"/>
    <cellStyle name="Comma 2 8 7 4 2 2" xfId="17308" xr:uid="{00000000-0005-0000-0000-000099430000}"/>
    <cellStyle name="Comma 2 8 7 4 2 3" xfId="17309" xr:uid="{00000000-0005-0000-0000-00009A430000}"/>
    <cellStyle name="Comma 2 8 7 4 3" xfId="17310" xr:uid="{00000000-0005-0000-0000-00009B430000}"/>
    <cellStyle name="Comma 2 8 7 4 4" xfId="17311" xr:uid="{00000000-0005-0000-0000-00009C430000}"/>
    <cellStyle name="Comma 2 8 7 4 5" xfId="17312" xr:uid="{00000000-0005-0000-0000-00009D430000}"/>
    <cellStyle name="Comma 2 8 7 4 6" xfId="17313" xr:uid="{00000000-0005-0000-0000-00009E430000}"/>
    <cellStyle name="Comma 2 8 7 5" xfId="17314" xr:uid="{00000000-0005-0000-0000-00009F430000}"/>
    <cellStyle name="Comma 2 8 7 5 2" xfId="17315" xr:uid="{00000000-0005-0000-0000-0000A0430000}"/>
    <cellStyle name="Comma 2 8 7 5 2 2" xfId="17316" xr:uid="{00000000-0005-0000-0000-0000A1430000}"/>
    <cellStyle name="Comma 2 8 7 5 3" xfId="17317" xr:uid="{00000000-0005-0000-0000-0000A2430000}"/>
    <cellStyle name="Comma 2 8 7 5 4" xfId="17318" xr:uid="{00000000-0005-0000-0000-0000A3430000}"/>
    <cellStyle name="Comma 2 8 7 5 5" xfId="17319" xr:uid="{00000000-0005-0000-0000-0000A4430000}"/>
    <cellStyle name="Comma 2 8 7 6" xfId="17320" xr:uid="{00000000-0005-0000-0000-0000A5430000}"/>
    <cellStyle name="Comma 2 8 7 6 2" xfId="17321" xr:uid="{00000000-0005-0000-0000-0000A6430000}"/>
    <cellStyle name="Comma 2 8 7 6 3" xfId="17322" xr:uid="{00000000-0005-0000-0000-0000A7430000}"/>
    <cellStyle name="Comma 2 8 7 6 4" xfId="17323" xr:uid="{00000000-0005-0000-0000-0000A8430000}"/>
    <cellStyle name="Comma 2 8 7 7" xfId="17324" xr:uid="{00000000-0005-0000-0000-0000A9430000}"/>
    <cellStyle name="Comma 2 8 7 7 2" xfId="17325" xr:uid="{00000000-0005-0000-0000-0000AA430000}"/>
    <cellStyle name="Comma 2 8 7 8" xfId="17326" xr:uid="{00000000-0005-0000-0000-0000AB430000}"/>
    <cellStyle name="Comma 2 8 7 9" xfId="17327" xr:uid="{00000000-0005-0000-0000-0000AC430000}"/>
    <cellStyle name="Comma 2 8 8" xfId="17328" xr:uid="{00000000-0005-0000-0000-0000AD430000}"/>
    <cellStyle name="Comma 2 8 8 10" xfId="17329" xr:uid="{00000000-0005-0000-0000-0000AE430000}"/>
    <cellStyle name="Comma 2 8 8 2" xfId="17330" xr:uid="{00000000-0005-0000-0000-0000AF430000}"/>
    <cellStyle name="Comma 2 8 8 2 2" xfId="17331" xr:uid="{00000000-0005-0000-0000-0000B0430000}"/>
    <cellStyle name="Comma 2 8 8 2 2 2" xfId="17332" xr:uid="{00000000-0005-0000-0000-0000B1430000}"/>
    <cellStyle name="Comma 2 8 8 2 2 3" xfId="17333" xr:uid="{00000000-0005-0000-0000-0000B2430000}"/>
    <cellStyle name="Comma 2 8 8 2 3" xfId="17334" xr:uid="{00000000-0005-0000-0000-0000B3430000}"/>
    <cellStyle name="Comma 2 8 8 2 4" xfId="17335" xr:uid="{00000000-0005-0000-0000-0000B4430000}"/>
    <cellStyle name="Comma 2 8 8 2 5" xfId="17336" xr:uid="{00000000-0005-0000-0000-0000B5430000}"/>
    <cellStyle name="Comma 2 8 8 2 6" xfId="17337" xr:uid="{00000000-0005-0000-0000-0000B6430000}"/>
    <cellStyle name="Comma 2 8 8 3" xfId="17338" xr:uid="{00000000-0005-0000-0000-0000B7430000}"/>
    <cellStyle name="Comma 2 8 8 3 2" xfId="17339" xr:uid="{00000000-0005-0000-0000-0000B8430000}"/>
    <cellStyle name="Comma 2 8 8 3 2 2" xfId="17340" xr:uid="{00000000-0005-0000-0000-0000B9430000}"/>
    <cellStyle name="Comma 2 8 8 3 2 3" xfId="17341" xr:uid="{00000000-0005-0000-0000-0000BA430000}"/>
    <cellStyle name="Comma 2 8 8 3 3" xfId="17342" xr:uid="{00000000-0005-0000-0000-0000BB430000}"/>
    <cellStyle name="Comma 2 8 8 3 4" xfId="17343" xr:uid="{00000000-0005-0000-0000-0000BC430000}"/>
    <cellStyle name="Comma 2 8 8 3 5" xfId="17344" xr:uid="{00000000-0005-0000-0000-0000BD430000}"/>
    <cellStyle name="Comma 2 8 8 3 6" xfId="17345" xr:uid="{00000000-0005-0000-0000-0000BE430000}"/>
    <cellStyle name="Comma 2 8 8 4" xfId="17346" xr:uid="{00000000-0005-0000-0000-0000BF430000}"/>
    <cellStyle name="Comma 2 8 8 4 2" xfId="17347" xr:uid="{00000000-0005-0000-0000-0000C0430000}"/>
    <cellStyle name="Comma 2 8 8 4 2 2" xfId="17348" xr:uid="{00000000-0005-0000-0000-0000C1430000}"/>
    <cellStyle name="Comma 2 8 8 4 3" xfId="17349" xr:uid="{00000000-0005-0000-0000-0000C2430000}"/>
    <cellStyle name="Comma 2 8 8 4 4" xfId="17350" xr:uid="{00000000-0005-0000-0000-0000C3430000}"/>
    <cellStyle name="Comma 2 8 8 4 5" xfId="17351" xr:uid="{00000000-0005-0000-0000-0000C4430000}"/>
    <cellStyle name="Comma 2 8 8 5" xfId="17352" xr:uid="{00000000-0005-0000-0000-0000C5430000}"/>
    <cellStyle name="Comma 2 8 8 5 2" xfId="17353" xr:uid="{00000000-0005-0000-0000-0000C6430000}"/>
    <cellStyle name="Comma 2 8 8 5 3" xfId="17354" xr:uid="{00000000-0005-0000-0000-0000C7430000}"/>
    <cellStyle name="Comma 2 8 8 5 4" xfId="17355" xr:uid="{00000000-0005-0000-0000-0000C8430000}"/>
    <cellStyle name="Comma 2 8 8 6" xfId="17356" xr:uid="{00000000-0005-0000-0000-0000C9430000}"/>
    <cellStyle name="Comma 2 8 8 6 2" xfId="17357" xr:uid="{00000000-0005-0000-0000-0000CA430000}"/>
    <cellStyle name="Comma 2 8 8 7" xfId="17358" xr:uid="{00000000-0005-0000-0000-0000CB430000}"/>
    <cellStyle name="Comma 2 8 8 8" xfId="17359" xr:uid="{00000000-0005-0000-0000-0000CC430000}"/>
    <cellStyle name="Comma 2 8 8 9" xfId="17360" xr:uid="{00000000-0005-0000-0000-0000CD430000}"/>
    <cellStyle name="Comma 2 8 9" xfId="17361" xr:uid="{00000000-0005-0000-0000-0000CE430000}"/>
    <cellStyle name="Comma 2 8 9 10" xfId="17362" xr:uid="{00000000-0005-0000-0000-0000CF430000}"/>
    <cellStyle name="Comma 2 8 9 2" xfId="17363" xr:uid="{00000000-0005-0000-0000-0000D0430000}"/>
    <cellStyle name="Comma 2 8 9 2 2" xfId="17364" xr:uid="{00000000-0005-0000-0000-0000D1430000}"/>
    <cellStyle name="Comma 2 8 9 2 2 2" xfId="17365" xr:uid="{00000000-0005-0000-0000-0000D2430000}"/>
    <cellStyle name="Comma 2 8 9 2 2 3" xfId="17366" xr:uid="{00000000-0005-0000-0000-0000D3430000}"/>
    <cellStyle name="Comma 2 8 9 2 3" xfId="17367" xr:uid="{00000000-0005-0000-0000-0000D4430000}"/>
    <cellStyle name="Comma 2 8 9 2 4" xfId="17368" xr:uid="{00000000-0005-0000-0000-0000D5430000}"/>
    <cellStyle name="Comma 2 8 9 2 5" xfId="17369" xr:uid="{00000000-0005-0000-0000-0000D6430000}"/>
    <cellStyle name="Comma 2 8 9 2 6" xfId="17370" xr:uid="{00000000-0005-0000-0000-0000D7430000}"/>
    <cellStyle name="Comma 2 8 9 3" xfId="17371" xr:uid="{00000000-0005-0000-0000-0000D8430000}"/>
    <cellStyle name="Comma 2 8 9 3 2" xfId="17372" xr:uid="{00000000-0005-0000-0000-0000D9430000}"/>
    <cellStyle name="Comma 2 8 9 3 2 2" xfId="17373" xr:uid="{00000000-0005-0000-0000-0000DA430000}"/>
    <cellStyle name="Comma 2 8 9 3 2 3" xfId="17374" xr:uid="{00000000-0005-0000-0000-0000DB430000}"/>
    <cellStyle name="Comma 2 8 9 3 3" xfId="17375" xr:uid="{00000000-0005-0000-0000-0000DC430000}"/>
    <cellStyle name="Comma 2 8 9 3 4" xfId="17376" xr:uid="{00000000-0005-0000-0000-0000DD430000}"/>
    <cellStyle name="Comma 2 8 9 3 5" xfId="17377" xr:uid="{00000000-0005-0000-0000-0000DE430000}"/>
    <cellStyle name="Comma 2 8 9 3 6" xfId="17378" xr:uid="{00000000-0005-0000-0000-0000DF430000}"/>
    <cellStyle name="Comma 2 8 9 4" xfId="17379" xr:uid="{00000000-0005-0000-0000-0000E0430000}"/>
    <cellStyle name="Comma 2 8 9 4 2" xfId="17380" xr:uid="{00000000-0005-0000-0000-0000E1430000}"/>
    <cellStyle name="Comma 2 8 9 4 2 2" xfId="17381" xr:uid="{00000000-0005-0000-0000-0000E2430000}"/>
    <cellStyle name="Comma 2 8 9 4 3" xfId="17382" xr:uid="{00000000-0005-0000-0000-0000E3430000}"/>
    <cellStyle name="Comma 2 8 9 4 4" xfId="17383" xr:uid="{00000000-0005-0000-0000-0000E4430000}"/>
    <cellStyle name="Comma 2 8 9 4 5" xfId="17384" xr:uid="{00000000-0005-0000-0000-0000E5430000}"/>
    <cellStyle name="Comma 2 8 9 5" xfId="17385" xr:uid="{00000000-0005-0000-0000-0000E6430000}"/>
    <cellStyle name="Comma 2 8 9 5 2" xfId="17386" xr:uid="{00000000-0005-0000-0000-0000E7430000}"/>
    <cellStyle name="Comma 2 8 9 5 3" xfId="17387" xr:uid="{00000000-0005-0000-0000-0000E8430000}"/>
    <cellStyle name="Comma 2 8 9 5 4" xfId="17388" xr:uid="{00000000-0005-0000-0000-0000E9430000}"/>
    <cellStyle name="Comma 2 8 9 6" xfId="17389" xr:uid="{00000000-0005-0000-0000-0000EA430000}"/>
    <cellStyle name="Comma 2 8 9 6 2" xfId="17390" xr:uid="{00000000-0005-0000-0000-0000EB430000}"/>
    <cellStyle name="Comma 2 8 9 7" xfId="17391" xr:uid="{00000000-0005-0000-0000-0000EC430000}"/>
    <cellStyle name="Comma 2 8 9 8" xfId="17392" xr:uid="{00000000-0005-0000-0000-0000ED430000}"/>
    <cellStyle name="Comma 2 8 9 9" xfId="17393" xr:uid="{00000000-0005-0000-0000-0000EE430000}"/>
    <cellStyle name="Comma 2 9" xfId="17394" xr:uid="{00000000-0005-0000-0000-0000EF430000}"/>
    <cellStyle name="Comma 2 9 10" xfId="17395" xr:uid="{00000000-0005-0000-0000-0000F0430000}"/>
    <cellStyle name="Comma 2 9 10 10" xfId="17396" xr:uid="{00000000-0005-0000-0000-0000F1430000}"/>
    <cellStyle name="Comma 2 9 10 2" xfId="17397" xr:uid="{00000000-0005-0000-0000-0000F2430000}"/>
    <cellStyle name="Comma 2 9 10 2 2" xfId="17398" xr:uid="{00000000-0005-0000-0000-0000F3430000}"/>
    <cellStyle name="Comma 2 9 10 2 2 2" xfId="17399" xr:uid="{00000000-0005-0000-0000-0000F4430000}"/>
    <cellStyle name="Comma 2 9 10 2 2 3" xfId="17400" xr:uid="{00000000-0005-0000-0000-0000F5430000}"/>
    <cellStyle name="Comma 2 9 10 2 3" xfId="17401" xr:uid="{00000000-0005-0000-0000-0000F6430000}"/>
    <cellStyle name="Comma 2 9 10 2 4" xfId="17402" xr:uid="{00000000-0005-0000-0000-0000F7430000}"/>
    <cellStyle name="Comma 2 9 10 2 5" xfId="17403" xr:uid="{00000000-0005-0000-0000-0000F8430000}"/>
    <cellStyle name="Comma 2 9 10 2 6" xfId="17404" xr:uid="{00000000-0005-0000-0000-0000F9430000}"/>
    <cellStyle name="Comma 2 9 10 3" xfId="17405" xr:uid="{00000000-0005-0000-0000-0000FA430000}"/>
    <cellStyle name="Comma 2 9 10 3 2" xfId="17406" xr:uid="{00000000-0005-0000-0000-0000FB430000}"/>
    <cellStyle name="Comma 2 9 10 3 2 2" xfId="17407" xr:uid="{00000000-0005-0000-0000-0000FC430000}"/>
    <cellStyle name="Comma 2 9 10 3 2 3" xfId="17408" xr:uid="{00000000-0005-0000-0000-0000FD430000}"/>
    <cellStyle name="Comma 2 9 10 3 3" xfId="17409" xr:uid="{00000000-0005-0000-0000-0000FE430000}"/>
    <cellStyle name="Comma 2 9 10 3 4" xfId="17410" xr:uid="{00000000-0005-0000-0000-0000FF430000}"/>
    <cellStyle name="Comma 2 9 10 3 5" xfId="17411" xr:uid="{00000000-0005-0000-0000-000000440000}"/>
    <cellStyle name="Comma 2 9 10 3 6" xfId="17412" xr:uid="{00000000-0005-0000-0000-000001440000}"/>
    <cellStyle name="Comma 2 9 10 4" xfId="17413" xr:uid="{00000000-0005-0000-0000-000002440000}"/>
    <cellStyle name="Comma 2 9 10 4 2" xfId="17414" xr:uid="{00000000-0005-0000-0000-000003440000}"/>
    <cellStyle name="Comma 2 9 10 4 2 2" xfId="17415" xr:uid="{00000000-0005-0000-0000-000004440000}"/>
    <cellStyle name="Comma 2 9 10 4 3" xfId="17416" xr:uid="{00000000-0005-0000-0000-000005440000}"/>
    <cellStyle name="Comma 2 9 10 4 4" xfId="17417" xr:uid="{00000000-0005-0000-0000-000006440000}"/>
    <cellStyle name="Comma 2 9 10 4 5" xfId="17418" xr:uid="{00000000-0005-0000-0000-000007440000}"/>
    <cellStyle name="Comma 2 9 10 5" xfId="17419" xr:uid="{00000000-0005-0000-0000-000008440000}"/>
    <cellStyle name="Comma 2 9 10 5 2" xfId="17420" xr:uid="{00000000-0005-0000-0000-000009440000}"/>
    <cellStyle name="Comma 2 9 10 5 3" xfId="17421" xr:uid="{00000000-0005-0000-0000-00000A440000}"/>
    <cellStyle name="Comma 2 9 10 5 4" xfId="17422" xr:uid="{00000000-0005-0000-0000-00000B440000}"/>
    <cellStyle name="Comma 2 9 10 6" xfId="17423" xr:uid="{00000000-0005-0000-0000-00000C440000}"/>
    <cellStyle name="Comma 2 9 10 6 2" xfId="17424" xr:uid="{00000000-0005-0000-0000-00000D440000}"/>
    <cellStyle name="Comma 2 9 10 7" xfId="17425" xr:uid="{00000000-0005-0000-0000-00000E440000}"/>
    <cellStyle name="Comma 2 9 10 8" xfId="17426" xr:uid="{00000000-0005-0000-0000-00000F440000}"/>
    <cellStyle name="Comma 2 9 10 9" xfId="17427" xr:uid="{00000000-0005-0000-0000-000010440000}"/>
    <cellStyle name="Comma 2 9 11" xfId="17428" xr:uid="{00000000-0005-0000-0000-000011440000}"/>
    <cellStyle name="Comma 2 9 11 10" xfId="17429" xr:uid="{00000000-0005-0000-0000-000012440000}"/>
    <cellStyle name="Comma 2 9 11 2" xfId="17430" xr:uid="{00000000-0005-0000-0000-000013440000}"/>
    <cellStyle name="Comma 2 9 11 2 2" xfId="17431" xr:uid="{00000000-0005-0000-0000-000014440000}"/>
    <cellStyle name="Comma 2 9 11 2 2 2" xfId="17432" xr:uid="{00000000-0005-0000-0000-000015440000}"/>
    <cellStyle name="Comma 2 9 11 2 2 3" xfId="17433" xr:uid="{00000000-0005-0000-0000-000016440000}"/>
    <cellStyle name="Comma 2 9 11 2 3" xfId="17434" xr:uid="{00000000-0005-0000-0000-000017440000}"/>
    <cellStyle name="Comma 2 9 11 2 4" xfId="17435" xr:uid="{00000000-0005-0000-0000-000018440000}"/>
    <cellStyle name="Comma 2 9 11 2 5" xfId="17436" xr:uid="{00000000-0005-0000-0000-000019440000}"/>
    <cellStyle name="Comma 2 9 11 2 6" xfId="17437" xr:uid="{00000000-0005-0000-0000-00001A440000}"/>
    <cellStyle name="Comma 2 9 11 3" xfId="17438" xr:uid="{00000000-0005-0000-0000-00001B440000}"/>
    <cellStyle name="Comma 2 9 11 3 2" xfId="17439" xr:uid="{00000000-0005-0000-0000-00001C440000}"/>
    <cellStyle name="Comma 2 9 11 3 2 2" xfId="17440" xr:uid="{00000000-0005-0000-0000-00001D440000}"/>
    <cellStyle name="Comma 2 9 11 3 2 3" xfId="17441" xr:uid="{00000000-0005-0000-0000-00001E440000}"/>
    <cellStyle name="Comma 2 9 11 3 3" xfId="17442" xr:uid="{00000000-0005-0000-0000-00001F440000}"/>
    <cellStyle name="Comma 2 9 11 3 4" xfId="17443" xr:uid="{00000000-0005-0000-0000-000020440000}"/>
    <cellStyle name="Comma 2 9 11 3 5" xfId="17444" xr:uid="{00000000-0005-0000-0000-000021440000}"/>
    <cellStyle name="Comma 2 9 11 3 6" xfId="17445" xr:uid="{00000000-0005-0000-0000-000022440000}"/>
    <cellStyle name="Comma 2 9 11 4" xfId="17446" xr:uid="{00000000-0005-0000-0000-000023440000}"/>
    <cellStyle name="Comma 2 9 11 4 2" xfId="17447" xr:uid="{00000000-0005-0000-0000-000024440000}"/>
    <cellStyle name="Comma 2 9 11 4 2 2" xfId="17448" xr:uid="{00000000-0005-0000-0000-000025440000}"/>
    <cellStyle name="Comma 2 9 11 4 3" xfId="17449" xr:uid="{00000000-0005-0000-0000-000026440000}"/>
    <cellStyle name="Comma 2 9 11 4 4" xfId="17450" xr:uid="{00000000-0005-0000-0000-000027440000}"/>
    <cellStyle name="Comma 2 9 11 4 5" xfId="17451" xr:uid="{00000000-0005-0000-0000-000028440000}"/>
    <cellStyle name="Comma 2 9 11 5" xfId="17452" xr:uid="{00000000-0005-0000-0000-000029440000}"/>
    <cellStyle name="Comma 2 9 11 5 2" xfId="17453" xr:uid="{00000000-0005-0000-0000-00002A440000}"/>
    <cellStyle name="Comma 2 9 11 5 3" xfId="17454" xr:uid="{00000000-0005-0000-0000-00002B440000}"/>
    <cellStyle name="Comma 2 9 11 5 4" xfId="17455" xr:uid="{00000000-0005-0000-0000-00002C440000}"/>
    <cellStyle name="Comma 2 9 11 6" xfId="17456" xr:uid="{00000000-0005-0000-0000-00002D440000}"/>
    <cellStyle name="Comma 2 9 11 6 2" xfId="17457" xr:uid="{00000000-0005-0000-0000-00002E440000}"/>
    <cellStyle name="Comma 2 9 11 7" xfId="17458" xr:uid="{00000000-0005-0000-0000-00002F440000}"/>
    <cellStyle name="Comma 2 9 11 8" xfId="17459" xr:uid="{00000000-0005-0000-0000-000030440000}"/>
    <cellStyle name="Comma 2 9 11 9" xfId="17460" xr:uid="{00000000-0005-0000-0000-000031440000}"/>
    <cellStyle name="Comma 2 9 12" xfId="17461" xr:uid="{00000000-0005-0000-0000-000032440000}"/>
    <cellStyle name="Comma 2 9 12 10" xfId="17462" xr:uid="{00000000-0005-0000-0000-000033440000}"/>
    <cellStyle name="Comma 2 9 12 2" xfId="17463" xr:uid="{00000000-0005-0000-0000-000034440000}"/>
    <cellStyle name="Comma 2 9 12 2 2" xfId="17464" xr:uid="{00000000-0005-0000-0000-000035440000}"/>
    <cellStyle name="Comma 2 9 12 2 2 2" xfId="17465" xr:uid="{00000000-0005-0000-0000-000036440000}"/>
    <cellStyle name="Comma 2 9 12 2 2 3" xfId="17466" xr:uid="{00000000-0005-0000-0000-000037440000}"/>
    <cellStyle name="Comma 2 9 12 2 3" xfId="17467" xr:uid="{00000000-0005-0000-0000-000038440000}"/>
    <cellStyle name="Comma 2 9 12 2 4" xfId="17468" xr:uid="{00000000-0005-0000-0000-000039440000}"/>
    <cellStyle name="Comma 2 9 12 2 5" xfId="17469" xr:uid="{00000000-0005-0000-0000-00003A440000}"/>
    <cellStyle name="Comma 2 9 12 2 6" xfId="17470" xr:uid="{00000000-0005-0000-0000-00003B440000}"/>
    <cellStyle name="Comma 2 9 12 3" xfId="17471" xr:uid="{00000000-0005-0000-0000-00003C440000}"/>
    <cellStyle name="Comma 2 9 12 3 2" xfId="17472" xr:uid="{00000000-0005-0000-0000-00003D440000}"/>
    <cellStyle name="Comma 2 9 12 3 2 2" xfId="17473" xr:uid="{00000000-0005-0000-0000-00003E440000}"/>
    <cellStyle name="Comma 2 9 12 3 2 3" xfId="17474" xr:uid="{00000000-0005-0000-0000-00003F440000}"/>
    <cellStyle name="Comma 2 9 12 3 3" xfId="17475" xr:uid="{00000000-0005-0000-0000-000040440000}"/>
    <cellStyle name="Comma 2 9 12 3 4" xfId="17476" xr:uid="{00000000-0005-0000-0000-000041440000}"/>
    <cellStyle name="Comma 2 9 12 3 5" xfId="17477" xr:uid="{00000000-0005-0000-0000-000042440000}"/>
    <cellStyle name="Comma 2 9 12 3 6" xfId="17478" xr:uid="{00000000-0005-0000-0000-000043440000}"/>
    <cellStyle name="Comma 2 9 12 4" xfId="17479" xr:uid="{00000000-0005-0000-0000-000044440000}"/>
    <cellStyle name="Comma 2 9 12 4 2" xfId="17480" xr:uid="{00000000-0005-0000-0000-000045440000}"/>
    <cellStyle name="Comma 2 9 12 4 2 2" xfId="17481" xr:uid="{00000000-0005-0000-0000-000046440000}"/>
    <cellStyle name="Comma 2 9 12 4 3" xfId="17482" xr:uid="{00000000-0005-0000-0000-000047440000}"/>
    <cellStyle name="Comma 2 9 12 4 4" xfId="17483" xr:uid="{00000000-0005-0000-0000-000048440000}"/>
    <cellStyle name="Comma 2 9 12 4 5" xfId="17484" xr:uid="{00000000-0005-0000-0000-000049440000}"/>
    <cellStyle name="Comma 2 9 12 5" xfId="17485" xr:uid="{00000000-0005-0000-0000-00004A440000}"/>
    <cellStyle name="Comma 2 9 12 5 2" xfId="17486" xr:uid="{00000000-0005-0000-0000-00004B440000}"/>
    <cellStyle name="Comma 2 9 12 5 3" xfId="17487" xr:uid="{00000000-0005-0000-0000-00004C440000}"/>
    <cellStyle name="Comma 2 9 12 5 4" xfId="17488" xr:uid="{00000000-0005-0000-0000-00004D440000}"/>
    <cellStyle name="Comma 2 9 12 6" xfId="17489" xr:uid="{00000000-0005-0000-0000-00004E440000}"/>
    <cellStyle name="Comma 2 9 12 6 2" xfId="17490" xr:uid="{00000000-0005-0000-0000-00004F440000}"/>
    <cellStyle name="Comma 2 9 12 7" xfId="17491" xr:uid="{00000000-0005-0000-0000-000050440000}"/>
    <cellStyle name="Comma 2 9 12 8" xfId="17492" xr:uid="{00000000-0005-0000-0000-000051440000}"/>
    <cellStyle name="Comma 2 9 12 9" xfId="17493" xr:uid="{00000000-0005-0000-0000-000052440000}"/>
    <cellStyle name="Comma 2 9 13" xfId="17494" xr:uid="{00000000-0005-0000-0000-000053440000}"/>
    <cellStyle name="Comma 2 9 13 2" xfId="17495" xr:uid="{00000000-0005-0000-0000-000054440000}"/>
    <cellStyle name="Comma 2 9 13 2 2" xfId="17496" xr:uid="{00000000-0005-0000-0000-000055440000}"/>
    <cellStyle name="Comma 2 9 13 2 2 2" xfId="17497" xr:uid="{00000000-0005-0000-0000-000056440000}"/>
    <cellStyle name="Comma 2 9 13 2 2 3" xfId="17498" xr:uid="{00000000-0005-0000-0000-000057440000}"/>
    <cellStyle name="Comma 2 9 13 2 3" xfId="17499" xr:uid="{00000000-0005-0000-0000-000058440000}"/>
    <cellStyle name="Comma 2 9 13 2 4" xfId="17500" xr:uid="{00000000-0005-0000-0000-000059440000}"/>
    <cellStyle name="Comma 2 9 13 2 5" xfId="17501" xr:uid="{00000000-0005-0000-0000-00005A440000}"/>
    <cellStyle name="Comma 2 9 13 2 6" xfId="17502" xr:uid="{00000000-0005-0000-0000-00005B440000}"/>
    <cellStyle name="Comma 2 9 13 3" xfId="17503" xr:uid="{00000000-0005-0000-0000-00005C440000}"/>
    <cellStyle name="Comma 2 9 13 3 2" xfId="17504" xr:uid="{00000000-0005-0000-0000-00005D440000}"/>
    <cellStyle name="Comma 2 9 13 3 2 2" xfId="17505" xr:uid="{00000000-0005-0000-0000-00005E440000}"/>
    <cellStyle name="Comma 2 9 13 3 3" xfId="17506" xr:uid="{00000000-0005-0000-0000-00005F440000}"/>
    <cellStyle name="Comma 2 9 13 3 4" xfId="17507" xr:uid="{00000000-0005-0000-0000-000060440000}"/>
    <cellStyle name="Comma 2 9 13 3 5" xfId="17508" xr:uid="{00000000-0005-0000-0000-000061440000}"/>
    <cellStyle name="Comma 2 9 13 4" xfId="17509" xr:uid="{00000000-0005-0000-0000-000062440000}"/>
    <cellStyle name="Comma 2 9 13 4 2" xfId="17510" xr:uid="{00000000-0005-0000-0000-000063440000}"/>
    <cellStyle name="Comma 2 9 13 4 3" xfId="17511" xr:uid="{00000000-0005-0000-0000-000064440000}"/>
    <cellStyle name="Comma 2 9 13 4 4" xfId="17512" xr:uid="{00000000-0005-0000-0000-000065440000}"/>
    <cellStyle name="Comma 2 9 13 5" xfId="17513" xr:uid="{00000000-0005-0000-0000-000066440000}"/>
    <cellStyle name="Comma 2 9 13 5 2" xfId="17514" xr:uid="{00000000-0005-0000-0000-000067440000}"/>
    <cellStyle name="Comma 2 9 13 6" xfId="17515" xr:uid="{00000000-0005-0000-0000-000068440000}"/>
    <cellStyle name="Comma 2 9 13 7" xfId="17516" xr:uid="{00000000-0005-0000-0000-000069440000}"/>
    <cellStyle name="Comma 2 9 13 8" xfId="17517" xr:uid="{00000000-0005-0000-0000-00006A440000}"/>
    <cellStyle name="Comma 2 9 13 9" xfId="17518" xr:uid="{00000000-0005-0000-0000-00006B440000}"/>
    <cellStyle name="Comma 2 9 14" xfId="17519" xr:uid="{00000000-0005-0000-0000-00006C440000}"/>
    <cellStyle name="Comma 2 9 14 2" xfId="17520" xr:uid="{00000000-0005-0000-0000-00006D440000}"/>
    <cellStyle name="Comma 2 9 14 2 2" xfId="17521" xr:uid="{00000000-0005-0000-0000-00006E440000}"/>
    <cellStyle name="Comma 2 9 14 2 2 2" xfId="17522" xr:uid="{00000000-0005-0000-0000-00006F440000}"/>
    <cellStyle name="Comma 2 9 14 2 2 3" xfId="17523" xr:uid="{00000000-0005-0000-0000-000070440000}"/>
    <cellStyle name="Comma 2 9 14 2 3" xfId="17524" xr:uid="{00000000-0005-0000-0000-000071440000}"/>
    <cellStyle name="Comma 2 9 14 2 4" xfId="17525" xr:uid="{00000000-0005-0000-0000-000072440000}"/>
    <cellStyle name="Comma 2 9 14 2 5" xfId="17526" xr:uid="{00000000-0005-0000-0000-000073440000}"/>
    <cellStyle name="Comma 2 9 14 2 6" xfId="17527" xr:uid="{00000000-0005-0000-0000-000074440000}"/>
    <cellStyle name="Comma 2 9 14 3" xfId="17528" xr:uid="{00000000-0005-0000-0000-000075440000}"/>
    <cellStyle name="Comma 2 9 14 3 2" xfId="17529" xr:uid="{00000000-0005-0000-0000-000076440000}"/>
    <cellStyle name="Comma 2 9 14 3 2 2" xfId="17530" xr:uid="{00000000-0005-0000-0000-000077440000}"/>
    <cellStyle name="Comma 2 9 14 3 3" xfId="17531" xr:uid="{00000000-0005-0000-0000-000078440000}"/>
    <cellStyle name="Comma 2 9 14 3 4" xfId="17532" xr:uid="{00000000-0005-0000-0000-000079440000}"/>
    <cellStyle name="Comma 2 9 14 3 5" xfId="17533" xr:uid="{00000000-0005-0000-0000-00007A440000}"/>
    <cellStyle name="Comma 2 9 14 4" xfId="17534" xr:uid="{00000000-0005-0000-0000-00007B440000}"/>
    <cellStyle name="Comma 2 9 14 4 2" xfId="17535" xr:uid="{00000000-0005-0000-0000-00007C440000}"/>
    <cellStyle name="Comma 2 9 14 4 3" xfId="17536" xr:uid="{00000000-0005-0000-0000-00007D440000}"/>
    <cellStyle name="Comma 2 9 14 4 4" xfId="17537" xr:uid="{00000000-0005-0000-0000-00007E440000}"/>
    <cellStyle name="Comma 2 9 14 5" xfId="17538" xr:uid="{00000000-0005-0000-0000-00007F440000}"/>
    <cellStyle name="Comma 2 9 14 5 2" xfId="17539" xr:uid="{00000000-0005-0000-0000-000080440000}"/>
    <cellStyle name="Comma 2 9 14 6" xfId="17540" xr:uid="{00000000-0005-0000-0000-000081440000}"/>
    <cellStyle name="Comma 2 9 14 7" xfId="17541" xr:uid="{00000000-0005-0000-0000-000082440000}"/>
    <cellStyle name="Comma 2 9 14 8" xfId="17542" xr:uid="{00000000-0005-0000-0000-000083440000}"/>
    <cellStyle name="Comma 2 9 14 9" xfId="17543" xr:uid="{00000000-0005-0000-0000-000084440000}"/>
    <cellStyle name="Comma 2 9 15" xfId="17544" xr:uid="{00000000-0005-0000-0000-000085440000}"/>
    <cellStyle name="Comma 2 9 15 2" xfId="17545" xr:uid="{00000000-0005-0000-0000-000086440000}"/>
    <cellStyle name="Comma 2 9 15 2 2" xfId="17546" xr:uid="{00000000-0005-0000-0000-000087440000}"/>
    <cellStyle name="Comma 2 9 15 2 3" xfId="17547" xr:uid="{00000000-0005-0000-0000-000088440000}"/>
    <cellStyle name="Comma 2 9 15 3" xfId="17548" xr:uid="{00000000-0005-0000-0000-000089440000}"/>
    <cellStyle name="Comma 2 9 15 4" xfId="17549" xr:uid="{00000000-0005-0000-0000-00008A440000}"/>
    <cellStyle name="Comma 2 9 15 5" xfId="17550" xr:uid="{00000000-0005-0000-0000-00008B440000}"/>
    <cellStyle name="Comma 2 9 15 6" xfId="17551" xr:uid="{00000000-0005-0000-0000-00008C440000}"/>
    <cellStyle name="Comma 2 9 16" xfId="17552" xr:uid="{00000000-0005-0000-0000-00008D440000}"/>
    <cellStyle name="Comma 2 9 16 2" xfId="17553" xr:uid="{00000000-0005-0000-0000-00008E440000}"/>
    <cellStyle name="Comma 2 9 16 2 2" xfId="17554" xr:uid="{00000000-0005-0000-0000-00008F440000}"/>
    <cellStyle name="Comma 2 9 16 3" xfId="17555" xr:uid="{00000000-0005-0000-0000-000090440000}"/>
    <cellStyle name="Comma 2 9 16 4" xfId="17556" xr:uid="{00000000-0005-0000-0000-000091440000}"/>
    <cellStyle name="Comma 2 9 16 5" xfId="17557" xr:uid="{00000000-0005-0000-0000-000092440000}"/>
    <cellStyle name="Comma 2 9 17" xfId="17558" xr:uid="{00000000-0005-0000-0000-000093440000}"/>
    <cellStyle name="Comma 2 9 17 2" xfId="17559" xr:uid="{00000000-0005-0000-0000-000094440000}"/>
    <cellStyle name="Comma 2 9 17 2 2" xfId="17560" xr:uid="{00000000-0005-0000-0000-000095440000}"/>
    <cellStyle name="Comma 2 9 17 3" xfId="17561" xr:uid="{00000000-0005-0000-0000-000096440000}"/>
    <cellStyle name="Comma 2 9 17 4" xfId="17562" xr:uid="{00000000-0005-0000-0000-000097440000}"/>
    <cellStyle name="Comma 2 9 17 5" xfId="17563" xr:uid="{00000000-0005-0000-0000-000098440000}"/>
    <cellStyle name="Comma 2 9 18" xfId="17564" xr:uid="{00000000-0005-0000-0000-000099440000}"/>
    <cellStyle name="Comma 2 9 18 2" xfId="17565" xr:uid="{00000000-0005-0000-0000-00009A440000}"/>
    <cellStyle name="Comma 2 9 19" xfId="17566" xr:uid="{00000000-0005-0000-0000-00009B440000}"/>
    <cellStyle name="Comma 2 9 2" xfId="17567" xr:uid="{00000000-0005-0000-0000-00009C440000}"/>
    <cellStyle name="Comma 2 9 2 10" xfId="17568" xr:uid="{00000000-0005-0000-0000-00009D440000}"/>
    <cellStyle name="Comma 2 9 2 11" xfId="17569" xr:uid="{00000000-0005-0000-0000-00009E440000}"/>
    <cellStyle name="Comma 2 9 2 2" xfId="17570" xr:uid="{00000000-0005-0000-0000-00009F440000}"/>
    <cellStyle name="Comma 2 9 2 2 2" xfId="17571" xr:uid="{00000000-0005-0000-0000-0000A0440000}"/>
    <cellStyle name="Comma 2 9 2 2 2 2" xfId="17572" xr:uid="{00000000-0005-0000-0000-0000A1440000}"/>
    <cellStyle name="Comma 2 9 2 2 2 2 2" xfId="17573" xr:uid="{00000000-0005-0000-0000-0000A2440000}"/>
    <cellStyle name="Comma 2 9 2 2 2 2 3" xfId="17574" xr:uid="{00000000-0005-0000-0000-0000A3440000}"/>
    <cellStyle name="Comma 2 9 2 2 2 3" xfId="17575" xr:uid="{00000000-0005-0000-0000-0000A4440000}"/>
    <cellStyle name="Comma 2 9 2 2 2 4" xfId="17576" xr:uid="{00000000-0005-0000-0000-0000A5440000}"/>
    <cellStyle name="Comma 2 9 2 2 2 5" xfId="17577" xr:uid="{00000000-0005-0000-0000-0000A6440000}"/>
    <cellStyle name="Comma 2 9 2 2 2 6" xfId="17578" xr:uid="{00000000-0005-0000-0000-0000A7440000}"/>
    <cellStyle name="Comma 2 9 2 2 3" xfId="17579" xr:uid="{00000000-0005-0000-0000-0000A8440000}"/>
    <cellStyle name="Comma 2 9 2 2 3 2" xfId="17580" xr:uid="{00000000-0005-0000-0000-0000A9440000}"/>
    <cellStyle name="Comma 2 9 2 2 3 2 2" xfId="17581" xr:uid="{00000000-0005-0000-0000-0000AA440000}"/>
    <cellStyle name="Comma 2 9 2 2 3 3" xfId="17582" xr:uid="{00000000-0005-0000-0000-0000AB440000}"/>
    <cellStyle name="Comma 2 9 2 2 3 4" xfId="17583" xr:uid="{00000000-0005-0000-0000-0000AC440000}"/>
    <cellStyle name="Comma 2 9 2 2 3 5" xfId="17584" xr:uid="{00000000-0005-0000-0000-0000AD440000}"/>
    <cellStyle name="Comma 2 9 2 2 4" xfId="17585" xr:uid="{00000000-0005-0000-0000-0000AE440000}"/>
    <cellStyle name="Comma 2 9 2 2 4 2" xfId="17586" xr:uid="{00000000-0005-0000-0000-0000AF440000}"/>
    <cellStyle name="Comma 2 9 2 2 4 3" xfId="17587" xr:uid="{00000000-0005-0000-0000-0000B0440000}"/>
    <cellStyle name="Comma 2 9 2 2 4 4" xfId="17588" xr:uid="{00000000-0005-0000-0000-0000B1440000}"/>
    <cellStyle name="Comma 2 9 2 2 5" xfId="17589" xr:uid="{00000000-0005-0000-0000-0000B2440000}"/>
    <cellStyle name="Comma 2 9 2 2 5 2" xfId="17590" xr:uid="{00000000-0005-0000-0000-0000B3440000}"/>
    <cellStyle name="Comma 2 9 2 2 6" xfId="17591" xr:uid="{00000000-0005-0000-0000-0000B4440000}"/>
    <cellStyle name="Comma 2 9 2 2 7" xfId="17592" xr:uid="{00000000-0005-0000-0000-0000B5440000}"/>
    <cellStyle name="Comma 2 9 2 2 8" xfId="17593" xr:uid="{00000000-0005-0000-0000-0000B6440000}"/>
    <cellStyle name="Comma 2 9 2 2 9" xfId="17594" xr:uid="{00000000-0005-0000-0000-0000B7440000}"/>
    <cellStyle name="Comma 2 9 2 3" xfId="17595" xr:uid="{00000000-0005-0000-0000-0000B8440000}"/>
    <cellStyle name="Comma 2 9 2 3 2" xfId="17596" xr:uid="{00000000-0005-0000-0000-0000B9440000}"/>
    <cellStyle name="Comma 2 9 2 3 2 2" xfId="17597" xr:uid="{00000000-0005-0000-0000-0000BA440000}"/>
    <cellStyle name="Comma 2 9 2 3 2 2 2" xfId="17598" xr:uid="{00000000-0005-0000-0000-0000BB440000}"/>
    <cellStyle name="Comma 2 9 2 3 2 2 3" xfId="17599" xr:uid="{00000000-0005-0000-0000-0000BC440000}"/>
    <cellStyle name="Comma 2 9 2 3 2 3" xfId="17600" xr:uid="{00000000-0005-0000-0000-0000BD440000}"/>
    <cellStyle name="Comma 2 9 2 3 2 4" xfId="17601" xr:uid="{00000000-0005-0000-0000-0000BE440000}"/>
    <cellStyle name="Comma 2 9 2 3 2 5" xfId="17602" xr:uid="{00000000-0005-0000-0000-0000BF440000}"/>
    <cellStyle name="Comma 2 9 2 3 2 6" xfId="17603" xr:uid="{00000000-0005-0000-0000-0000C0440000}"/>
    <cellStyle name="Comma 2 9 2 3 3" xfId="17604" xr:uid="{00000000-0005-0000-0000-0000C1440000}"/>
    <cellStyle name="Comma 2 9 2 3 3 2" xfId="17605" xr:uid="{00000000-0005-0000-0000-0000C2440000}"/>
    <cellStyle name="Comma 2 9 2 3 3 2 2" xfId="17606" xr:uid="{00000000-0005-0000-0000-0000C3440000}"/>
    <cellStyle name="Comma 2 9 2 3 3 3" xfId="17607" xr:uid="{00000000-0005-0000-0000-0000C4440000}"/>
    <cellStyle name="Comma 2 9 2 3 3 4" xfId="17608" xr:uid="{00000000-0005-0000-0000-0000C5440000}"/>
    <cellStyle name="Comma 2 9 2 3 3 5" xfId="17609" xr:uid="{00000000-0005-0000-0000-0000C6440000}"/>
    <cellStyle name="Comma 2 9 2 3 4" xfId="17610" xr:uid="{00000000-0005-0000-0000-0000C7440000}"/>
    <cellStyle name="Comma 2 9 2 3 4 2" xfId="17611" xr:uid="{00000000-0005-0000-0000-0000C8440000}"/>
    <cellStyle name="Comma 2 9 2 3 4 3" xfId="17612" xr:uid="{00000000-0005-0000-0000-0000C9440000}"/>
    <cellStyle name="Comma 2 9 2 3 4 4" xfId="17613" xr:uid="{00000000-0005-0000-0000-0000CA440000}"/>
    <cellStyle name="Comma 2 9 2 3 5" xfId="17614" xr:uid="{00000000-0005-0000-0000-0000CB440000}"/>
    <cellStyle name="Comma 2 9 2 3 5 2" xfId="17615" xr:uid="{00000000-0005-0000-0000-0000CC440000}"/>
    <cellStyle name="Comma 2 9 2 3 6" xfId="17616" xr:uid="{00000000-0005-0000-0000-0000CD440000}"/>
    <cellStyle name="Comma 2 9 2 3 7" xfId="17617" xr:uid="{00000000-0005-0000-0000-0000CE440000}"/>
    <cellStyle name="Comma 2 9 2 3 8" xfId="17618" xr:uid="{00000000-0005-0000-0000-0000CF440000}"/>
    <cellStyle name="Comma 2 9 2 3 9" xfId="17619" xr:uid="{00000000-0005-0000-0000-0000D0440000}"/>
    <cellStyle name="Comma 2 9 2 4" xfId="17620" xr:uid="{00000000-0005-0000-0000-0000D1440000}"/>
    <cellStyle name="Comma 2 9 2 4 2" xfId="17621" xr:uid="{00000000-0005-0000-0000-0000D2440000}"/>
    <cellStyle name="Comma 2 9 2 4 2 2" xfId="17622" xr:uid="{00000000-0005-0000-0000-0000D3440000}"/>
    <cellStyle name="Comma 2 9 2 4 2 3" xfId="17623" xr:uid="{00000000-0005-0000-0000-0000D4440000}"/>
    <cellStyle name="Comma 2 9 2 4 3" xfId="17624" xr:uid="{00000000-0005-0000-0000-0000D5440000}"/>
    <cellStyle name="Comma 2 9 2 4 4" xfId="17625" xr:uid="{00000000-0005-0000-0000-0000D6440000}"/>
    <cellStyle name="Comma 2 9 2 4 5" xfId="17626" xr:uid="{00000000-0005-0000-0000-0000D7440000}"/>
    <cellStyle name="Comma 2 9 2 4 6" xfId="17627" xr:uid="{00000000-0005-0000-0000-0000D8440000}"/>
    <cellStyle name="Comma 2 9 2 5" xfId="17628" xr:uid="{00000000-0005-0000-0000-0000D9440000}"/>
    <cellStyle name="Comma 2 9 2 5 2" xfId="17629" xr:uid="{00000000-0005-0000-0000-0000DA440000}"/>
    <cellStyle name="Comma 2 9 2 5 2 2" xfId="17630" xr:uid="{00000000-0005-0000-0000-0000DB440000}"/>
    <cellStyle name="Comma 2 9 2 5 3" xfId="17631" xr:uid="{00000000-0005-0000-0000-0000DC440000}"/>
    <cellStyle name="Comma 2 9 2 5 4" xfId="17632" xr:uid="{00000000-0005-0000-0000-0000DD440000}"/>
    <cellStyle name="Comma 2 9 2 5 5" xfId="17633" xr:uid="{00000000-0005-0000-0000-0000DE440000}"/>
    <cellStyle name="Comma 2 9 2 6" xfId="17634" xr:uid="{00000000-0005-0000-0000-0000DF440000}"/>
    <cellStyle name="Comma 2 9 2 6 2" xfId="17635" xr:uid="{00000000-0005-0000-0000-0000E0440000}"/>
    <cellStyle name="Comma 2 9 2 6 3" xfId="17636" xr:uid="{00000000-0005-0000-0000-0000E1440000}"/>
    <cellStyle name="Comma 2 9 2 6 4" xfId="17637" xr:uid="{00000000-0005-0000-0000-0000E2440000}"/>
    <cellStyle name="Comma 2 9 2 7" xfId="17638" xr:uid="{00000000-0005-0000-0000-0000E3440000}"/>
    <cellStyle name="Comma 2 9 2 7 2" xfId="17639" xr:uid="{00000000-0005-0000-0000-0000E4440000}"/>
    <cellStyle name="Comma 2 9 2 8" xfId="17640" xr:uid="{00000000-0005-0000-0000-0000E5440000}"/>
    <cellStyle name="Comma 2 9 2 9" xfId="17641" xr:uid="{00000000-0005-0000-0000-0000E6440000}"/>
    <cellStyle name="Comma 2 9 20" xfId="17642" xr:uid="{00000000-0005-0000-0000-0000E7440000}"/>
    <cellStyle name="Comma 2 9 21" xfId="17643" xr:uid="{00000000-0005-0000-0000-0000E8440000}"/>
    <cellStyle name="Comma 2 9 22" xfId="17644" xr:uid="{00000000-0005-0000-0000-0000E9440000}"/>
    <cellStyle name="Comma 2 9 3" xfId="17645" xr:uid="{00000000-0005-0000-0000-0000EA440000}"/>
    <cellStyle name="Comma 2 9 3 10" xfId="17646" xr:uid="{00000000-0005-0000-0000-0000EB440000}"/>
    <cellStyle name="Comma 2 9 3 11" xfId="17647" xr:uid="{00000000-0005-0000-0000-0000EC440000}"/>
    <cellStyle name="Comma 2 9 3 2" xfId="17648" xr:uid="{00000000-0005-0000-0000-0000ED440000}"/>
    <cellStyle name="Comma 2 9 3 2 2" xfId="17649" xr:uid="{00000000-0005-0000-0000-0000EE440000}"/>
    <cellStyle name="Comma 2 9 3 2 2 2" xfId="17650" xr:uid="{00000000-0005-0000-0000-0000EF440000}"/>
    <cellStyle name="Comma 2 9 3 2 2 2 2" xfId="17651" xr:uid="{00000000-0005-0000-0000-0000F0440000}"/>
    <cellStyle name="Comma 2 9 3 2 2 2 3" xfId="17652" xr:uid="{00000000-0005-0000-0000-0000F1440000}"/>
    <cellStyle name="Comma 2 9 3 2 2 3" xfId="17653" xr:uid="{00000000-0005-0000-0000-0000F2440000}"/>
    <cellStyle name="Comma 2 9 3 2 2 4" xfId="17654" xr:uid="{00000000-0005-0000-0000-0000F3440000}"/>
    <cellStyle name="Comma 2 9 3 2 2 5" xfId="17655" xr:uid="{00000000-0005-0000-0000-0000F4440000}"/>
    <cellStyle name="Comma 2 9 3 2 2 6" xfId="17656" xr:uid="{00000000-0005-0000-0000-0000F5440000}"/>
    <cellStyle name="Comma 2 9 3 2 3" xfId="17657" xr:uid="{00000000-0005-0000-0000-0000F6440000}"/>
    <cellStyle name="Comma 2 9 3 2 3 2" xfId="17658" xr:uid="{00000000-0005-0000-0000-0000F7440000}"/>
    <cellStyle name="Comma 2 9 3 2 3 2 2" xfId="17659" xr:uid="{00000000-0005-0000-0000-0000F8440000}"/>
    <cellStyle name="Comma 2 9 3 2 3 3" xfId="17660" xr:uid="{00000000-0005-0000-0000-0000F9440000}"/>
    <cellStyle name="Comma 2 9 3 2 3 4" xfId="17661" xr:uid="{00000000-0005-0000-0000-0000FA440000}"/>
    <cellStyle name="Comma 2 9 3 2 3 5" xfId="17662" xr:uid="{00000000-0005-0000-0000-0000FB440000}"/>
    <cellStyle name="Comma 2 9 3 2 4" xfId="17663" xr:uid="{00000000-0005-0000-0000-0000FC440000}"/>
    <cellStyle name="Comma 2 9 3 2 4 2" xfId="17664" xr:uid="{00000000-0005-0000-0000-0000FD440000}"/>
    <cellStyle name="Comma 2 9 3 2 4 3" xfId="17665" xr:uid="{00000000-0005-0000-0000-0000FE440000}"/>
    <cellStyle name="Comma 2 9 3 2 4 4" xfId="17666" xr:uid="{00000000-0005-0000-0000-0000FF440000}"/>
    <cellStyle name="Comma 2 9 3 2 5" xfId="17667" xr:uid="{00000000-0005-0000-0000-000000450000}"/>
    <cellStyle name="Comma 2 9 3 2 5 2" xfId="17668" xr:uid="{00000000-0005-0000-0000-000001450000}"/>
    <cellStyle name="Comma 2 9 3 2 6" xfId="17669" xr:uid="{00000000-0005-0000-0000-000002450000}"/>
    <cellStyle name="Comma 2 9 3 2 7" xfId="17670" xr:uid="{00000000-0005-0000-0000-000003450000}"/>
    <cellStyle name="Comma 2 9 3 2 8" xfId="17671" xr:uid="{00000000-0005-0000-0000-000004450000}"/>
    <cellStyle name="Comma 2 9 3 2 9" xfId="17672" xr:uid="{00000000-0005-0000-0000-000005450000}"/>
    <cellStyle name="Comma 2 9 3 3" xfId="17673" xr:uid="{00000000-0005-0000-0000-000006450000}"/>
    <cellStyle name="Comma 2 9 3 3 2" xfId="17674" xr:uid="{00000000-0005-0000-0000-000007450000}"/>
    <cellStyle name="Comma 2 9 3 3 2 2" xfId="17675" xr:uid="{00000000-0005-0000-0000-000008450000}"/>
    <cellStyle name="Comma 2 9 3 3 2 2 2" xfId="17676" xr:uid="{00000000-0005-0000-0000-000009450000}"/>
    <cellStyle name="Comma 2 9 3 3 2 2 3" xfId="17677" xr:uid="{00000000-0005-0000-0000-00000A450000}"/>
    <cellStyle name="Comma 2 9 3 3 2 3" xfId="17678" xr:uid="{00000000-0005-0000-0000-00000B450000}"/>
    <cellStyle name="Comma 2 9 3 3 2 4" xfId="17679" xr:uid="{00000000-0005-0000-0000-00000C450000}"/>
    <cellStyle name="Comma 2 9 3 3 2 5" xfId="17680" xr:uid="{00000000-0005-0000-0000-00000D450000}"/>
    <cellStyle name="Comma 2 9 3 3 2 6" xfId="17681" xr:uid="{00000000-0005-0000-0000-00000E450000}"/>
    <cellStyle name="Comma 2 9 3 3 3" xfId="17682" xr:uid="{00000000-0005-0000-0000-00000F450000}"/>
    <cellStyle name="Comma 2 9 3 3 3 2" xfId="17683" xr:uid="{00000000-0005-0000-0000-000010450000}"/>
    <cellStyle name="Comma 2 9 3 3 3 2 2" xfId="17684" xr:uid="{00000000-0005-0000-0000-000011450000}"/>
    <cellStyle name="Comma 2 9 3 3 3 3" xfId="17685" xr:uid="{00000000-0005-0000-0000-000012450000}"/>
    <cellStyle name="Comma 2 9 3 3 3 4" xfId="17686" xr:uid="{00000000-0005-0000-0000-000013450000}"/>
    <cellStyle name="Comma 2 9 3 3 3 5" xfId="17687" xr:uid="{00000000-0005-0000-0000-000014450000}"/>
    <cellStyle name="Comma 2 9 3 3 4" xfId="17688" xr:uid="{00000000-0005-0000-0000-000015450000}"/>
    <cellStyle name="Comma 2 9 3 3 4 2" xfId="17689" xr:uid="{00000000-0005-0000-0000-000016450000}"/>
    <cellStyle name="Comma 2 9 3 3 4 3" xfId="17690" xr:uid="{00000000-0005-0000-0000-000017450000}"/>
    <cellStyle name="Comma 2 9 3 3 4 4" xfId="17691" xr:uid="{00000000-0005-0000-0000-000018450000}"/>
    <cellStyle name="Comma 2 9 3 3 5" xfId="17692" xr:uid="{00000000-0005-0000-0000-000019450000}"/>
    <cellStyle name="Comma 2 9 3 3 5 2" xfId="17693" xr:uid="{00000000-0005-0000-0000-00001A450000}"/>
    <cellStyle name="Comma 2 9 3 3 6" xfId="17694" xr:uid="{00000000-0005-0000-0000-00001B450000}"/>
    <cellStyle name="Comma 2 9 3 3 7" xfId="17695" xr:uid="{00000000-0005-0000-0000-00001C450000}"/>
    <cellStyle name="Comma 2 9 3 3 8" xfId="17696" xr:uid="{00000000-0005-0000-0000-00001D450000}"/>
    <cellStyle name="Comma 2 9 3 3 9" xfId="17697" xr:uid="{00000000-0005-0000-0000-00001E450000}"/>
    <cellStyle name="Comma 2 9 3 4" xfId="17698" xr:uid="{00000000-0005-0000-0000-00001F450000}"/>
    <cellStyle name="Comma 2 9 3 4 2" xfId="17699" xr:uid="{00000000-0005-0000-0000-000020450000}"/>
    <cellStyle name="Comma 2 9 3 4 2 2" xfId="17700" xr:uid="{00000000-0005-0000-0000-000021450000}"/>
    <cellStyle name="Comma 2 9 3 4 2 3" xfId="17701" xr:uid="{00000000-0005-0000-0000-000022450000}"/>
    <cellStyle name="Comma 2 9 3 4 3" xfId="17702" xr:uid="{00000000-0005-0000-0000-000023450000}"/>
    <cellStyle name="Comma 2 9 3 4 4" xfId="17703" xr:uid="{00000000-0005-0000-0000-000024450000}"/>
    <cellStyle name="Comma 2 9 3 4 5" xfId="17704" xr:uid="{00000000-0005-0000-0000-000025450000}"/>
    <cellStyle name="Comma 2 9 3 4 6" xfId="17705" xr:uid="{00000000-0005-0000-0000-000026450000}"/>
    <cellStyle name="Comma 2 9 3 5" xfId="17706" xr:uid="{00000000-0005-0000-0000-000027450000}"/>
    <cellStyle name="Comma 2 9 3 5 2" xfId="17707" xr:uid="{00000000-0005-0000-0000-000028450000}"/>
    <cellStyle name="Comma 2 9 3 5 2 2" xfId="17708" xr:uid="{00000000-0005-0000-0000-000029450000}"/>
    <cellStyle name="Comma 2 9 3 5 3" xfId="17709" xr:uid="{00000000-0005-0000-0000-00002A450000}"/>
    <cellStyle name="Comma 2 9 3 5 4" xfId="17710" xr:uid="{00000000-0005-0000-0000-00002B450000}"/>
    <cellStyle name="Comma 2 9 3 5 5" xfId="17711" xr:uid="{00000000-0005-0000-0000-00002C450000}"/>
    <cellStyle name="Comma 2 9 3 6" xfId="17712" xr:uid="{00000000-0005-0000-0000-00002D450000}"/>
    <cellStyle name="Comma 2 9 3 6 2" xfId="17713" xr:uid="{00000000-0005-0000-0000-00002E450000}"/>
    <cellStyle name="Comma 2 9 3 6 3" xfId="17714" xr:uid="{00000000-0005-0000-0000-00002F450000}"/>
    <cellStyle name="Comma 2 9 3 6 4" xfId="17715" xr:uid="{00000000-0005-0000-0000-000030450000}"/>
    <cellStyle name="Comma 2 9 3 7" xfId="17716" xr:uid="{00000000-0005-0000-0000-000031450000}"/>
    <cellStyle name="Comma 2 9 3 7 2" xfId="17717" xr:uid="{00000000-0005-0000-0000-000032450000}"/>
    <cellStyle name="Comma 2 9 3 8" xfId="17718" xr:uid="{00000000-0005-0000-0000-000033450000}"/>
    <cellStyle name="Comma 2 9 3 9" xfId="17719" xr:uid="{00000000-0005-0000-0000-000034450000}"/>
    <cellStyle name="Comma 2 9 4" xfId="17720" xr:uid="{00000000-0005-0000-0000-000035450000}"/>
    <cellStyle name="Comma 2 9 4 10" xfId="17721" xr:uid="{00000000-0005-0000-0000-000036450000}"/>
    <cellStyle name="Comma 2 9 4 11" xfId="17722" xr:uid="{00000000-0005-0000-0000-000037450000}"/>
    <cellStyle name="Comma 2 9 4 2" xfId="17723" xr:uid="{00000000-0005-0000-0000-000038450000}"/>
    <cellStyle name="Comma 2 9 4 2 2" xfId="17724" xr:uid="{00000000-0005-0000-0000-000039450000}"/>
    <cellStyle name="Comma 2 9 4 2 2 2" xfId="17725" xr:uid="{00000000-0005-0000-0000-00003A450000}"/>
    <cellStyle name="Comma 2 9 4 2 2 2 2" xfId="17726" xr:uid="{00000000-0005-0000-0000-00003B450000}"/>
    <cellStyle name="Comma 2 9 4 2 2 2 3" xfId="17727" xr:uid="{00000000-0005-0000-0000-00003C450000}"/>
    <cellStyle name="Comma 2 9 4 2 2 3" xfId="17728" xr:uid="{00000000-0005-0000-0000-00003D450000}"/>
    <cellStyle name="Comma 2 9 4 2 2 4" xfId="17729" xr:uid="{00000000-0005-0000-0000-00003E450000}"/>
    <cellStyle name="Comma 2 9 4 2 2 5" xfId="17730" xr:uid="{00000000-0005-0000-0000-00003F450000}"/>
    <cellStyle name="Comma 2 9 4 2 2 6" xfId="17731" xr:uid="{00000000-0005-0000-0000-000040450000}"/>
    <cellStyle name="Comma 2 9 4 2 3" xfId="17732" xr:uid="{00000000-0005-0000-0000-000041450000}"/>
    <cellStyle name="Comma 2 9 4 2 3 2" xfId="17733" xr:uid="{00000000-0005-0000-0000-000042450000}"/>
    <cellStyle name="Comma 2 9 4 2 3 2 2" xfId="17734" xr:uid="{00000000-0005-0000-0000-000043450000}"/>
    <cellStyle name="Comma 2 9 4 2 3 3" xfId="17735" xr:uid="{00000000-0005-0000-0000-000044450000}"/>
    <cellStyle name="Comma 2 9 4 2 3 4" xfId="17736" xr:uid="{00000000-0005-0000-0000-000045450000}"/>
    <cellStyle name="Comma 2 9 4 2 3 5" xfId="17737" xr:uid="{00000000-0005-0000-0000-000046450000}"/>
    <cellStyle name="Comma 2 9 4 2 4" xfId="17738" xr:uid="{00000000-0005-0000-0000-000047450000}"/>
    <cellStyle name="Comma 2 9 4 2 4 2" xfId="17739" xr:uid="{00000000-0005-0000-0000-000048450000}"/>
    <cellStyle name="Comma 2 9 4 2 4 3" xfId="17740" xr:uid="{00000000-0005-0000-0000-000049450000}"/>
    <cellStyle name="Comma 2 9 4 2 4 4" xfId="17741" xr:uid="{00000000-0005-0000-0000-00004A450000}"/>
    <cellStyle name="Comma 2 9 4 2 5" xfId="17742" xr:uid="{00000000-0005-0000-0000-00004B450000}"/>
    <cellStyle name="Comma 2 9 4 2 5 2" xfId="17743" xr:uid="{00000000-0005-0000-0000-00004C450000}"/>
    <cellStyle name="Comma 2 9 4 2 6" xfId="17744" xr:uid="{00000000-0005-0000-0000-00004D450000}"/>
    <cellStyle name="Comma 2 9 4 2 7" xfId="17745" xr:uid="{00000000-0005-0000-0000-00004E450000}"/>
    <cellStyle name="Comma 2 9 4 2 8" xfId="17746" xr:uid="{00000000-0005-0000-0000-00004F450000}"/>
    <cellStyle name="Comma 2 9 4 2 9" xfId="17747" xr:uid="{00000000-0005-0000-0000-000050450000}"/>
    <cellStyle name="Comma 2 9 4 3" xfId="17748" xr:uid="{00000000-0005-0000-0000-000051450000}"/>
    <cellStyle name="Comma 2 9 4 3 2" xfId="17749" xr:uid="{00000000-0005-0000-0000-000052450000}"/>
    <cellStyle name="Comma 2 9 4 3 2 2" xfId="17750" xr:uid="{00000000-0005-0000-0000-000053450000}"/>
    <cellStyle name="Comma 2 9 4 3 2 2 2" xfId="17751" xr:uid="{00000000-0005-0000-0000-000054450000}"/>
    <cellStyle name="Comma 2 9 4 3 2 2 3" xfId="17752" xr:uid="{00000000-0005-0000-0000-000055450000}"/>
    <cellStyle name="Comma 2 9 4 3 2 3" xfId="17753" xr:uid="{00000000-0005-0000-0000-000056450000}"/>
    <cellStyle name="Comma 2 9 4 3 2 4" xfId="17754" xr:uid="{00000000-0005-0000-0000-000057450000}"/>
    <cellStyle name="Comma 2 9 4 3 2 5" xfId="17755" xr:uid="{00000000-0005-0000-0000-000058450000}"/>
    <cellStyle name="Comma 2 9 4 3 2 6" xfId="17756" xr:uid="{00000000-0005-0000-0000-000059450000}"/>
    <cellStyle name="Comma 2 9 4 3 3" xfId="17757" xr:uid="{00000000-0005-0000-0000-00005A450000}"/>
    <cellStyle name="Comma 2 9 4 3 3 2" xfId="17758" xr:uid="{00000000-0005-0000-0000-00005B450000}"/>
    <cellStyle name="Comma 2 9 4 3 3 2 2" xfId="17759" xr:uid="{00000000-0005-0000-0000-00005C450000}"/>
    <cellStyle name="Comma 2 9 4 3 3 3" xfId="17760" xr:uid="{00000000-0005-0000-0000-00005D450000}"/>
    <cellStyle name="Comma 2 9 4 3 3 4" xfId="17761" xr:uid="{00000000-0005-0000-0000-00005E450000}"/>
    <cellStyle name="Comma 2 9 4 3 3 5" xfId="17762" xr:uid="{00000000-0005-0000-0000-00005F450000}"/>
    <cellStyle name="Comma 2 9 4 3 4" xfId="17763" xr:uid="{00000000-0005-0000-0000-000060450000}"/>
    <cellStyle name="Comma 2 9 4 3 4 2" xfId="17764" xr:uid="{00000000-0005-0000-0000-000061450000}"/>
    <cellStyle name="Comma 2 9 4 3 4 3" xfId="17765" xr:uid="{00000000-0005-0000-0000-000062450000}"/>
    <cellStyle name="Comma 2 9 4 3 4 4" xfId="17766" xr:uid="{00000000-0005-0000-0000-000063450000}"/>
    <cellStyle name="Comma 2 9 4 3 5" xfId="17767" xr:uid="{00000000-0005-0000-0000-000064450000}"/>
    <cellStyle name="Comma 2 9 4 3 5 2" xfId="17768" xr:uid="{00000000-0005-0000-0000-000065450000}"/>
    <cellStyle name="Comma 2 9 4 3 6" xfId="17769" xr:uid="{00000000-0005-0000-0000-000066450000}"/>
    <cellStyle name="Comma 2 9 4 3 7" xfId="17770" xr:uid="{00000000-0005-0000-0000-000067450000}"/>
    <cellStyle name="Comma 2 9 4 3 8" xfId="17771" xr:uid="{00000000-0005-0000-0000-000068450000}"/>
    <cellStyle name="Comma 2 9 4 3 9" xfId="17772" xr:uid="{00000000-0005-0000-0000-000069450000}"/>
    <cellStyle name="Comma 2 9 4 4" xfId="17773" xr:uid="{00000000-0005-0000-0000-00006A450000}"/>
    <cellStyle name="Comma 2 9 4 4 2" xfId="17774" xr:uid="{00000000-0005-0000-0000-00006B450000}"/>
    <cellStyle name="Comma 2 9 4 4 2 2" xfId="17775" xr:uid="{00000000-0005-0000-0000-00006C450000}"/>
    <cellStyle name="Comma 2 9 4 4 2 3" xfId="17776" xr:uid="{00000000-0005-0000-0000-00006D450000}"/>
    <cellStyle name="Comma 2 9 4 4 3" xfId="17777" xr:uid="{00000000-0005-0000-0000-00006E450000}"/>
    <cellStyle name="Comma 2 9 4 4 4" xfId="17778" xr:uid="{00000000-0005-0000-0000-00006F450000}"/>
    <cellStyle name="Comma 2 9 4 4 5" xfId="17779" xr:uid="{00000000-0005-0000-0000-000070450000}"/>
    <cellStyle name="Comma 2 9 4 4 6" xfId="17780" xr:uid="{00000000-0005-0000-0000-000071450000}"/>
    <cellStyle name="Comma 2 9 4 5" xfId="17781" xr:uid="{00000000-0005-0000-0000-000072450000}"/>
    <cellStyle name="Comma 2 9 4 5 2" xfId="17782" xr:uid="{00000000-0005-0000-0000-000073450000}"/>
    <cellStyle name="Comma 2 9 4 5 2 2" xfId="17783" xr:uid="{00000000-0005-0000-0000-000074450000}"/>
    <cellStyle name="Comma 2 9 4 5 3" xfId="17784" xr:uid="{00000000-0005-0000-0000-000075450000}"/>
    <cellStyle name="Comma 2 9 4 5 4" xfId="17785" xr:uid="{00000000-0005-0000-0000-000076450000}"/>
    <cellStyle name="Comma 2 9 4 5 5" xfId="17786" xr:uid="{00000000-0005-0000-0000-000077450000}"/>
    <cellStyle name="Comma 2 9 4 6" xfId="17787" xr:uid="{00000000-0005-0000-0000-000078450000}"/>
    <cellStyle name="Comma 2 9 4 6 2" xfId="17788" xr:uid="{00000000-0005-0000-0000-000079450000}"/>
    <cellStyle name="Comma 2 9 4 6 3" xfId="17789" xr:uid="{00000000-0005-0000-0000-00007A450000}"/>
    <cellStyle name="Comma 2 9 4 6 4" xfId="17790" xr:uid="{00000000-0005-0000-0000-00007B450000}"/>
    <cellStyle name="Comma 2 9 4 7" xfId="17791" xr:uid="{00000000-0005-0000-0000-00007C450000}"/>
    <cellStyle name="Comma 2 9 4 7 2" xfId="17792" xr:uid="{00000000-0005-0000-0000-00007D450000}"/>
    <cellStyle name="Comma 2 9 4 8" xfId="17793" xr:uid="{00000000-0005-0000-0000-00007E450000}"/>
    <cellStyle name="Comma 2 9 4 9" xfId="17794" xr:uid="{00000000-0005-0000-0000-00007F450000}"/>
    <cellStyle name="Comma 2 9 5" xfId="17795" xr:uid="{00000000-0005-0000-0000-000080450000}"/>
    <cellStyle name="Comma 2 9 5 10" xfId="17796" xr:uid="{00000000-0005-0000-0000-000081450000}"/>
    <cellStyle name="Comma 2 9 5 11" xfId="17797" xr:uid="{00000000-0005-0000-0000-000082450000}"/>
    <cellStyle name="Comma 2 9 5 2" xfId="17798" xr:uid="{00000000-0005-0000-0000-000083450000}"/>
    <cellStyle name="Comma 2 9 5 2 2" xfId="17799" xr:uid="{00000000-0005-0000-0000-000084450000}"/>
    <cellStyle name="Comma 2 9 5 2 2 2" xfId="17800" xr:uid="{00000000-0005-0000-0000-000085450000}"/>
    <cellStyle name="Comma 2 9 5 2 2 2 2" xfId="17801" xr:uid="{00000000-0005-0000-0000-000086450000}"/>
    <cellStyle name="Comma 2 9 5 2 2 2 3" xfId="17802" xr:uid="{00000000-0005-0000-0000-000087450000}"/>
    <cellStyle name="Comma 2 9 5 2 2 3" xfId="17803" xr:uid="{00000000-0005-0000-0000-000088450000}"/>
    <cellStyle name="Comma 2 9 5 2 2 4" xfId="17804" xr:uid="{00000000-0005-0000-0000-000089450000}"/>
    <cellStyle name="Comma 2 9 5 2 2 5" xfId="17805" xr:uid="{00000000-0005-0000-0000-00008A450000}"/>
    <cellStyle name="Comma 2 9 5 2 2 6" xfId="17806" xr:uid="{00000000-0005-0000-0000-00008B450000}"/>
    <cellStyle name="Comma 2 9 5 2 3" xfId="17807" xr:uid="{00000000-0005-0000-0000-00008C450000}"/>
    <cellStyle name="Comma 2 9 5 2 3 2" xfId="17808" xr:uid="{00000000-0005-0000-0000-00008D450000}"/>
    <cellStyle name="Comma 2 9 5 2 3 2 2" xfId="17809" xr:uid="{00000000-0005-0000-0000-00008E450000}"/>
    <cellStyle name="Comma 2 9 5 2 3 3" xfId="17810" xr:uid="{00000000-0005-0000-0000-00008F450000}"/>
    <cellStyle name="Comma 2 9 5 2 3 4" xfId="17811" xr:uid="{00000000-0005-0000-0000-000090450000}"/>
    <cellStyle name="Comma 2 9 5 2 3 5" xfId="17812" xr:uid="{00000000-0005-0000-0000-000091450000}"/>
    <cellStyle name="Comma 2 9 5 2 4" xfId="17813" xr:uid="{00000000-0005-0000-0000-000092450000}"/>
    <cellStyle name="Comma 2 9 5 2 4 2" xfId="17814" xr:uid="{00000000-0005-0000-0000-000093450000}"/>
    <cellStyle name="Comma 2 9 5 2 4 3" xfId="17815" xr:uid="{00000000-0005-0000-0000-000094450000}"/>
    <cellStyle name="Comma 2 9 5 2 4 4" xfId="17816" xr:uid="{00000000-0005-0000-0000-000095450000}"/>
    <cellStyle name="Comma 2 9 5 2 5" xfId="17817" xr:uid="{00000000-0005-0000-0000-000096450000}"/>
    <cellStyle name="Comma 2 9 5 2 5 2" xfId="17818" xr:uid="{00000000-0005-0000-0000-000097450000}"/>
    <cellStyle name="Comma 2 9 5 2 6" xfId="17819" xr:uid="{00000000-0005-0000-0000-000098450000}"/>
    <cellStyle name="Comma 2 9 5 2 7" xfId="17820" xr:uid="{00000000-0005-0000-0000-000099450000}"/>
    <cellStyle name="Comma 2 9 5 2 8" xfId="17821" xr:uid="{00000000-0005-0000-0000-00009A450000}"/>
    <cellStyle name="Comma 2 9 5 2 9" xfId="17822" xr:uid="{00000000-0005-0000-0000-00009B450000}"/>
    <cellStyle name="Comma 2 9 5 3" xfId="17823" xr:uid="{00000000-0005-0000-0000-00009C450000}"/>
    <cellStyle name="Comma 2 9 5 3 2" xfId="17824" xr:uid="{00000000-0005-0000-0000-00009D450000}"/>
    <cellStyle name="Comma 2 9 5 3 2 2" xfId="17825" xr:uid="{00000000-0005-0000-0000-00009E450000}"/>
    <cellStyle name="Comma 2 9 5 3 2 2 2" xfId="17826" xr:uid="{00000000-0005-0000-0000-00009F450000}"/>
    <cellStyle name="Comma 2 9 5 3 2 2 3" xfId="17827" xr:uid="{00000000-0005-0000-0000-0000A0450000}"/>
    <cellStyle name="Comma 2 9 5 3 2 3" xfId="17828" xr:uid="{00000000-0005-0000-0000-0000A1450000}"/>
    <cellStyle name="Comma 2 9 5 3 2 4" xfId="17829" xr:uid="{00000000-0005-0000-0000-0000A2450000}"/>
    <cellStyle name="Comma 2 9 5 3 2 5" xfId="17830" xr:uid="{00000000-0005-0000-0000-0000A3450000}"/>
    <cellStyle name="Comma 2 9 5 3 2 6" xfId="17831" xr:uid="{00000000-0005-0000-0000-0000A4450000}"/>
    <cellStyle name="Comma 2 9 5 3 3" xfId="17832" xr:uid="{00000000-0005-0000-0000-0000A5450000}"/>
    <cellStyle name="Comma 2 9 5 3 3 2" xfId="17833" xr:uid="{00000000-0005-0000-0000-0000A6450000}"/>
    <cellStyle name="Comma 2 9 5 3 3 2 2" xfId="17834" xr:uid="{00000000-0005-0000-0000-0000A7450000}"/>
    <cellStyle name="Comma 2 9 5 3 3 3" xfId="17835" xr:uid="{00000000-0005-0000-0000-0000A8450000}"/>
    <cellStyle name="Comma 2 9 5 3 3 4" xfId="17836" xr:uid="{00000000-0005-0000-0000-0000A9450000}"/>
    <cellStyle name="Comma 2 9 5 3 3 5" xfId="17837" xr:uid="{00000000-0005-0000-0000-0000AA450000}"/>
    <cellStyle name="Comma 2 9 5 3 4" xfId="17838" xr:uid="{00000000-0005-0000-0000-0000AB450000}"/>
    <cellStyle name="Comma 2 9 5 3 4 2" xfId="17839" xr:uid="{00000000-0005-0000-0000-0000AC450000}"/>
    <cellStyle name="Comma 2 9 5 3 4 3" xfId="17840" xr:uid="{00000000-0005-0000-0000-0000AD450000}"/>
    <cellStyle name="Comma 2 9 5 3 4 4" xfId="17841" xr:uid="{00000000-0005-0000-0000-0000AE450000}"/>
    <cellStyle name="Comma 2 9 5 3 5" xfId="17842" xr:uid="{00000000-0005-0000-0000-0000AF450000}"/>
    <cellStyle name="Comma 2 9 5 3 5 2" xfId="17843" xr:uid="{00000000-0005-0000-0000-0000B0450000}"/>
    <cellStyle name="Comma 2 9 5 3 6" xfId="17844" xr:uid="{00000000-0005-0000-0000-0000B1450000}"/>
    <cellStyle name="Comma 2 9 5 3 7" xfId="17845" xr:uid="{00000000-0005-0000-0000-0000B2450000}"/>
    <cellStyle name="Comma 2 9 5 3 8" xfId="17846" xr:uid="{00000000-0005-0000-0000-0000B3450000}"/>
    <cellStyle name="Comma 2 9 5 3 9" xfId="17847" xr:uid="{00000000-0005-0000-0000-0000B4450000}"/>
    <cellStyle name="Comma 2 9 5 4" xfId="17848" xr:uid="{00000000-0005-0000-0000-0000B5450000}"/>
    <cellStyle name="Comma 2 9 5 4 2" xfId="17849" xr:uid="{00000000-0005-0000-0000-0000B6450000}"/>
    <cellStyle name="Comma 2 9 5 4 2 2" xfId="17850" xr:uid="{00000000-0005-0000-0000-0000B7450000}"/>
    <cellStyle name="Comma 2 9 5 4 2 3" xfId="17851" xr:uid="{00000000-0005-0000-0000-0000B8450000}"/>
    <cellStyle name="Comma 2 9 5 4 3" xfId="17852" xr:uid="{00000000-0005-0000-0000-0000B9450000}"/>
    <cellStyle name="Comma 2 9 5 4 4" xfId="17853" xr:uid="{00000000-0005-0000-0000-0000BA450000}"/>
    <cellStyle name="Comma 2 9 5 4 5" xfId="17854" xr:uid="{00000000-0005-0000-0000-0000BB450000}"/>
    <cellStyle name="Comma 2 9 5 4 6" xfId="17855" xr:uid="{00000000-0005-0000-0000-0000BC450000}"/>
    <cellStyle name="Comma 2 9 5 5" xfId="17856" xr:uid="{00000000-0005-0000-0000-0000BD450000}"/>
    <cellStyle name="Comma 2 9 5 5 2" xfId="17857" xr:uid="{00000000-0005-0000-0000-0000BE450000}"/>
    <cellStyle name="Comma 2 9 5 5 2 2" xfId="17858" xr:uid="{00000000-0005-0000-0000-0000BF450000}"/>
    <cellStyle name="Comma 2 9 5 5 3" xfId="17859" xr:uid="{00000000-0005-0000-0000-0000C0450000}"/>
    <cellStyle name="Comma 2 9 5 5 4" xfId="17860" xr:uid="{00000000-0005-0000-0000-0000C1450000}"/>
    <cellStyle name="Comma 2 9 5 5 5" xfId="17861" xr:uid="{00000000-0005-0000-0000-0000C2450000}"/>
    <cellStyle name="Comma 2 9 5 6" xfId="17862" xr:uid="{00000000-0005-0000-0000-0000C3450000}"/>
    <cellStyle name="Comma 2 9 5 6 2" xfId="17863" xr:uid="{00000000-0005-0000-0000-0000C4450000}"/>
    <cellStyle name="Comma 2 9 5 6 3" xfId="17864" xr:uid="{00000000-0005-0000-0000-0000C5450000}"/>
    <cellStyle name="Comma 2 9 5 6 4" xfId="17865" xr:uid="{00000000-0005-0000-0000-0000C6450000}"/>
    <cellStyle name="Comma 2 9 5 7" xfId="17866" xr:uid="{00000000-0005-0000-0000-0000C7450000}"/>
    <cellStyle name="Comma 2 9 5 7 2" xfId="17867" xr:uid="{00000000-0005-0000-0000-0000C8450000}"/>
    <cellStyle name="Comma 2 9 5 8" xfId="17868" xr:uid="{00000000-0005-0000-0000-0000C9450000}"/>
    <cellStyle name="Comma 2 9 5 9" xfId="17869" xr:uid="{00000000-0005-0000-0000-0000CA450000}"/>
    <cellStyle name="Comma 2 9 6" xfId="17870" xr:uid="{00000000-0005-0000-0000-0000CB450000}"/>
    <cellStyle name="Comma 2 9 6 10" xfId="17871" xr:uid="{00000000-0005-0000-0000-0000CC450000}"/>
    <cellStyle name="Comma 2 9 6 11" xfId="17872" xr:uid="{00000000-0005-0000-0000-0000CD450000}"/>
    <cellStyle name="Comma 2 9 6 2" xfId="17873" xr:uid="{00000000-0005-0000-0000-0000CE450000}"/>
    <cellStyle name="Comma 2 9 6 2 2" xfId="17874" xr:uid="{00000000-0005-0000-0000-0000CF450000}"/>
    <cellStyle name="Comma 2 9 6 2 2 2" xfId="17875" xr:uid="{00000000-0005-0000-0000-0000D0450000}"/>
    <cellStyle name="Comma 2 9 6 2 2 2 2" xfId="17876" xr:uid="{00000000-0005-0000-0000-0000D1450000}"/>
    <cellStyle name="Comma 2 9 6 2 2 2 3" xfId="17877" xr:uid="{00000000-0005-0000-0000-0000D2450000}"/>
    <cellStyle name="Comma 2 9 6 2 2 3" xfId="17878" xr:uid="{00000000-0005-0000-0000-0000D3450000}"/>
    <cellStyle name="Comma 2 9 6 2 2 4" xfId="17879" xr:uid="{00000000-0005-0000-0000-0000D4450000}"/>
    <cellStyle name="Comma 2 9 6 2 2 5" xfId="17880" xr:uid="{00000000-0005-0000-0000-0000D5450000}"/>
    <cellStyle name="Comma 2 9 6 2 2 6" xfId="17881" xr:uid="{00000000-0005-0000-0000-0000D6450000}"/>
    <cellStyle name="Comma 2 9 6 2 3" xfId="17882" xr:uid="{00000000-0005-0000-0000-0000D7450000}"/>
    <cellStyle name="Comma 2 9 6 2 3 2" xfId="17883" xr:uid="{00000000-0005-0000-0000-0000D8450000}"/>
    <cellStyle name="Comma 2 9 6 2 3 2 2" xfId="17884" xr:uid="{00000000-0005-0000-0000-0000D9450000}"/>
    <cellStyle name="Comma 2 9 6 2 3 3" xfId="17885" xr:uid="{00000000-0005-0000-0000-0000DA450000}"/>
    <cellStyle name="Comma 2 9 6 2 3 4" xfId="17886" xr:uid="{00000000-0005-0000-0000-0000DB450000}"/>
    <cellStyle name="Comma 2 9 6 2 3 5" xfId="17887" xr:uid="{00000000-0005-0000-0000-0000DC450000}"/>
    <cellStyle name="Comma 2 9 6 2 4" xfId="17888" xr:uid="{00000000-0005-0000-0000-0000DD450000}"/>
    <cellStyle name="Comma 2 9 6 2 4 2" xfId="17889" xr:uid="{00000000-0005-0000-0000-0000DE450000}"/>
    <cellStyle name="Comma 2 9 6 2 4 3" xfId="17890" xr:uid="{00000000-0005-0000-0000-0000DF450000}"/>
    <cellStyle name="Comma 2 9 6 2 4 4" xfId="17891" xr:uid="{00000000-0005-0000-0000-0000E0450000}"/>
    <cellStyle name="Comma 2 9 6 2 5" xfId="17892" xr:uid="{00000000-0005-0000-0000-0000E1450000}"/>
    <cellStyle name="Comma 2 9 6 2 5 2" xfId="17893" xr:uid="{00000000-0005-0000-0000-0000E2450000}"/>
    <cellStyle name="Comma 2 9 6 2 6" xfId="17894" xr:uid="{00000000-0005-0000-0000-0000E3450000}"/>
    <cellStyle name="Comma 2 9 6 2 7" xfId="17895" xr:uid="{00000000-0005-0000-0000-0000E4450000}"/>
    <cellStyle name="Comma 2 9 6 2 8" xfId="17896" xr:uid="{00000000-0005-0000-0000-0000E5450000}"/>
    <cellStyle name="Comma 2 9 6 2 9" xfId="17897" xr:uid="{00000000-0005-0000-0000-0000E6450000}"/>
    <cellStyle name="Comma 2 9 6 3" xfId="17898" xr:uid="{00000000-0005-0000-0000-0000E7450000}"/>
    <cellStyle name="Comma 2 9 6 3 2" xfId="17899" xr:uid="{00000000-0005-0000-0000-0000E8450000}"/>
    <cellStyle name="Comma 2 9 6 3 2 2" xfId="17900" xr:uid="{00000000-0005-0000-0000-0000E9450000}"/>
    <cellStyle name="Comma 2 9 6 3 2 2 2" xfId="17901" xr:uid="{00000000-0005-0000-0000-0000EA450000}"/>
    <cellStyle name="Comma 2 9 6 3 2 2 3" xfId="17902" xr:uid="{00000000-0005-0000-0000-0000EB450000}"/>
    <cellStyle name="Comma 2 9 6 3 2 3" xfId="17903" xr:uid="{00000000-0005-0000-0000-0000EC450000}"/>
    <cellStyle name="Comma 2 9 6 3 2 4" xfId="17904" xr:uid="{00000000-0005-0000-0000-0000ED450000}"/>
    <cellStyle name="Comma 2 9 6 3 2 5" xfId="17905" xr:uid="{00000000-0005-0000-0000-0000EE450000}"/>
    <cellStyle name="Comma 2 9 6 3 2 6" xfId="17906" xr:uid="{00000000-0005-0000-0000-0000EF450000}"/>
    <cellStyle name="Comma 2 9 6 3 3" xfId="17907" xr:uid="{00000000-0005-0000-0000-0000F0450000}"/>
    <cellStyle name="Comma 2 9 6 3 3 2" xfId="17908" xr:uid="{00000000-0005-0000-0000-0000F1450000}"/>
    <cellStyle name="Comma 2 9 6 3 3 2 2" xfId="17909" xr:uid="{00000000-0005-0000-0000-0000F2450000}"/>
    <cellStyle name="Comma 2 9 6 3 3 3" xfId="17910" xr:uid="{00000000-0005-0000-0000-0000F3450000}"/>
    <cellStyle name="Comma 2 9 6 3 3 4" xfId="17911" xr:uid="{00000000-0005-0000-0000-0000F4450000}"/>
    <cellStyle name="Comma 2 9 6 3 3 5" xfId="17912" xr:uid="{00000000-0005-0000-0000-0000F5450000}"/>
    <cellStyle name="Comma 2 9 6 3 4" xfId="17913" xr:uid="{00000000-0005-0000-0000-0000F6450000}"/>
    <cellStyle name="Comma 2 9 6 3 4 2" xfId="17914" xr:uid="{00000000-0005-0000-0000-0000F7450000}"/>
    <cellStyle name="Comma 2 9 6 3 4 3" xfId="17915" xr:uid="{00000000-0005-0000-0000-0000F8450000}"/>
    <cellStyle name="Comma 2 9 6 3 4 4" xfId="17916" xr:uid="{00000000-0005-0000-0000-0000F9450000}"/>
    <cellStyle name="Comma 2 9 6 3 5" xfId="17917" xr:uid="{00000000-0005-0000-0000-0000FA450000}"/>
    <cellStyle name="Comma 2 9 6 3 5 2" xfId="17918" xr:uid="{00000000-0005-0000-0000-0000FB450000}"/>
    <cellStyle name="Comma 2 9 6 3 6" xfId="17919" xr:uid="{00000000-0005-0000-0000-0000FC450000}"/>
    <cellStyle name="Comma 2 9 6 3 7" xfId="17920" xr:uid="{00000000-0005-0000-0000-0000FD450000}"/>
    <cellStyle name="Comma 2 9 6 3 8" xfId="17921" xr:uid="{00000000-0005-0000-0000-0000FE450000}"/>
    <cellStyle name="Comma 2 9 6 3 9" xfId="17922" xr:uid="{00000000-0005-0000-0000-0000FF450000}"/>
    <cellStyle name="Comma 2 9 6 4" xfId="17923" xr:uid="{00000000-0005-0000-0000-000000460000}"/>
    <cellStyle name="Comma 2 9 6 4 2" xfId="17924" xr:uid="{00000000-0005-0000-0000-000001460000}"/>
    <cellStyle name="Comma 2 9 6 4 2 2" xfId="17925" xr:uid="{00000000-0005-0000-0000-000002460000}"/>
    <cellStyle name="Comma 2 9 6 4 2 3" xfId="17926" xr:uid="{00000000-0005-0000-0000-000003460000}"/>
    <cellStyle name="Comma 2 9 6 4 3" xfId="17927" xr:uid="{00000000-0005-0000-0000-000004460000}"/>
    <cellStyle name="Comma 2 9 6 4 4" xfId="17928" xr:uid="{00000000-0005-0000-0000-000005460000}"/>
    <cellStyle name="Comma 2 9 6 4 5" xfId="17929" xr:uid="{00000000-0005-0000-0000-000006460000}"/>
    <cellStyle name="Comma 2 9 6 4 6" xfId="17930" xr:uid="{00000000-0005-0000-0000-000007460000}"/>
    <cellStyle name="Comma 2 9 6 5" xfId="17931" xr:uid="{00000000-0005-0000-0000-000008460000}"/>
    <cellStyle name="Comma 2 9 6 5 2" xfId="17932" xr:uid="{00000000-0005-0000-0000-000009460000}"/>
    <cellStyle name="Comma 2 9 6 5 2 2" xfId="17933" xr:uid="{00000000-0005-0000-0000-00000A460000}"/>
    <cellStyle name="Comma 2 9 6 5 3" xfId="17934" xr:uid="{00000000-0005-0000-0000-00000B460000}"/>
    <cellStyle name="Comma 2 9 6 5 4" xfId="17935" xr:uid="{00000000-0005-0000-0000-00000C460000}"/>
    <cellStyle name="Comma 2 9 6 5 5" xfId="17936" xr:uid="{00000000-0005-0000-0000-00000D460000}"/>
    <cellStyle name="Comma 2 9 6 6" xfId="17937" xr:uid="{00000000-0005-0000-0000-00000E460000}"/>
    <cellStyle name="Comma 2 9 6 6 2" xfId="17938" xr:uid="{00000000-0005-0000-0000-00000F460000}"/>
    <cellStyle name="Comma 2 9 6 6 3" xfId="17939" xr:uid="{00000000-0005-0000-0000-000010460000}"/>
    <cellStyle name="Comma 2 9 6 6 4" xfId="17940" xr:uid="{00000000-0005-0000-0000-000011460000}"/>
    <cellStyle name="Comma 2 9 6 7" xfId="17941" xr:uid="{00000000-0005-0000-0000-000012460000}"/>
    <cellStyle name="Comma 2 9 6 7 2" xfId="17942" xr:uid="{00000000-0005-0000-0000-000013460000}"/>
    <cellStyle name="Comma 2 9 6 8" xfId="17943" xr:uid="{00000000-0005-0000-0000-000014460000}"/>
    <cellStyle name="Comma 2 9 6 9" xfId="17944" xr:uid="{00000000-0005-0000-0000-000015460000}"/>
    <cellStyle name="Comma 2 9 7" xfId="17945" xr:uid="{00000000-0005-0000-0000-000016460000}"/>
    <cellStyle name="Comma 2 9 7 10" xfId="17946" xr:uid="{00000000-0005-0000-0000-000017460000}"/>
    <cellStyle name="Comma 2 9 7 11" xfId="17947" xr:uid="{00000000-0005-0000-0000-000018460000}"/>
    <cellStyle name="Comma 2 9 7 2" xfId="17948" xr:uid="{00000000-0005-0000-0000-000019460000}"/>
    <cellStyle name="Comma 2 9 7 2 2" xfId="17949" xr:uid="{00000000-0005-0000-0000-00001A460000}"/>
    <cellStyle name="Comma 2 9 7 2 2 2" xfId="17950" xr:uid="{00000000-0005-0000-0000-00001B460000}"/>
    <cellStyle name="Comma 2 9 7 2 2 2 2" xfId="17951" xr:uid="{00000000-0005-0000-0000-00001C460000}"/>
    <cellStyle name="Comma 2 9 7 2 2 2 3" xfId="17952" xr:uid="{00000000-0005-0000-0000-00001D460000}"/>
    <cellStyle name="Comma 2 9 7 2 2 3" xfId="17953" xr:uid="{00000000-0005-0000-0000-00001E460000}"/>
    <cellStyle name="Comma 2 9 7 2 2 4" xfId="17954" xr:uid="{00000000-0005-0000-0000-00001F460000}"/>
    <cellStyle name="Comma 2 9 7 2 2 5" xfId="17955" xr:uid="{00000000-0005-0000-0000-000020460000}"/>
    <cellStyle name="Comma 2 9 7 2 2 6" xfId="17956" xr:uid="{00000000-0005-0000-0000-000021460000}"/>
    <cellStyle name="Comma 2 9 7 2 3" xfId="17957" xr:uid="{00000000-0005-0000-0000-000022460000}"/>
    <cellStyle name="Comma 2 9 7 2 3 2" xfId="17958" xr:uid="{00000000-0005-0000-0000-000023460000}"/>
    <cellStyle name="Comma 2 9 7 2 3 2 2" xfId="17959" xr:uid="{00000000-0005-0000-0000-000024460000}"/>
    <cellStyle name="Comma 2 9 7 2 3 3" xfId="17960" xr:uid="{00000000-0005-0000-0000-000025460000}"/>
    <cellStyle name="Comma 2 9 7 2 3 4" xfId="17961" xr:uid="{00000000-0005-0000-0000-000026460000}"/>
    <cellStyle name="Comma 2 9 7 2 3 5" xfId="17962" xr:uid="{00000000-0005-0000-0000-000027460000}"/>
    <cellStyle name="Comma 2 9 7 2 4" xfId="17963" xr:uid="{00000000-0005-0000-0000-000028460000}"/>
    <cellStyle name="Comma 2 9 7 2 4 2" xfId="17964" xr:uid="{00000000-0005-0000-0000-000029460000}"/>
    <cellStyle name="Comma 2 9 7 2 4 3" xfId="17965" xr:uid="{00000000-0005-0000-0000-00002A460000}"/>
    <cellStyle name="Comma 2 9 7 2 4 4" xfId="17966" xr:uid="{00000000-0005-0000-0000-00002B460000}"/>
    <cellStyle name="Comma 2 9 7 2 5" xfId="17967" xr:uid="{00000000-0005-0000-0000-00002C460000}"/>
    <cellStyle name="Comma 2 9 7 2 5 2" xfId="17968" xr:uid="{00000000-0005-0000-0000-00002D460000}"/>
    <cellStyle name="Comma 2 9 7 2 6" xfId="17969" xr:uid="{00000000-0005-0000-0000-00002E460000}"/>
    <cellStyle name="Comma 2 9 7 2 7" xfId="17970" xr:uid="{00000000-0005-0000-0000-00002F460000}"/>
    <cellStyle name="Comma 2 9 7 2 8" xfId="17971" xr:uid="{00000000-0005-0000-0000-000030460000}"/>
    <cellStyle name="Comma 2 9 7 2 9" xfId="17972" xr:uid="{00000000-0005-0000-0000-000031460000}"/>
    <cellStyle name="Comma 2 9 7 3" xfId="17973" xr:uid="{00000000-0005-0000-0000-000032460000}"/>
    <cellStyle name="Comma 2 9 7 3 2" xfId="17974" xr:uid="{00000000-0005-0000-0000-000033460000}"/>
    <cellStyle name="Comma 2 9 7 3 2 2" xfId="17975" xr:uid="{00000000-0005-0000-0000-000034460000}"/>
    <cellStyle name="Comma 2 9 7 3 2 2 2" xfId="17976" xr:uid="{00000000-0005-0000-0000-000035460000}"/>
    <cellStyle name="Comma 2 9 7 3 2 2 3" xfId="17977" xr:uid="{00000000-0005-0000-0000-000036460000}"/>
    <cellStyle name="Comma 2 9 7 3 2 3" xfId="17978" xr:uid="{00000000-0005-0000-0000-000037460000}"/>
    <cellStyle name="Comma 2 9 7 3 2 4" xfId="17979" xr:uid="{00000000-0005-0000-0000-000038460000}"/>
    <cellStyle name="Comma 2 9 7 3 2 5" xfId="17980" xr:uid="{00000000-0005-0000-0000-000039460000}"/>
    <cellStyle name="Comma 2 9 7 3 2 6" xfId="17981" xr:uid="{00000000-0005-0000-0000-00003A460000}"/>
    <cellStyle name="Comma 2 9 7 3 3" xfId="17982" xr:uid="{00000000-0005-0000-0000-00003B460000}"/>
    <cellStyle name="Comma 2 9 7 3 3 2" xfId="17983" xr:uid="{00000000-0005-0000-0000-00003C460000}"/>
    <cellStyle name="Comma 2 9 7 3 3 2 2" xfId="17984" xr:uid="{00000000-0005-0000-0000-00003D460000}"/>
    <cellStyle name="Comma 2 9 7 3 3 3" xfId="17985" xr:uid="{00000000-0005-0000-0000-00003E460000}"/>
    <cellStyle name="Comma 2 9 7 3 3 4" xfId="17986" xr:uid="{00000000-0005-0000-0000-00003F460000}"/>
    <cellStyle name="Comma 2 9 7 3 3 5" xfId="17987" xr:uid="{00000000-0005-0000-0000-000040460000}"/>
    <cellStyle name="Comma 2 9 7 3 4" xfId="17988" xr:uid="{00000000-0005-0000-0000-000041460000}"/>
    <cellStyle name="Comma 2 9 7 3 4 2" xfId="17989" xr:uid="{00000000-0005-0000-0000-000042460000}"/>
    <cellStyle name="Comma 2 9 7 3 4 3" xfId="17990" xr:uid="{00000000-0005-0000-0000-000043460000}"/>
    <cellStyle name="Comma 2 9 7 3 4 4" xfId="17991" xr:uid="{00000000-0005-0000-0000-000044460000}"/>
    <cellStyle name="Comma 2 9 7 3 5" xfId="17992" xr:uid="{00000000-0005-0000-0000-000045460000}"/>
    <cellStyle name="Comma 2 9 7 3 5 2" xfId="17993" xr:uid="{00000000-0005-0000-0000-000046460000}"/>
    <cellStyle name="Comma 2 9 7 3 6" xfId="17994" xr:uid="{00000000-0005-0000-0000-000047460000}"/>
    <cellStyle name="Comma 2 9 7 3 7" xfId="17995" xr:uid="{00000000-0005-0000-0000-000048460000}"/>
    <cellStyle name="Comma 2 9 7 3 8" xfId="17996" xr:uid="{00000000-0005-0000-0000-000049460000}"/>
    <cellStyle name="Comma 2 9 7 3 9" xfId="17997" xr:uid="{00000000-0005-0000-0000-00004A460000}"/>
    <cellStyle name="Comma 2 9 7 4" xfId="17998" xr:uid="{00000000-0005-0000-0000-00004B460000}"/>
    <cellStyle name="Comma 2 9 7 4 2" xfId="17999" xr:uid="{00000000-0005-0000-0000-00004C460000}"/>
    <cellStyle name="Comma 2 9 7 4 2 2" xfId="18000" xr:uid="{00000000-0005-0000-0000-00004D460000}"/>
    <cellStyle name="Comma 2 9 7 4 2 3" xfId="18001" xr:uid="{00000000-0005-0000-0000-00004E460000}"/>
    <cellStyle name="Comma 2 9 7 4 3" xfId="18002" xr:uid="{00000000-0005-0000-0000-00004F460000}"/>
    <cellStyle name="Comma 2 9 7 4 4" xfId="18003" xr:uid="{00000000-0005-0000-0000-000050460000}"/>
    <cellStyle name="Comma 2 9 7 4 5" xfId="18004" xr:uid="{00000000-0005-0000-0000-000051460000}"/>
    <cellStyle name="Comma 2 9 7 4 6" xfId="18005" xr:uid="{00000000-0005-0000-0000-000052460000}"/>
    <cellStyle name="Comma 2 9 7 5" xfId="18006" xr:uid="{00000000-0005-0000-0000-000053460000}"/>
    <cellStyle name="Comma 2 9 7 5 2" xfId="18007" xr:uid="{00000000-0005-0000-0000-000054460000}"/>
    <cellStyle name="Comma 2 9 7 5 2 2" xfId="18008" xr:uid="{00000000-0005-0000-0000-000055460000}"/>
    <cellStyle name="Comma 2 9 7 5 3" xfId="18009" xr:uid="{00000000-0005-0000-0000-000056460000}"/>
    <cellStyle name="Comma 2 9 7 5 4" xfId="18010" xr:uid="{00000000-0005-0000-0000-000057460000}"/>
    <cellStyle name="Comma 2 9 7 5 5" xfId="18011" xr:uid="{00000000-0005-0000-0000-000058460000}"/>
    <cellStyle name="Comma 2 9 7 6" xfId="18012" xr:uid="{00000000-0005-0000-0000-000059460000}"/>
    <cellStyle name="Comma 2 9 7 6 2" xfId="18013" xr:uid="{00000000-0005-0000-0000-00005A460000}"/>
    <cellStyle name="Comma 2 9 7 6 3" xfId="18014" xr:uid="{00000000-0005-0000-0000-00005B460000}"/>
    <cellStyle name="Comma 2 9 7 6 4" xfId="18015" xr:uid="{00000000-0005-0000-0000-00005C460000}"/>
    <cellStyle name="Comma 2 9 7 7" xfId="18016" xr:uid="{00000000-0005-0000-0000-00005D460000}"/>
    <cellStyle name="Comma 2 9 7 7 2" xfId="18017" xr:uid="{00000000-0005-0000-0000-00005E460000}"/>
    <cellStyle name="Comma 2 9 7 8" xfId="18018" xr:uid="{00000000-0005-0000-0000-00005F460000}"/>
    <cellStyle name="Comma 2 9 7 9" xfId="18019" xr:uid="{00000000-0005-0000-0000-000060460000}"/>
    <cellStyle name="Comma 2 9 8" xfId="18020" xr:uid="{00000000-0005-0000-0000-000061460000}"/>
    <cellStyle name="Comma 2 9 8 10" xfId="18021" xr:uid="{00000000-0005-0000-0000-000062460000}"/>
    <cellStyle name="Comma 2 9 8 2" xfId="18022" xr:uid="{00000000-0005-0000-0000-000063460000}"/>
    <cellStyle name="Comma 2 9 8 2 2" xfId="18023" xr:uid="{00000000-0005-0000-0000-000064460000}"/>
    <cellStyle name="Comma 2 9 8 2 2 2" xfId="18024" xr:uid="{00000000-0005-0000-0000-000065460000}"/>
    <cellStyle name="Comma 2 9 8 2 2 3" xfId="18025" xr:uid="{00000000-0005-0000-0000-000066460000}"/>
    <cellStyle name="Comma 2 9 8 2 3" xfId="18026" xr:uid="{00000000-0005-0000-0000-000067460000}"/>
    <cellStyle name="Comma 2 9 8 2 4" xfId="18027" xr:uid="{00000000-0005-0000-0000-000068460000}"/>
    <cellStyle name="Comma 2 9 8 2 5" xfId="18028" xr:uid="{00000000-0005-0000-0000-000069460000}"/>
    <cellStyle name="Comma 2 9 8 2 6" xfId="18029" xr:uid="{00000000-0005-0000-0000-00006A460000}"/>
    <cellStyle name="Comma 2 9 8 3" xfId="18030" xr:uid="{00000000-0005-0000-0000-00006B460000}"/>
    <cellStyle name="Comma 2 9 8 3 2" xfId="18031" xr:uid="{00000000-0005-0000-0000-00006C460000}"/>
    <cellStyle name="Comma 2 9 8 3 2 2" xfId="18032" xr:uid="{00000000-0005-0000-0000-00006D460000}"/>
    <cellStyle name="Comma 2 9 8 3 2 3" xfId="18033" xr:uid="{00000000-0005-0000-0000-00006E460000}"/>
    <cellStyle name="Comma 2 9 8 3 3" xfId="18034" xr:uid="{00000000-0005-0000-0000-00006F460000}"/>
    <cellStyle name="Comma 2 9 8 3 4" xfId="18035" xr:uid="{00000000-0005-0000-0000-000070460000}"/>
    <cellStyle name="Comma 2 9 8 3 5" xfId="18036" xr:uid="{00000000-0005-0000-0000-000071460000}"/>
    <cellStyle name="Comma 2 9 8 3 6" xfId="18037" xr:uid="{00000000-0005-0000-0000-000072460000}"/>
    <cellStyle name="Comma 2 9 8 4" xfId="18038" xr:uid="{00000000-0005-0000-0000-000073460000}"/>
    <cellStyle name="Comma 2 9 8 4 2" xfId="18039" xr:uid="{00000000-0005-0000-0000-000074460000}"/>
    <cellStyle name="Comma 2 9 8 4 2 2" xfId="18040" xr:uid="{00000000-0005-0000-0000-000075460000}"/>
    <cellStyle name="Comma 2 9 8 4 3" xfId="18041" xr:uid="{00000000-0005-0000-0000-000076460000}"/>
    <cellStyle name="Comma 2 9 8 4 4" xfId="18042" xr:uid="{00000000-0005-0000-0000-000077460000}"/>
    <cellStyle name="Comma 2 9 8 4 5" xfId="18043" xr:uid="{00000000-0005-0000-0000-000078460000}"/>
    <cellStyle name="Comma 2 9 8 5" xfId="18044" xr:uid="{00000000-0005-0000-0000-000079460000}"/>
    <cellStyle name="Comma 2 9 8 5 2" xfId="18045" xr:uid="{00000000-0005-0000-0000-00007A460000}"/>
    <cellStyle name="Comma 2 9 8 5 3" xfId="18046" xr:uid="{00000000-0005-0000-0000-00007B460000}"/>
    <cellStyle name="Comma 2 9 8 5 4" xfId="18047" xr:uid="{00000000-0005-0000-0000-00007C460000}"/>
    <cellStyle name="Comma 2 9 8 6" xfId="18048" xr:uid="{00000000-0005-0000-0000-00007D460000}"/>
    <cellStyle name="Comma 2 9 8 6 2" xfId="18049" xr:uid="{00000000-0005-0000-0000-00007E460000}"/>
    <cellStyle name="Comma 2 9 8 7" xfId="18050" xr:uid="{00000000-0005-0000-0000-00007F460000}"/>
    <cellStyle name="Comma 2 9 8 8" xfId="18051" xr:uid="{00000000-0005-0000-0000-000080460000}"/>
    <cellStyle name="Comma 2 9 8 9" xfId="18052" xr:uid="{00000000-0005-0000-0000-000081460000}"/>
    <cellStyle name="Comma 2 9 9" xfId="18053" xr:uid="{00000000-0005-0000-0000-000082460000}"/>
    <cellStyle name="Comma 2 9 9 10" xfId="18054" xr:uid="{00000000-0005-0000-0000-000083460000}"/>
    <cellStyle name="Comma 2 9 9 2" xfId="18055" xr:uid="{00000000-0005-0000-0000-000084460000}"/>
    <cellStyle name="Comma 2 9 9 2 2" xfId="18056" xr:uid="{00000000-0005-0000-0000-000085460000}"/>
    <cellStyle name="Comma 2 9 9 2 2 2" xfId="18057" xr:uid="{00000000-0005-0000-0000-000086460000}"/>
    <cellStyle name="Comma 2 9 9 2 2 3" xfId="18058" xr:uid="{00000000-0005-0000-0000-000087460000}"/>
    <cellStyle name="Comma 2 9 9 2 3" xfId="18059" xr:uid="{00000000-0005-0000-0000-000088460000}"/>
    <cellStyle name="Comma 2 9 9 2 4" xfId="18060" xr:uid="{00000000-0005-0000-0000-000089460000}"/>
    <cellStyle name="Comma 2 9 9 2 5" xfId="18061" xr:uid="{00000000-0005-0000-0000-00008A460000}"/>
    <cellStyle name="Comma 2 9 9 2 6" xfId="18062" xr:uid="{00000000-0005-0000-0000-00008B460000}"/>
    <cellStyle name="Comma 2 9 9 3" xfId="18063" xr:uid="{00000000-0005-0000-0000-00008C460000}"/>
    <cellStyle name="Comma 2 9 9 3 2" xfId="18064" xr:uid="{00000000-0005-0000-0000-00008D460000}"/>
    <cellStyle name="Comma 2 9 9 3 2 2" xfId="18065" xr:uid="{00000000-0005-0000-0000-00008E460000}"/>
    <cellStyle name="Comma 2 9 9 3 2 3" xfId="18066" xr:uid="{00000000-0005-0000-0000-00008F460000}"/>
    <cellStyle name="Comma 2 9 9 3 3" xfId="18067" xr:uid="{00000000-0005-0000-0000-000090460000}"/>
    <cellStyle name="Comma 2 9 9 3 4" xfId="18068" xr:uid="{00000000-0005-0000-0000-000091460000}"/>
    <cellStyle name="Comma 2 9 9 3 5" xfId="18069" xr:uid="{00000000-0005-0000-0000-000092460000}"/>
    <cellStyle name="Comma 2 9 9 3 6" xfId="18070" xr:uid="{00000000-0005-0000-0000-000093460000}"/>
    <cellStyle name="Comma 2 9 9 4" xfId="18071" xr:uid="{00000000-0005-0000-0000-000094460000}"/>
    <cellStyle name="Comma 2 9 9 4 2" xfId="18072" xr:uid="{00000000-0005-0000-0000-000095460000}"/>
    <cellStyle name="Comma 2 9 9 4 2 2" xfId="18073" xr:uid="{00000000-0005-0000-0000-000096460000}"/>
    <cellStyle name="Comma 2 9 9 4 3" xfId="18074" xr:uid="{00000000-0005-0000-0000-000097460000}"/>
    <cellStyle name="Comma 2 9 9 4 4" xfId="18075" xr:uid="{00000000-0005-0000-0000-000098460000}"/>
    <cellStyle name="Comma 2 9 9 4 5" xfId="18076" xr:uid="{00000000-0005-0000-0000-000099460000}"/>
    <cellStyle name="Comma 2 9 9 5" xfId="18077" xr:uid="{00000000-0005-0000-0000-00009A460000}"/>
    <cellStyle name="Comma 2 9 9 5 2" xfId="18078" xr:uid="{00000000-0005-0000-0000-00009B460000}"/>
    <cellStyle name="Comma 2 9 9 5 3" xfId="18079" xr:uid="{00000000-0005-0000-0000-00009C460000}"/>
    <cellStyle name="Comma 2 9 9 5 4" xfId="18080" xr:uid="{00000000-0005-0000-0000-00009D460000}"/>
    <cellStyle name="Comma 2 9 9 6" xfId="18081" xr:uid="{00000000-0005-0000-0000-00009E460000}"/>
    <cellStyle name="Comma 2 9 9 6 2" xfId="18082" xr:uid="{00000000-0005-0000-0000-00009F460000}"/>
    <cellStyle name="Comma 2 9 9 7" xfId="18083" xr:uid="{00000000-0005-0000-0000-0000A0460000}"/>
    <cellStyle name="Comma 2 9 9 8" xfId="18084" xr:uid="{00000000-0005-0000-0000-0000A1460000}"/>
    <cellStyle name="Comma 2 9 9 9" xfId="18085" xr:uid="{00000000-0005-0000-0000-0000A2460000}"/>
    <cellStyle name="Comma 20" xfId="18086" xr:uid="{00000000-0005-0000-0000-0000A3460000}"/>
    <cellStyle name="Comma 21" xfId="18087" xr:uid="{00000000-0005-0000-0000-0000A4460000}"/>
    <cellStyle name="Comma 22" xfId="18088" xr:uid="{00000000-0005-0000-0000-0000A5460000}"/>
    <cellStyle name="Comma 23" xfId="42320" xr:uid="{00000000-0005-0000-0000-0000A6460000}"/>
    <cellStyle name="Comma 25" xfId="18089" xr:uid="{00000000-0005-0000-0000-0000A7460000}"/>
    <cellStyle name="Comma 3" xfId="18090" xr:uid="{00000000-0005-0000-0000-0000A8460000}"/>
    <cellStyle name="Comma 3 10" xfId="18091" xr:uid="{00000000-0005-0000-0000-0000A9460000}"/>
    <cellStyle name="Comma 3 11" xfId="18092" xr:uid="{00000000-0005-0000-0000-0000AA460000}"/>
    <cellStyle name="Comma 3 12" xfId="18093" xr:uid="{00000000-0005-0000-0000-0000AB460000}"/>
    <cellStyle name="Comma 3 13" xfId="18094" xr:uid="{00000000-0005-0000-0000-0000AC460000}"/>
    <cellStyle name="Comma 3 14" xfId="18095" xr:uid="{00000000-0005-0000-0000-0000AD460000}"/>
    <cellStyle name="Comma 3 15" xfId="18096" xr:uid="{00000000-0005-0000-0000-0000AE460000}"/>
    <cellStyle name="Comma 3 16" xfId="18097" xr:uid="{00000000-0005-0000-0000-0000AF460000}"/>
    <cellStyle name="Comma 3 17" xfId="18098" xr:uid="{00000000-0005-0000-0000-0000B0460000}"/>
    <cellStyle name="Comma 3 18" xfId="18099" xr:uid="{00000000-0005-0000-0000-0000B1460000}"/>
    <cellStyle name="Comma 3 19" xfId="18100" xr:uid="{00000000-0005-0000-0000-0000B2460000}"/>
    <cellStyle name="Comma 3 2" xfId="18101" xr:uid="{00000000-0005-0000-0000-0000B3460000}"/>
    <cellStyle name="Comma 3 2 2" xfId="18102" xr:uid="{00000000-0005-0000-0000-0000B4460000}"/>
    <cellStyle name="Comma 3 2 2 2" xfId="18103" xr:uid="{00000000-0005-0000-0000-0000B5460000}"/>
    <cellStyle name="Comma 3 2 3" xfId="18104" xr:uid="{00000000-0005-0000-0000-0000B6460000}"/>
    <cellStyle name="Comma 3 2 3 2" xfId="18105" xr:uid="{00000000-0005-0000-0000-0000B7460000}"/>
    <cellStyle name="Comma 3 2 4" xfId="18106" xr:uid="{00000000-0005-0000-0000-0000B8460000}"/>
    <cellStyle name="Comma 3 2 5" xfId="18107" xr:uid="{00000000-0005-0000-0000-0000B9460000}"/>
    <cellStyle name="Comma 3 20" xfId="18108" xr:uid="{00000000-0005-0000-0000-0000BA460000}"/>
    <cellStyle name="Comma 3 21" xfId="18109" xr:uid="{00000000-0005-0000-0000-0000BB460000}"/>
    <cellStyle name="Comma 3 22" xfId="18110" xr:uid="{00000000-0005-0000-0000-0000BC460000}"/>
    <cellStyle name="Comma 3 23" xfId="18111" xr:uid="{00000000-0005-0000-0000-0000BD460000}"/>
    <cellStyle name="Comma 3 24" xfId="18112" xr:uid="{00000000-0005-0000-0000-0000BE460000}"/>
    <cellStyle name="Comma 3 25" xfId="18113" xr:uid="{00000000-0005-0000-0000-0000BF460000}"/>
    <cellStyle name="Comma 3 26" xfId="18114" xr:uid="{00000000-0005-0000-0000-0000C0460000}"/>
    <cellStyle name="Comma 3 27" xfId="18115" xr:uid="{00000000-0005-0000-0000-0000C1460000}"/>
    <cellStyle name="Comma 3 28" xfId="18116" xr:uid="{00000000-0005-0000-0000-0000C2460000}"/>
    <cellStyle name="Comma 3 29" xfId="18117" xr:uid="{00000000-0005-0000-0000-0000C3460000}"/>
    <cellStyle name="Comma 3 3" xfId="18118" xr:uid="{00000000-0005-0000-0000-0000C4460000}"/>
    <cellStyle name="Comma 3 3 2" xfId="18119" xr:uid="{00000000-0005-0000-0000-0000C5460000}"/>
    <cellStyle name="Comma 3 3 2 2" xfId="18120" xr:uid="{00000000-0005-0000-0000-0000C6460000}"/>
    <cellStyle name="Comma 3 3 3" xfId="18121" xr:uid="{00000000-0005-0000-0000-0000C7460000}"/>
    <cellStyle name="Comma 3 3 4" xfId="18122" xr:uid="{00000000-0005-0000-0000-0000C8460000}"/>
    <cellStyle name="Comma 3 30" xfId="18123" xr:uid="{00000000-0005-0000-0000-0000C9460000}"/>
    <cellStyle name="Comma 3 31" xfId="18124" xr:uid="{00000000-0005-0000-0000-0000CA460000}"/>
    <cellStyle name="Comma 3 32" xfId="18125" xr:uid="{00000000-0005-0000-0000-0000CB460000}"/>
    <cellStyle name="Comma 3 33" xfId="18126" xr:uid="{00000000-0005-0000-0000-0000CC460000}"/>
    <cellStyle name="Comma 3 34" xfId="18127" xr:uid="{00000000-0005-0000-0000-0000CD460000}"/>
    <cellStyle name="Comma 3 35" xfId="18128" xr:uid="{00000000-0005-0000-0000-0000CE460000}"/>
    <cellStyle name="Comma 3 36" xfId="18129" xr:uid="{00000000-0005-0000-0000-0000CF460000}"/>
    <cellStyle name="Comma 3 37" xfId="18130" xr:uid="{00000000-0005-0000-0000-0000D0460000}"/>
    <cellStyle name="Comma 3 38" xfId="18131" xr:uid="{00000000-0005-0000-0000-0000D1460000}"/>
    <cellStyle name="Comma 3 39" xfId="18132" xr:uid="{00000000-0005-0000-0000-0000D2460000}"/>
    <cellStyle name="Comma 3 4" xfId="18133" xr:uid="{00000000-0005-0000-0000-0000D3460000}"/>
    <cellStyle name="Comma 3 4 2" xfId="18134" xr:uid="{00000000-0005-0000-0000-0000D4460000}"/>
    <cellStyle name="Comma 3 40" xfId="18135" xr:uid="{00000000-0005-0000-0000-0000D5460000}"/>
    <cellStyle name="Comma 3 5" xfId="18136" xr:uid="{00000000-0005-0000-0000-0000D6460000}"/>
    <cellStyle name="Comma 3 6" xfId="18137" xr:uid="{00000000-0005-0000-0000-0000D7460000}"/>
    <cellStyle name="Comma 3 7" xfId="18138" xr:uid="{00000000-0005-0000-0000-0000D8460000}"/>
    <cellStyle name="Comma 3 8" xfId="18139" xr:uid="{00000000-0005-0000-0000-0000D9460000}"/>
    <cellStyle name="Comma 3 9" xfId="18140" xr:uid="{00000000-0005-0000-0000-0000DA460000}"/>
    <cellStyle name="Comma 31" xfId="18141" xr:uid="{00000000-0005-0000-0000-0000DB460000}"/>
    <cellStyle name="Comma 32" xfId="18142" xr:uid="{00000000-0005-0000-0000-0000DC460000}"/>
    <cellStyle name="Comma 4" xfId="18143" xr:uid="{00000000-0005-0000-0000-0000DD460000}"/>
    <cellStyle name="Comma 4 10" xfId="18144" xr:uid="{00000000-0005-0000-0000-0000DE460000}"/>
    <cellStyle name="Comma 4 11" xfId="18145" xr:uid="{00000000-0005-0000-0000-0000DF460000}"/>
    <cellStyle name="Comma 4 12" xfId="18146" xr:uid="{00000000-0005-0000-0000-0000E0460000}"/>
    <cellStyle name="Comma 4 13" xfId="18147" xr:uid="{00000000-0005-0000-0000-0000E1460000}"/>
    <cellStyle name="Comma 4 14" xfId="18148" xr:uid="{00000000-0005-0000-0000-0000E2460000}"/>
    <cellStyle name="Comma 4 15" xfId="18149" xr:uid="{00000000-0005-0000-0000-0000E3460000}"/>
    <cellStyle name="Comma 4 16" xfId="18150" xr:uid="{00000000-0005-0000-0000-0000E4460000}"/>
    <cellStyle name="Comma 4 17" xfId="18151" xr:uid="{00000000-0005-0000-0000-0000E5460000}"/>
    <cellStyle name="Comma 4 18" xfId="18152" xr:uid="{00000000-0005-0000-0000-0000E6460000}"/>
    <cellStyle name="Comma 4 18 2" xfId="18153" xr:uid="{00000000-0005-0000-0000-0000E7460000}"/>
    <cellStyle name="Comma 4 19" xfId="18154" xr:uid="{00000000-0005-0000-0000-0000E8460000}"/>
    <cellStyle name="Comma 4 2" xfId="18155" xr:uid="{00000000-0005-0000-0000-0000E9460000}"/>
    <cellStyle name="Comma 4 2 2" xfId="18156" xr:uid="{00000000-0005-0000-0000-0000EA460000}"/>
    <cellStyle name="Comma 4 2 2 2" xfId="18157" xr:uid="{00000000-0005-0000-0000-0000EB460000}"/>
    <cellStyle name="Comma 4 2 2 2 2" xfId="18158" xr:uid="{00000000-0005-0000-0000-0000EC460000}"/>
    <cellStyle name="Comma 4 2 2 2 3" xfId="18159" xr:uid="{00000000-0005-0000-0000-0000ED460000}"/>
    <cellStyle name="Comma 4 2 2 3" xfId="18160" xr:uid="{00000000-0005-0000-0000-0000EE460000}"/>
    <cellStyle name="Comma 4 2 2 4" xfId="18161" xr:uid="{00000000-0005-0000-0000-0000EF460000}"/>
    <cellStyle name="Comma 4 2 2 5" xfId="18162" xr:uid="{00000000-0005-0000-0000-0000F0460000}"/>
    <cellStyle name="Comma 4 2 2 6" xfId="18163" xr:uid="{00000000-0005-0000-0000-0000F1460000}"/>
    <cellStyle name="Comma 4 2 3" xfId="18164" xr:uid="{00000000-0005-0000-0000-0000F2460000}"/>
    <cellStyle name="Comma 4 2 3 2" xfId="18165" xr:uid="{00000000-0005-0000-0000-0000F3460000}"/>
    <cellStyle name="Comma 4 2 3 2 2" xfId="18166" xr:uid="{00000000-0005-0000-0000-0000F4460000}"/>
    <cellStyle name="Comma 4 2 3 3" xfId="18167" xr:uid="{00000000-0005-0000-0000-0000F5460000}"/>
    <cellStyle name="Comma 4 2 3 4" xfId="18168" xr:uid="{00000000-0005-0000-0000-0000F6460000}"/>
    <cellStyle name="Comma 4 2 3 5" xfId="18169" xr:uid="{00000000-0005-0000-0000-0000F7460000}"/>
    <cellStyle name="Comma 4 2 3 6" xfId="18170" xr:uid="{00000000-0005-0000-0000-0000F8460000}"/>
    <cellStyle name="Comma 4 2 4" xfId="18171" xr:uid="{00000000-0005-0000-0000-0000F9460000}"/>
    <cellStyle name="Comma 4 2 4 2" xfId="18172" xr:uid="{00000000-0005-0000-0000-0000FA460000}"/>
    <cellStyle name="Comma 4 2 4 3" xfId="18173" xr:uid="{00000000-0005-0000-0000-0000FB460000}"/>
    <cellStyle name="Comma 4 2 4 4" xfId="18174" xr:uid="{00000000-0005-0000-0000-0000FC460000}"/>
    <cellStyle name="Comma 4 2 5" xfId="18175" xr:uid="{00000000-0005-0000-0000-0000FD460000}"/>
    <cellStyle name="Comma 4 2 5 2" xfId="18176" xr:uid="{00000000-0005-0000-0000-0000FE460000}"/>
    <cellStyle name="Comma 4 2 6" xfId="18177" xr:uid="{00000000-0005-0000-0000-0000FF460000}"/>
    <cellStyle name="Comma 4 2 7" xfId="18178" xr:uid="{00000000-0005-0000-0000-000000470000}"/>
    <cellStyle name="Comma 4 2 8" xfId="18179" xr:uid="{00000000-0005-0000-0000-000001470000}"/>
    <cellStyle name="Comma 4 2 9" xfId="18180" xr:uid="{00000000-0005-0000-0000-000002470000}"/>
    <cellStyle name="Comma 4 20" xfId="18181" xr:uid="{00000000-0005-0000-0000-000003470000}"/>
    <cellStyle name="Comma 4 21" xfId="18182" xr:uid="{00000000-0005-0000-0000-000004470000}"/>
    <cellStyle name="Comma 4 3" xfId="18183" xr:uid="{00000000-0005-0000-0000-000005470000}"/>
    <cellStyle name="Comma 4 3 2" xfId="18184" xr:uid="{00000000-0005-0000-0000-000006470000}"/>
    <cellStyle name="Comma 4 3 2 2" xfId="18185" xr:uid="{00000000-0005-0000-0000-000007470000}"/>
    <cellStyle name="Comma 4 3 2 2 2" xfId="18186" xr:uid="{00000000-0005-0000-0000-000008470000}"/>
    <cellStyle name="Comma 4 3 2 3" xfId="18187" xr:uid="{00000000-0005-0000-0000-000009470000}"/>
    <cellStyle name="Comma 4 3 2 4" xfId="18188" xr:uid="{00000000-0005-0000-0000-00000A470000}"/>
    <cellStyle name="Comma 4 3 2 5" xfId="18189" xr:uid="{00000000-0005-0000-0000-00000B470000}"/>
    <cellStyle name="Comma 4 3 2 6" xfId="18190" xr:uid="{00000000-0005-0000-0000-00000C470000}"/>
    <cellStyle name="Comma 4 3 3" xfId="18191" xr:uid="{00000000-0005-0000-0000-00000D470000}"/>
    <cellStyle name="Comma 4 3 3 2" xfId="18192" xr:uid="{00000000-0005-0000-0000-00000E470000}"/>
    <cellStyle name="Comma 4 3 3 3" xfId="18193" xr:uid="{00000000-0005-0000-0000-00000F470000}"/>
    <cellStyle name="Comma 4 3 3 4" xfId="18194" xr:uid="{00000000-0005-0000-0000-000010470000}"/>
    <cellStyle name="Comma 4 3 4" xfId="18195" xr:uid="{00000000-0005-0000-0000-000011470000}"/>
    <cellStyle name="Comma 4 3 4 2" xfId="18196" xr:uid="{00000000-0005-0000-0000-000012470000}"/>
    <cellStyle name="Comma 4 3 5" xfId="18197" xr:uid="{00000000-0005-0000-0000-000013470000}"/>
    <cellStyle name="Comma 4 3 6" xfId="18198" xr:uid="{00000000-0005-0000-0000-000014470000}"/>
    <cellStyle name="Comma 4 3 7" xfId="18199" xr:uid="{00000000-0005-0000-0000-000015470000}"/>
    <cellStyle name="Comma 4 3 8" xfId="18200" xr:uid="{00000000-0005-0000-0000-000016470000}"/>
    <cellStyle name="Comma 4 4" xfId="18201" xr:uid="{00000000-0005-0000-0000-000017470000}"/>
    <cellStyle name="Comma 4 4 2" xfId="18202" xr:uid="{00000000-0005-0000-0000-000018470000}"/>
    <cellStyle name="Comma 4 4 2 2" xfId="18203" xr:uid="{00000000-0005-0000-0000-000019470000}"/>
    <cellStyle name="Comma 4 4 2 3" xfId="18204" xr:uid="{00000000-0005-0000-0000-00001A470000}"/>
    <cellStyle name="Comma 4 4 3" xfId="18205" xr:uid="{00000000-0005-0000-0000-00001B470000}"/>
    <cellStyle name="Comma 4 4 4" xfId="18206" xr:uid="{00000000-0005-0000-0000-00001C470000}"/>
    <cellStyle name="Comma 4 4 5" xfId="18207" xr:uid="{00000000-0005-0000-0000-00001D470000}"/>
    <cellStyle name="Comma 4 4 6" xfId="18208" xr:uid="{00000000-0005-0000-0000-00001E470000}"/>
    <cellStyle name="Comma 4 5" xfId="18209" xr:uid="{00000000-0005-0000-0000-00001F470000}"/>
    <cellStyle name="Comma 4 5 2" xfId="18210" xr:uid="{00000000-0005-0000-0000-000020470000}"/>
    <cellStyle name="Comma 4 5 2 2" xfId="18211" xr:uid="{00000000-0005-0000-0000-000021470000}"/>
    <cellStyle name="Comma 4 5 3" xfId="18212" xr:uid="{00000000-0005-0000-0000-000022470000}"/>
    <cellStyle name="Comma 4 5 4" xfId="18213" xr:uid="{00000000-0005-0000-0000-000023470000}"/>
    <cellStyle name="Comma 4 5 5" xfId="18214" xr:uid="{00000000-0005-0000-0000-000024470000}"/>
    <cellStyle name="Comma 4 5 6" xfId="18215" xr:uid="{00000000-0005-0000-0000-000025470000}"/>
    <cellStyle name="Comma 4 6" xfId="18216" xr:uid="{00000000-0005-0000-0000-000026470000}"/>
    <cellStyle name="Comma 4 6 2" xfId="18217" xr:uid="{00000000-0005-0000-0000-000027470000}"/>
    <cellStyle name="Comma 4 6 3" xfId="18218" xr:uid="{00000000-0005-0000-0000-000028470000}"/>
    <cellStyle name="Comma 4 6 4" xfId="18219" xr:uid="{00000000-0005-0000-0000-000029470000}"/>
    <cellStyle name="Comma 4 6 5" xfId="18220" xr:uid="{00000000-0005-0000-0000-00002A470000}"/>
    <cellStyle name="Comma 4 7" xfId="18221" xr:uid="{00000000-0005-0000-0000-00002B470000}"/>
    <cellStyle name="Comma 4 7 2" xfId="18222" xr:uid="{00000000-0005-0000-0000-00002C470000}"/>
    <cellStyle name="Comma 4 7 3" xfId="18223" xr:uid="{00000000-0005-0000-0000-00002D470000}"/>
    <cellStyle name="Comma 4 8" xfId="18224" xr:uid="{00000000-0005-0000-0000-00002E470000}"/>
    <cellStyle name="Comma 4 8 2" xfId="18225" xr:uid="{00000000-0005-0000-0000-00002F470000}"/>
    <cellStyle name="Comma 4 8 3" xfId="18226" xr:uid="{00000000-0005-0000-0000-000030470000}"/>
    <cellStyle name="Comma 4 9" xfId="18227" xr:uid="{00000000-0005-0000-0000-000031470000}"/>
    <cellStyle name="Comma 5" xfId="18228" xr:uid="{00000000-0005-0000-0000-000032470000}"/>
    <cellStyle name="Comma 5 10" xfId="18229" xr:uid="{00000000-0005-0000-0000-000033470000}"/>
    <cellStyle name="Comma 5 11" xfId="42321" xr:uid="{00000000-0005-0000-0000-000034470000}"/>
    <cellStyle name="Comma 5 2" xfId="18230" xr:uid="{00000000-0005-0000-0000-000035470000}"/>
    <cellStyle name="Comma 5 2 2" xfId="18231" xr:uid="{00000000-0005-0000-0000-000036470000}"/>
    <cellStyle name="Comma 5 2 2 2" xfId="18232" xr:uid="{00000000-0005-0000-0000-000037470000}"/>
    <cellStyle name="Comma 5 2 2 2 2" xfId="18233" xr:uid="{00000000-0005-0000-0000-000038470000}"/>
    <cellStyle name="Comma 5 2 2 2 3" xfId="18234" xr:uid="{00000000-0005-0000-0000-000039470000}"/>
    <cellStyle name="Comma 5 2 2 3" xfId="18235" xr:uid="{00000000-0005-0000-0000-00003A470000}"/>
    <cellStyle name="Comma 5 2 2 4" xfId="18236" xr:uid="{00000000-0005-0000-0000-00003B470000}"/>
    <cellStyle name="Comma 5 2 2 5" xfId="18237" xr:uid="{00000000-0005-0000-0000-00003C470000}"/>
    <cellStyle name="Comma 5 2 2 6" xfId="18238" xr:uid="{00000000-0005-0000-0000-00003D470000}"/>
    <cellStyle name="Comma 5 2 3" xfId="18239" xr:uid="{00000000-0005-0000-0000-00003E470000}"/>
    <cellStyle name="Comma 5 2 3 2" xfId="18240" xr:uid="{00000000-0005-0000-0000-00003F470000}"/>
    <cellStyle name="Comma 5 2 3 2 2" xfId="18241" xr:uid="{00000000-0005-0000-0000-000040470000}"/>
    <cellStyle name="Comma 5 2 3 3" xfId="18242" xr:uid="{00000000-0005-0000-0000-000041470000}"/>
    <cellStyle name="Comma 5 2 3 4" xfId="18243" xr:uid="{00000000-0005-0000-0000-000042470000}"/>
    <cellStyle name="Comma 5 2 3 5" xfId="18244" xr:uid="{00000000-0005-0000-0000-000043470000}"/>
    <cellStyle name="Comma 5 2 4" xfId="18245" xr:uid="{00000000-0005-0000-0000-000044470000}"/>
    <cellStyle name="Comma 5 2 4 2" xfId="18246" xr:uid="{00000000-0005-0000-0000-000045470000}"/>
    <cellStyle name="Comma 5 2 4 3" xfId="18247" xr:uid="{00000000-0005-0000-0000-000046470000}"/>
    <cellStyle name="Comma 5 2 4 4" xfId="18248" xr:uid="{00000000-0005-0000-0000-000047470000}"/>
    <cellStyle name="Comma 5 2 5" xfId="18249" xr:uid="{00000000-0005-0000-0000-000048470000}"/>
    <cellStyle name="Comma 5 2 5 2" xfId="18250" xr:uid="{00000000-0005-0000-0000-000049470000}"/>
    <cellStyle name="Comma 5 2 6" xfId="18251" xr:uid="{00000000-0005-0000-0000-00004A470000}"/>
    <cellStyle name="Comma 5 2 7" xfId="18252" xr:uid="{00000000-0005-0000-0000-00004B470000}"/>
    <cellStyle name="Comma 5 2 8" xfId="18253" xr:uid="{00000000-0005-0000-0000-00004C470000}"/>
    <cellStyle name="Comma 5 2 9" xfId="18254" xr:uid="{00000000-0005-0000-0000-00004D470000}"/>
    <cellStyle name="Comma 5 3" xfId="18255" xr:uid="{00000000-0005-0000-0000-00004E470000}"/>
    <cellStyle name="Comma 5 3 2" xfId="18256" xr:uid="{00000000-0005-0000-0000-00004F470000}"/>
    <cellStyle name="Comma 5 3 2 2" xfId="18257" xr:uid="{00000000-0005-0000-0000-000050470000}"/>
    <cellStyle name="Comma 5 3 2 3" xfId="18258" xr:uid="{00000000-0005-0000-0000-000051470000}"/>
    <cellStyle name="Comma 5 3 3" xfId="18259" xr:uid="{00000000-0005-0000-0000-000052470000}"/>
    <cellStyle name="Comma 5 3 4" xfId="18260" xr:uid="{00000000-0005-0000-0000-000053470000}"/>
    <cellStyle name="Comma 5 3 5" xfId="18261" xr:uid="{00000000-0005-0000-0000-000054470000}"/>
    <cellStyle name="Comma 5 3 6" xfId="18262" xr:uid="{00000000-0005-0000-0000-000055470000}"/>
    <cellStyle name="Comma 5 4" xfId="18263" xr:uid="{00000000-0005-0000-0000-000056470000}"/>
    <cellStyle name="Comma 5 4 2" xfId="18264" xr:uid="{00000000-0005-0000-0000-000057470000}"/>
    <cellStyle name="Comma 5 4 2 2" xfId="18265" xr:uid="{00000000-0005-0000-0000-000058470000}"/>
    <cellStyle name="Comma 5 4 3" xfId="18266" xr:uid="{00000000-0005-0000-0000-000059470000}"/>
    <cellStyle name="Comma 5 4 4" xfId="18267" xr:uid="{00000000-0005-0000-0000-00005A470000}"/>
    <cellStyle name="Comma 5 4 5" xfId="18268" xr:uid="{00000000-0005-0000-0000-00005B470000}"/>
    <cellStyle name="Comma 5 5" xfId="18269" xr:uid="{00000000-0005-0000-0000-00005C470000}"/>
    <cellStyle name="Comma 5 5 2" xfId="18270" xr:uid="{00000000-0005-0000-0000-00005D470000}"/>
    <cellStyle name="Comma 5 5 3" xfId="18271" xr:uid="{00000000-0005-0000-0000-00005E470000}"/>
    <cellStyle name="Comma 5 5 4" xfId="18272" xr:uid="{00000000-0005-0000-0000-00005F470000}"/>
    <cellStyle name="Comma 5 6" xfId="18273" xr:uid="{00000000-0005-0000-0000-000060470000}"/>
    <cellStyle name="Comma 5 6 2" xfId="18274" xr:uid="{00000000-0005-0000-0000-000061470000}"/>
    <cellStyle name="Comma 5 7" xfId="18275" xr:uid="{00000000-0005-0000-0000-000062470000}"/>
    <cellStyle name="Comma 5 8" xfId="18276" xr:uid="{00000000-0005-0000-0000-000063470000}"/>
    <cellStyle name="Comma 5 9" xfId="18277" xr:uid="{00000000-0005-0000-0000-000064470000}"/>
    <cellStyle name="Comma 6" xfId="18278" xr:uid="{00000000-0005-0000-0000-000065470000}"/>
    <cellStyle name="Comma 6 2" xfId="18279" xr:uid="{00000000-0005-0000-0000-000066470000}"/>
    <cellStyle name="Comma 6 2 2" xfId="18280" xr:uid="{00000000-0005-0000-0000-000067470000}"/>
    <cellStyle name="Comma 6 2 2 2" xfId="18281" xr:uid="{00000000-0005-0000-0000-000068470000}"/>
    <cellStyle name="Comma 6 2 2 3" xfId="18282" xr:uid="{00000000-0005-0000-0000-000069470000}"/>
    <cellStyle name="Comma 6 2 3" xfId="18283" xr:uid="{00000000-0005-0000-0000-00006A470000}"/>
    <cellStyle name="Comma 6 2 4" xfId="18284" xr:uid="{00000000-0005-0000-0000-00006B470000}"/>
    <cellStyle name="Comma 6 2 5" xfId="18285" xr:uid="{00000000-0005-0000-0000-00006C470000}"/>
    <cellStyle name="Comma 6 2 6" xfId="18286" xr:uid="{00000000-0005-0000-0000-00006D470000}"/>
    <cellStyle name="Comma 6 3" xfId="18287" xr:uid="{00000000-0005-0000-0000-00006E470000}"/>
    <cellStyle name="Comma 6 3 2" xfId="18288" xr:uid="{00000000-0005-0000-0000-00006F470000}"/>
    <cellStyle name="Comma 6 3 2 2" xfId="18289" xr:uid="{00000000-0005-0000-0000-000070470000}"/>
    <cellStyle name="Comma 6 3 3" xfId="18290" xr:uid="{00000000-0005-0000-0000-000071470000}"/>
    <cellStyle name="Comma 6 3 4" xfId="18291" xr:uid="{00000000-0005-0000-0000-000072470000}"/>
    <cellStyle name="Comma 6 3 5" xfId="18292" xr:uid="{00000000-0005-0000-0000-000073470000}"/>
    <cellStyle name="Comma 6 3 6" xfId="18293" xr:uid="{00000000-0005-0000-0000-000074470000}"/>
    <cellStyle name="Comma 6 4" xfId="18294" xr:uid="{00000000-0005-0000-0000-000075470000}"/>
    <cellStyle name="Comma 6 4 2" xfId="18295" xr:uid="{00000000-0005-0000-0000-000076470000}"/>
    <cellStyle name="Comma 6 4 3" xfId="18296" xr:uid="{00000000-0005-0000-0000-000077470000}"/>
    <cellStyle name="Comma 6 4 4" xfId="18297" xr:uid="{00000000-0005-0000-0000-000078470000}"/>
    <cellStyle name="Comma 6 5" xfId="18298" xr:uid="{00000000-0005-0000-0000-000079470000}"/>
    <cellStyle name="Comma 6 5 2" xfId="18299" xr:uid="{00000000-0005-0000-0000-00007A470000}"/>
    <cellStyle name="Comma 6 6" xfId="18300" xr:uid="{00000000-0005-0000-0000-00007B470000}"/>
    <cellStyle name="Comma 6 7" xfId="18301" xr:uid="{00000000-0005-0000-0000-00007C470000}"/>
    <cellStyle name="Comma 6 8" xfId="18302" xr:uid="{00000000-0005-0000-0000-00007D470000}"/>
    <cellStyle name="Comma 6 9" xfId="18303" xr:uid="{00000000-0005-0000-0000-00007E470000}"/>
    <cellStyle name="Comma 7" xfId="18304" xr:uid="{00000000-0005-0000-0000-00007F470000}"/>
    <cellStyle name="Comma 7 2" xfId="18305" xr:uid="{00000000-0005-0000-0000-000080470000}"/>
    <cellStyle name="Comma 7 2 2" xfId="18306" xr:uid="{00000000-0005-0000-0000-000081470000}"/>
    <cellStyle name="Comma 7 2 2 2" xfId="18307" xr:uid="{00000000-0005-0000-0000-000082470000}"/>
    <cellStyle name="Comma 7 2 3" xfId="18308" xr:uid="{00000000-0005-0000-0000-000083470000}"/>
    <cellStyle name="Comma 7 2 4" xfId="18309" xr:uid="{00000000-0005-0000-0000-000084470000}"/>
    <cellStyle name="Comma 7 2 5" xfId="18310" xr:uid="{00000000-0005-0000-0000-000085470000}"/>
    <cellStyle name="Comma 7 2 6" xfId="18311" xr:uid="{00000000-0005-0000-0000-000086470000}"/>
    <cellStyle name="Comma 7 3" xfId="18312" xr:uid="{00000000-0005-0000-0000-000087470000}"/>
    <cellStyle name="Comma 7 3 2" xfId="18313" xr:uid="{00000000-0005-0000-0000-000088470000}"/>
    <cellStyle name="Comma 7 3 3" xfId="18314" xr:uid="{00000000-0005-0000-0000-000089470000}"/>
    <cellStyle name="Comma 7 3 4" xfId="18315" xr:uid="{00000000-0005-0000-0000-00008A470000}"/>
    <cellStyle name="Comma 7 4" xfId="18316" xr:uid="{00000000-0005-0000-0000-00008B470000}"/>
    <cellStyle name="Comma 7 4 2" xfId="18317" xr:uid="{00000000-0005-0000-0000-00008C470000}"/>
    <cellStyle name="Comma 7 5" xfId="18318" xr:uid="{00000000-0005-0000-0000-00008D470000}"/>
    <cellStyle name="Comma 7 6" xfId="18319" xr:uid="{00000000-0005-0000-0000-00008E470000}"/>
    <cellStyle name="Comma 7 7" xfId="18320" xr:uid="{00000000-0005-0000-0000-00008F470000}"/>
    <cellStyle name="Comma 7 8" xfId="18321" xr:uid="{00000000-0005-0000-0000-000090470000}"/>
    <cellStyle name="Comma 8" xfId="18322" xr:uid="{00000000-0005-0000-0000-000091470000}"/>
    <cellStyle name="Comma 8 2" xfId="18323" xr:uid="{00000000-0005-0000-0000-000092470000}"/>
    <cellStyle name="Comma 8 2 2" xfId="18324" xr:uid="{00000000-0005-0000-0000-000093470000}"/>
    <cellStyle name="Comma 8 2 2 2" xfId="18325" xr:uid="{00000000-0005-0000-0000-000094470000}"/>
    <cellStyle name="Comma 8 2 3" xfId="18326" xr:uid="{00000000-0005-0000-0000-000095470000}"/>
    <cellStyle name="Comma 8 2 4" xfId="18327" xr:uid="{00000000-0005-0000-0000-000096470000}"/>
    <cellStyle name="Comma 8 2 5" xfId="18328" xr:uid="{00000000-0005-0000-0000-000097470000}"/>
    <cellStyle name="Comma 8 3" xfId="18329" xr:uid="{00000000-0005-0000-0000-000098470000}"/>
    <cellStyle name="Comma 8 3 2" xfId="18330" xr:uid="{00000000-0005-0000-0000-000099470000}"/>
    <cellStyle name="Comma 8 3 3" xfId="18331" xr:uid="{00000000-0005-0000-0000-00009A470000}"/>
    <cellStyle name="Comma 8 3 4" xfId="18332" xr:uid="{00000000-0005-0000-0000-00009B470000}"/>
    <cellStyle name="Comma 8 4" xfId="18333" xr:uid="{00000000-0005-0000-0000-00009C470000}"/>
    <cellStyle name="Comma 8 4 2" xfId="18334" xr:uid="{00000000-0005-0000-0000-00009D470000}"/>
    <cellStyle name="Comma 8 5" xfId="18335" xr:uid="{00000000-0005-0000-0000-00009E470000}"/>
    <cellStyle name="Comma 8 6" xfId="18336" xr:uid="{00000000-0005-0000-0000-00009F470000}"/>
    <cellStyle name="Comma 8 7" xfId="18337" xr:uid="{00000000-0005-0000-0000-0000A0470000}"/>
    <cellStyle name="Comma 8 8" xfId="18338" xr:uid="{00000000-0005-0000-0000-0000A1470000}"/>
    <cellStyle name="Comma 9" xfId="18339" xr:uid="{00000000-0005-0000-0000-0000A2470000}"/>
    <cellStyle name="Comma 9 2" xfId="18340" xr:uid="{00000000-0005-0000-0000-0000A3470000}"/>
    <cellStyle name="Comma 9 3" xfId="18341" xr:uid="{00000000-0005-0000-0000-0000A4470000}"/>
    <cellStyle name="Comma0" xfId="18342" xr:uid="{00000000-0005-0000-0000-0000A5470000}"/>
    <cellStyle name="Currency" xfId="2" builtinId="4"/>
    <cellStyle name="Currency 10" xfId="18343" xr:uid="{00000000-0005-0000-0000-0000A7470000}"/>
    <cellStyle name="Currency 10 2" xfId="18344" xr:uid="{00000000-0005-0000-0000-0000A8470000}"/>
    <cellStyle name="Currency 10 2 2" xfId="18345" xr:uid="{00000000-0005-0000-0000-0000A9470000}"/>
    <cellStyle name="Currency 10 2 3" xfId="18346" xr:uid="{00000000-0005-0000-0000-0000AA470000}"/>
    <cellStyle name="Currency 10 2 4" xfId="18347" xr:uid="{00000000-0005-0000-0000-0000AB470000}"/>
    <cellStyle name="Currency 10 3" xfId="18348" xr:uid="{00000000-0005-0000-0000-0000AC470000}"/>
    <cellStyle name="Currency 10 3 2" xfId="18349" xr:uid="{00000000-0005-0000-0000-0000AD470000}"/>
    <cellStyle name="Currency 10 4" xfId="18350" xr:uid="{00000000-0005-0000-0000-0000AE470000}"/>
    <cellStyle name="Currency 10 5" xfId="18351" xr:uid="{00000000-0005-0000-0000-0000AF470000}"/>
    <cellStyle name="Currency 10 6" xfId="18352" xr:uid="{00000000-0005-0000-0000-0000B0470000}"/>
    <cellStyle name="Currency 11" xfId="18353" xr:uid="{00000000-0005-0000-0000-0000B1470000}"/>
    <cellStyle name="Currency 11 2" xfId="18354" xr:uid="{00000000-0005-0000-0000-0000B2470000}"/>
    <cellStyle name="Currency 11 2 2" xfId="18355" xr:uid="{00000000-0005-0000-0000-0000B3470000}"/>
    <cellStyle name="Currency 11 2 3" xfId="18356" xr:uid="{00000000-0005-0000-0000-0000B4470000}"/>
    <cellStyle name="Currency 11 3" xfId="18357" xr:uid="{00000000-0005-0000-0000-0000B5470000}"/>
    <cellStyle name="Currency 12" xfId="18358" xr:uid="{00000000-0005-0000-0000-0000B6470000}"/>
    <cellStyle name="Currency 13" xfId="42322" xr:uid="{00000000-0005-0000-0000-0000B7470000}"/>
    <cellStyle name="Currency 2" xfId="18359" xr:uid="{00000000-0005-0000-0000-0000B8470000}"/>
    <cellStyle name="Currency 2 10" xfId="18360" xr:uid="{00000000-0005-0000-0000-0000B9470000}"/>
    <cellStyle name="Currency 2 10 2" xfId="18361" xr:uid="{00000000-0005-0000-0000-0000BA470000}"/>
    <cellStyle name="Currency 2 10 3" xfId="18362" xr:uid="{00000000-0005-0000-0000-0000BB470000}"/>
    <cellStyle name="Currency 2 10 4" xfId="18363" xr:uid="{00000000-0005-0000-0000-0000BC470000}"/>
    <cellStyle name="Currency 2 10 5" xfId="18364" xr:uid="{00000000-0005-0000-0000-0000BD470000}"/>
    <cellStyle name="Currency 2 10 6" xfId="18365" xr:uid="{00000000-0005-0000-0000-0000BE470000}"/>
    <cellStyle name="Currency 2 10 7" xfId="18366" xr:uid="{00000000-0005-0000-0000-0000BF470000}"/>
    <cellStyle name="Currency 2 11" xfId="18367" xr:uid="{00000000-0005-0000-0000-0000C0470000}"/>
    <cellStyle name="Currency 2 11 2" xfId="18368" xr:uid="{00000000-0005-0000-0000-0000C1470000}"/>
    <cellStyle name="Currency 2 11 3" xfId="18369" xr:uid="{00000000-0005-0000-0000-0000C2470000}"/>
    <cellStyle name="Currency 2 11 4" xfId="18370" xr:uid="{00000000-0005-0000-0000-0000C3470000}"/>
    <cellStyle name="Currency 2 11 5" xfId="18371" xr:uid="{00000000-0005-0000-0000-0000C4470000}"/>
    <cellStyle name="Currency 2 11 6" xfId="18372" xr:uid="{00000000-0005-0000-0000-0000C5470000}"/>
    <cellStyle name="Currency 2 11 7" xfId="18373" xr:uid="{00000000-0005-0000-0000-0000C6470000}"/>
    <cellStyle name="Currency 2 12" xfId="18374" xr:uid="{00000000-0005-0000-0000-0000C7470000}"/>
    <cellStyle name="Currency 2 12 2" xfId="18375" xr:uid="{00000000-0005-0000-0000-0000C8470000}"/>
    <cellStyle name="Currency 2 12 3" xfId="18376" xr:uid="{00000000-0005-0000-0000-0000C9470000}"/>
    <cellStyle name="Currency 2 12 4" xfId="18377" xr:uid="{00000000-0005-0000-0000-0000CA470000}"/>
    <cellStyle name="Currency 2 12 5" xfId="18378" xr:uid="{00000000-0005-0000-0000-0000CB470000}"/>
    <cellStyle name="Currency 2 12 6" xfId="18379" xr:uid="{00000000-0005-0000-0000-0000CC470000}"/>
    <cellStyle name="Currency 2 12 7" xfId="18380" xr:uid="{00000000-0005-0000-0000-0000CD470000}"/>
    <cellStyle name="Currency 2 13" xfId="18381" xr:uid="{00000000-0005-0000-0000-0000CE470000}"/>
    <cellStyle name="Currency 2 13 2" xfId="18382" xr:uid="{00000000-0005-0000-0000-0000CF470000}"/>
    <cellStyle name="Currency 2 13 3" xfId="18383" xr:uid="{00000000-0005-0000-0000-0000D0470000}"/>
    <cellStyle name="Currency 2 13 4" xfId="18384" xr:uid="{00000000-0005-0000-0000-0000D1470000}"/>
    <cellStyle name="Currency 2 13 5" xfId="18385" xr:uid="{00000000-0005-0000-0000-0000D2470000}"/>
    <cellStyle name="Currency 2 13 6" xfId="18386" xr:uid="{00000000-0005-0000-0000-0000D3470000}"/>
    <cellStyle name="Currency 2 13 7" xfId="18387" xr:uid="{00000000-0005-0000-0000-0000D4470000}"/>
    <cellStyle name="Currency 2 14" xfId="18388" xr:uid="{00000000-0005-0000-0000-0000D5470000}"/>
    <cellStyle name="Currency 2 14 2" xfId="18389" xr:uid="{00000000-0005-0000-0000-0000D6470000}"/>
    <cellStyle name="Currency 2 14 3" xfId="18390" xr:uid="{00000000-0005-0000-0000-0000D7470000}"/>
    <cellStyle name="Currency 2 14 4" xfId="18391" xr:uid="{00000000-0005-0000-0000-0000D8470000}"/>
    <cellStyle name="Currency 2 14 5" xfId="18392" xr:uid="{00000000-0005-0000-0000-0000D9470000}"/>
    <cellStyle name="Currency 2 14 6" xfId="18393" xr:uid="{00000000-0005-0000-0000-0000DA470000}"/>
    <cellStyle name="Currency 2 14 7" xfId="18394" xr:uid="{00000000-0005-0000-0000-0000DB470000}"/>
    <cellStyle name="Currency 2 15" xfId="18395" xr:uid="{00000000-0005-0000-0000-0000DC470000}"/>
    <cellStyle name="Currency 2 15 2" xfId="18396" xr:uid="{00000000-0005-0000-0000-0000DD470000}"/>
    <cellStyle name="Currency 2 15 3" xfId="18397" xr:uid="{00000000-0005-0000-0000-0000DE470000}"/>
    <cellStyle name="Currency 2 15 4" xfId="18398" xr:uid="{00000000-0005-0000-0000-0000DF470000}"/>
    <cellStyle name="Currency 2 15 5" xfId="18399" xr:uid="{00000000-0005-0000-0000-0000E0470000}"/>
    <cellStyle name="Currency 2 15 6" xfId="18400" xr:uid="{00000000-0005-0000-0000-0000E1470000}"/>
    <cellStyle name="Currency 2 15 7" xfId="18401" xr:uid="{00000000-0005-0000-0000-0000E2470000}"/>
    <cellStyle name="Currency 2 16" xfId="18402" xr:uid="{00000000-0005-0000-0000-0000E3470000}"/>
    <cellStyle name="Currency 2 16 2" xfId="18403" xr:uid="{00000000-0005-0000-0000-0000E4470000}"/>
    <cellStyle name="Currency 2 16 3" xfId="18404" xr:uid="{00000000-0005-0000-0000-0000E5470000}"/>
    <cellStyle name="Currency 2 16 4" xfId="18405" xr:uid="{00000000-0005-0000-0000-0000E6470000}"/>
    <cellStyle name="Currency 2 16 5" xfId="18406" xr:uid="{00000000-0005-0000-0000-0000E7470000}"/>
    <cellStyle name="Currency 2 16 6" xfId="18407" xr:uid="{00000000-0005-0000-0000-0000E8470000}"/>
    <cellStyle name="Currency 2 16 7" xfId="18408" xr:uid="{00000000-0005-0000-0000-0000E9470000}"/>
    <cellStyle name="Currency 2 17" xfId="18409" xr:uid="{00000000-0005-0000-0000-0000EA470000}"/>
    <cellStyle name="Currency 2 17 2" xfId="18410" xr:uid="{00000000-0005-0000-0000-0000EB470000}"/>
    <cellStyle name="Currency 2 17 2 2" xfId="18411" xr:uid="{00000000-0005-0000-0000-0000EC470000}"/>
    <cellStyle name="Currency 2 17 3" xfId="18412" xr:uid="{00000000-0005-0000-0000-0000ED470000}"/>
    <cellStyle name="Currency 2 17 4" xfId="18413" xr:uid="{00000000-0005-0000-0000-0000EE470000}"/>
    <cellStyle name="Currency 2 17 5" xfId="18414" xr:uid="{00000000-0005-0000-0000-0000EF470000}"/>
    <cellStyle name="Currency 2 17 6" xfId="18415" xr:uid="{00000000-0005-0000-0000-0000F0470000}"/>
    <cellStyle name="Currency 2 17 7" xfId="18416" xr:uid="{00000000-0005-0000-0000-0000F1470000}"/>
    <cellStyle name="Currency 2 18" xfId="18417" xr:uid="{00000000-0005-0000-0000-0000F2470000}"/>
    <cellStyle name="Currency 2 18 2" xfId="18418" xr:uid="{00000000-0005-0000-0000-0000F3470000}"/>
    <cellStyle name="Currency 2 18 3" xfId="18419" xr:uid="{00000000-0005-0000-0000-0000F4470000}"/>
    <cellStyle name="Currency 2 18 4" xfId="18420" xr:uid="{00000000-0005-0000-0000-0000F5470000}"/>
    <cellStyle name="Currency 2 18 5" xfId="18421" xr:uid="{00000000-0005-0000-0000-0000F6470000}"/>
    <cellStyle name="Currency 2 18 6" xfId="18422" xr:uid="{00000000-0005-0000-0000-0000F7470000}"/>
    <cellStyle name="Currency 2 18 7" xfId="18423" xr:uid="{00000000-0005-0000-0000-0000F8470000}"/>
    <cellStyle name="Currency 2 19" xfId="18424" xr:uid="{00000000-0005-0000-0000-0000F9470000}"/>
    <cellStyle name="Currency 2 19 2" xfId="18425" xr:uid="{00000000-0005-0000-0000-0000FA470000}"/>
    <cellStyle name="Currency 2 19 3" xfId="18426" xr:uid="{00000000-0005-0000-0000-0000FB470000}"/>
    <cellStyle name="Currency 2 19 4" xfId="18427" xr:uid="{00000000-0005-0000-0000-0000FC470000}"/>
    <cellStyle name="Currency 2 19 5" xfId="18428" xr:uid="{00000000-0005-0000-0000-0000FD470000}"/>
    <cellStyle name="Currency 2 19 6" xfId="18429" xr:uid="{00000000-0005-0000-0000-0000FE470000}"/>
    <cellStyle name="Currency 2 19 7" xfId="18430" xr:uid="{00000000-0005-0000-0000-0000FF470000}"/>
    <cellStyle name="Currency 2 2" xfId="18431" xr:uid="{00000000-0005-0000-0000-000000480000}"/>
    <cellStyle name="Currency 2 2 10" xfId="18432" xr:uid="{00000000-0005-0000-0000-000001480000}"/>
    <cellStyle name="Currency 2 2 10 2" xfId="18433" xr:uid="{00000000-0005-0000-0000-000002480000}"/>
    <cellStyle name="Currency 2 2 11" xfId="18434" xr:uid="{00000000-0005-0000-0000-000003480000}"/>
    <cellStyle name="Currency 2 2 11 2" xfId="18435" xr:uid="{00000000-0005-0000-0000-000004480000}"/>
    <cellStyle name="Currency 2 2 12" xfId="18436" xr:uid="{00000000-0005-0000-0000-000005480000}"/>
    <cellStyle name="Currency 2 2 12 2" xfId="18437" xr:uid="{00000000-0005-0000-0000-000006480000}"/>
    <cellStyle name="Currency 2 2 13" xfId="18438" xr:uid="{00000000-0005-0000-0000-000007480000}"/>
    <cellStyle name="Currency 2 2 13 2" xfId="18439" xr:uid="{00000000-0005-0000-0000-000008480000}"/>
    <cellStyle name="Currency 2 2 14" xfId="18440" xr:uid="{00000000-0005-0000-0000-000009480000}"/>
    <cellStyle name="Currency 2 2 14 2" xfId="18441" xr:uid="{00000000-0005-0000-0000-00000A480000}"/>
    <cellStyle name="Currency 2 2 15" xfId="18442" xr:uid="{00000000-0005-0000-0000-00000B480000}"/>
    <cellStyle name="Currency 2 2 15 2" xfId="18443" xr:uid="{00000000-0005-0000-0000-00000C480000}"/>
    <cellStyle name="Currency 2 2 16" xfId="18444" xr:uid="{00000000-0005-0000-0000-00000D480000}"/>
    <cellStyle name="Currency 2 2 16 2" xfId="18445" xr:uid="{00000000-0005-0000-0000-00000E480000}"/>
    <cellStyle name="Currency 2 2 17" xfId="18446" xr:uid="{00000000-0005-0000-0000-00000F480000}"/>
    <cellStyle name="Currency 2 2 18" xfId="18447" xr:uid="{00000000-0005-0000-0000-000010480000}"/>
    <cellStyle name="Currency 2 2 19" xfId="18448" xr:uid="{00000000-0005-0000-0000-000011480000}"/>
    <cellStyle name="Currency 2 2 2" xfId="18449" xr:uid="{00000000-0005-0000-0000-000012480000}"/>
    <cellStyle name="Currency 2 2 2 2" xfId="18450" xr:uid="{00000000-0005-0000-0000-000013480000}"/>
    <cellStyle name="Currency 2 2 2 3" xfId="18451" xr:uid="{00000000-0005-0000-0000-000014480000}"/>
    <cellStyle name="Currency 2 2 2 4" xfId="18452" xr:uid="{00000000-0005-0000-0000-000015480000}"/>
    <cellStyle name="Currency 2 2 20" xfId="18453" xr:uid="{00000000-0005-0000-0000-000016480000}"/>
    <cellStyle name="Currency 2 2 21" xfId="18454" xr:uid="{00000000-0005-0000-0000-000017480000}"/>
    <cellStyle name="Currency 2 2 22" xfId="18455" xr:uid="{00000000-0005-0000-0000-000018480000}"/>
    <cellStyle name="Currency 2 2 23" xfId="18456" xr:uid="{00000000-0005-0000-0000-000019480000}"/>
    <cellStyle name="Currency 2 2 24" xfId="18457" xr:uid="{00000000-0005-0000-0000-00001A480000}"/>
    <cellStyle name="Currency 2 2 25" xfId="18458" xr:uid="{00000000-0005-0000-0000-00001B480000}"/>
    <cellStyle name="Currency 2 2 26" xfId="18459" xr:uid="{00000000-0005-0000-0000-00001C480000}"/>
    <cellStyle name="Currency 2 2 27" xfId="18460" xr:uid="{00000000-0005-0000-0000-00001D480000}"/>
    <cellStyle name="Currency 2 2 28" xfId="18461" xr:uid="{00000000-0005-0000-0000-00001E480000}"/>
    <cellStyle name="Currency 2 2 29" xfId="18462" xr:uid="{00000000-0005-0000-0000-00001F480000}"/>
    <cellStyle name="Currency 2 2 3" xfId="18463" xr:uid="{00000000-0005-0000-0000-000020480000}"/>
    <cellStyle name="Currency 2 2 3 2" xfId="18464" xr:uid="{00000000-0005-0000-0000-000021480000}"/>
    <cellStyle name="Currency 2 2 3 3" xfId="18465" xr:uid="{00000000-0005-0000-0000-000022480000}"/>
    <cellStyle name="Currency 2 2 3 4" xfId="18466" xr:uid="{00000000-0005-0000-0000-000023480000}"/>
    <cellStyle name="Currency 2 2 3 4 2" xfId="18467" xr:uid="{00000000-0005-0000-0000-000024480000}"/>
    <cellStyle name="Currency 2 2 3 5" xfId="18468" xr:uid="{00000000-0005-0000-0000-000025480000}"/>
    <cellStyle name="Currency 2 2 3 6" xfId="18469" xr:uid="{00000000-0005-0000-0000-000026480000}"/>
    <cellStyle name="Currency 2 2 30" xfId="18470" xr:uid="{00000000-0005-0000-0000-000027480000}"/>
    <cellStyle name="Currency 2 2 31" xfId="18471" xr:uid="{00000000-0005-0000-0000-000028480000}"/>
    <cellStyle name="Currency 2 2 32" xfId="18472" xr:uid="{00000000-0005-0000-0000-000029480000}"/>
    <cellStyle name="Currency 2 2 33" xfId="18473" xr:uid="{00000000-0005-0000-0000-00002A480000}"/>
    <cellStyle name="Currency 2 2 34" xfId="18474" xr:uid="{00000000-0005-0000-0000-00002B480000}"/>
    <cellStyle name="Currency 2 2 35" xfId="18475" xr:uid="{00000000-0005-0000-0000-00002C480000}"/>
    <cellStyle name="Currency 2 2 36" xfId="18476" xr:uid="{00000000-0005-0000-0000-00002D480000}"/>
    <cellStyle name="Currency 2 2 37" xfId="18477" xr:uid="{00000000-0005-0000-0000-00002E480000}"/>
    <cellStyle name="Currency 2 2 38" xfId="18478" xr:uid="{00000000-0005-0000-0000-00002F480000}"/>
    <cellStyle name="Currency 2 2 39" xfId="18479" xr:uid="{00000000-0005-0000-0000-000030480000}"/>
    <cellStyle name="Currency 2 2 4" xfId="18480" xr:uid="{00000000-0005-0000-0000-000031480000}"/>
    <cellStyle name="Currency 2 2 4 2" xfId="18481" xr:uid="{00000000-0005-0000-0000-000032480000}"/>
    <cellStyle name="Currency 2 2 4 3" xfId="18482" xr:uid="{00000000-0005-0000-0000-000033480000}"/>
    <cellStyle name="Currency 2 2 40" xfId="18483" xr:uid="{00000000-0005-0000-0000-000034480000}"/>
    <cellStyle name="Currency 2 2 41" xfId="18484" xr:uid="{00000000-0005-0000-0000-000035480000}"/>
    <cellStyle name="Currency 2 2 42" xfId="18485" xr:uid="{00000000-0005-0000-0000-000036480000}"/>
    <cellStyle name="Currency 2 2 43" xfId="18486" xr:uid="{00000000-0005-0000-0000-000037480000}"/>
    <cellStyle name="Currency 2 2 44" xfId="18487" xr:uid="{00000000-0005-0000-0000-000038480000}"/>
    <cellStyle name="Currency 2 2 45" xfId="18488" xr:uid="{00000000-0005-0000-0000-000039480000}"/>
    <cellStyle name="Currency 2 2 46" xfId="18489" xr:uid="{00000000-0005-0000-0000-00003A480000}"/>
    <cellStyle name="Currency 2 2 47" xfId="18490" xr:uid="{00000000-0005-0000-0000-00003B480000}"/>
    <cellStyle name="Currency 2 2 48" xfId="18491" xr:uid="{00000000-0005-0000-0000-00003C480000}"/>
    <cellStyle name="Currency 2 2 49" xfId="18492" xr:uid="{00000000-0005-0000-0000-00003D480000}"/>
    <cellStyle name="Currency 2 2 5" xfId="18493" xr:uid="{00000000-0005-0000-0000-00003E480000}"/>
    <cellStyle name="Currency 2 2 5 2" xfId="18494" xr:uid="{00000000-0005-0000-0000-00003F480000}"/>
    <cellStyle name="Currency 2 2 5 3" xfId="18495" xr:uid="{00000000-0005-0000-0000-000040480000}"/>
    <cellStyle name="Currency 2 2 50" xfId="18496" xr:uid="{00000000-0005-0000-0000-000041480000}"/>
    <cellStyle name="Currency 2 2 51" xfId="18497" xr:uid="{00000000-0005-0000-0000-000042480000}"/>
    <cellStyle name="Currency 2 2 52" xfId="18498" xr:uid="{00000000-0005-0000-0000-000043480000}"/>
    <cellStyle name="Currency 2 2 6" xfId="18499" xr:uid="{00000000-0005-0000-0000-000044480000}"/>
    <cellStyle name="Currency 2 2 6 2" xfId="18500" xr:uid="{00000000-0005-0000-0000-000045480000}"/>
    <cellStyle name="Currency 2 2 6 3" xfId="18501" xr:uid="{00000000-0005-0000-0000-000046480000}"/>
    <cellStyle name="Currency 2 2 7" xfId="18502" xr:uid="{00000000-0005-0000-0000-000047480000}"/>
    <cellStyle name="Currency 2 2 7 2" xfId="18503" xr:uid="{00000000-0005-0000-0000-000048480000}"/>
    <cellStyle name="Currency 2 2 7 3" xfId="18504" xr:uid="{00000000-0005-0000-0000-000049480000}"/>
    <cellStyle name="Currency 2 2 8" xfId="18505" xr:uid="{00000000-0005-0000-0000-00004A480000}"/>
    <cellStyle name="Currency 2 2 8 2" xfId="18506" xr:uid="{00000000-0005-0000-0000-00004B480000}"/>
    <cellStyle name="Currency 2 2 8 3" xfId="18507" xr:uid="{00000000-0005-0000-0000-00004C480000}"/>
    <cellStyle name="Currency 2 2 9" xfId="18508" xr:uid="{00000000-0005-0000-0000-00004D480000}"/>
    <cellStyle name="Currency 2 2 9 2" xfId="18509" xr:uid="{00000000-0005-0000-0000-00004E480000}"/>
    <cellStyle name="Currency 2 20" xfId="18510" xr:uid="{00000000-0005-0000-0000-00004F480000}"/>
    <cellStyle name="Currency 2 20 2" xfId="18511" xr:uid="{00000000-0005-0000-0000-000050480000}"/>
    <cellStyle name="Currency 2 20 3" xfId="18512" xr:uid="{00000000-0005-0000-0000-000051480000}"/>
    <cellStyle name="Currency 2 20 4" xfId="18513" xr:uid="{00000000-0005-0000-0000-000052480000}"/>
    <cellStyle name="Currency 2 20 5" xfId="18514" xr:uid="{00000000-0005-0000-0000-000053480000}"/>
    <cellStyle name="Currency 2 20 6" xfId="18515" xr:uid="{00000000-0005-0000-0000-000054480000}"/>
    <cellStyle name="Currency 2 20 7" xfId="18516" xr:uid="{00000000-0005-0000-0000-000055480000}"/>
    <cellStyle name="Currency 2 21" xfId="18517" xr:uid="{00000000-0005-0000-0000-000056480000}"/>
    <cellStyle name="Currency 2 21 2" xfId="18518" xr:uid="{00000000-0005-0000-0000-000057480000}"/>
    <cellStyle name="Currency 2 21 3" xfId="18519" xr:uid="{00000000-0005-0000-0000-000058480000}"/>
    <cellStyle name="Currency 2 21 4" xfId="18520" xr:uid="{00000000-0005-0000-0000-000059480000}"/>
    <cellStyle name="Currency 2 21 5" xfId="18521" xr:uid="{00000000-0005-0000-0000-00005A480000}"/>
    <cellStyle name="Currency 2 21 6" xfId="18522" xr:uid="{00000000-0005-0000-0000-00005B480000}"/>
    <cellStyle name="Currency 2 22" xfId="18523" xr:uid="{00000000-0005-0000-0000-00005C480000}"/>
    <cellStyle name="Currency 2 22 2" xfId="18524" xr:uid="{00000000-0005-0000-0000-00005D480000}"/>
    <cellStyle name="Currency 2 22 3" xfId="18525" xr:uid="{00000000-0005-0000-0000-00005E480000}"/>
    <cellStyle name="Currency 2 22 4" xfId="18526" xr:uid="{00000000-0005-0000-0000-00005F480000}"/>
    <cellStyle name="Currency 2 22 5" xfId="18527" xr:uid="{00000000-0005-0000-0000-000060480000}"/>
    <cellStyle name="Currency 2 22 6" xfId="18528" xr:uid="{00000000-0005-0000-0000-000061480000}"/>
    <cellStyle name="Currency 2 23" xfId="18529" xr:uid="{00000000-0005-0000-0000-000062480000}"/>
    <cellStyle name="Currency 2 23 2" xfId="18530" xr:uid="{00000000-0005-0000-0000-000063480000}"/>
    <cellStyle name="Currency 2 23 3" xfId="18531" xr:uid="{00000000-0005-0000-0000-000064480000}"/>
    <cellStyle name="Currency 2 23 4" xfId="18532" xr:uid="{00000000-0005-0000-0000-000065480000}"/>
    <cellStyle name="Currency 2 23 5" xfId="18533" xr:uid="{00000000-0005-0000-0000-000066480000}"/>
    <cellStyle name="Currency 2 23 6" xfId="18534" xr:uid="{00000000-0005-0000-0000-000067480000}"/>
    <cellStyle name="Currency 2 24" xfId="18535" xr:uid="{00000000-0005-0000-0000-000068480000}"/>
    <cellStyle name="Currency 2 24 2" xfId="18536" xr:uid="{00000000-0005-0000-0000-000069480000}"/>
    <cellStyle name="Currency 2 24 3" xfId="18537" xr:uid="{00000000-0005-0000-0000-00006A480000}"/>
    <cellStyle name="Currency 2 24 4" xfId="18538" xr:uid="{00000000-0005-0000-0000-00006B480000}"/>
    <cellStyle name="Currency 2 24 5" xfId="18539" xr:uid="{00000000-0005-0000-0000-00006C480000}"/>
    <cellStyle name="Currency 2 24 6" xfId="18540" xr:uid="{00000000-0005-0000-0000-00006D480000}"/>
    <cellStyle name="Currency 2 25" xfId="18541" xr:uid="{00000000-0005-0000-0000-00006E480000}"/>
    <cellStyle name="Currency 2 25 2" xfId="18542" xr:uid="{00000000-0005-0000-0000-00006F480000}"/>
    <cellStyle name="Currency 2 25 3" xfId="18543" xr:uid="{00000000-0005-0000-0000-000070480000}"/>
    <cellStyle name="Currency 2 25 4" xfId="18544" xr:uid="{00000000-0005-0000-0000-000071480000}"/>
    <cellStyle name="Currency 2 25 5" xfId="18545" xr:uid="{00000000-0005-0000-0000-000072480000}"/>
    <cellStyle name="Currency 2 25 6" xfId="18546" xr:uid="{00000000-0005-0000-0000-000073480000}"/>
    <cellStyle name="Currency 2 26" xfId="18547" xr:uid="{00000000-0005-0000-0000-000074480000}"/>
    <cellStyle name="Currency 2 26 2" xfId="18548" xr:uid="{00000000-0005-0000-0000-000075480000}"/>
    <cellStyle name="Currency 2 26 3" xfId="18549" xr:uid="{00000000-0005-0000-0000-000076480000}"/>
    <cellStyle name="Currency 2 26 4" xfId="18550" xr:uid="{00000000-0005-0000-0000-000077480000}"/>
    <cellStyle name="Currency 2 26 5" xfId="18551" xr:uid="{00000000-0005-0000-0000-000078480000}"/>
    <cellStyle name="Currency 2 26 6" xfId="18552" xr:uid="{00000000-0005-0000-0000-000079480000}"/>
    <cellStyle name="Currency 2 27" xfId="18553" xr:uid="{00000000-0005-0000-0000-00007A480000}"/>
    <cellStyle name="Currency 2 27 2" xfId="18554" xr:uid="{00000000-0005-0000-0000-00007B480000}"/>
    <cellStyle name="Currency 2 27 3" xfId="18555" xr:uid="{00000000-0005-0000-0000-00007C480000}"/>
    <cellStyle name="Currency 2 27 4" xfId="18556" xr:uid="{00000000-0005-0000-0000-00007D480000}"/>
    <cellStyle name="Currency 2 27 5" xfId="18557" xr:uid="{00000000-0005-0000-0000-00007E480000}"/>
    <cellStyle name="Currency 2 27 6" xfId="18558" xr:uid="{00000000-0005-0000-0000-00007F480000}"/>
    <cellStyle name="Currency 2 28" xfId="18559" xr:uid="{00000000-0005-0000-0000-000080480000}"/>
    <cellStyle name="Currency 2 28 2" xfId="18560" xr:uid="{00000000-0005-0000-0000-000081480000}"/>
    <cellStyle name="Currency 2 28 3" xfId="18561" xr:uid="{00000000-0005-0000-0000-000082480000}"/>
    <cellStyle name="Currency 2 28 4" xfId="18562" xr:uid="{00000000-0005-0000-0000-000083480000}"/>
    <cellStyle name="Currency 2 28 5" xfId="18563" xr:uid="{00000000-0005-0000-0000-000084480000}"/>
    <cellStyle name="Currency 2 28 6" xfId="18564" xr:uid="{00000000-0005-0000-0000-000085480000}"/>
    <cellStyle name="Currency 2 29" xfId="18565" xr:uid="{00000000-0005-0000-0000-000086480000}"/>
    <cellStyle name="Currency 2 29 2" xfId="18566" xr:uid="{00000000-0005-0000-0000-000087480000}"/>
    <cellStyle name="Currency 2 29 3" xfId="18567" xr:uid="{00000000-0005-0000-0000-000088480000}"/>
    <cellStyle name="Currency 2 29 4" xfId="18568" xr:uid="{00000000-0005-0000-0000-000089480000}"/>
    <cellStyle name="Currency 2 29 5" xfId="18569" xr:uid="{00000000-0005-0000-0000-00008A480000}"/>
    <cellStyle name="Currency 2 29 6" xfId="18570" xr:uid="{00000000-0005-0000-0000-00008B480000}"/>
    <cellStyle name="Currency 2 3" xfId="18571" xr:uid="{00000000-0005-0000-0000-00008C480000}"/>
    <cellStyle name="Currency 2 3 2" xfId="18572" xr:uid="{00000000-0005-0000-0000-00008D480000}"/>
    <cellStyle name="Currency 2 3 2 2" xfId="18573" xr:uid="{00000000-0005-0000-0000-00008E480000}"/>
    <cellStyle name="Currency 2 3 3" xfId="18574" xr:uid="{00000000-0005-0000-0000-00008F480000}"/>
    <cellStyle name="Currency 2 3 4" xfId="18575" xr:uid="{00000000-0005-0000-0000-000090480000}"/>
    <cellStyle name="Currency 2 3 5" xfId="18576" xr:uid="{00000000-0005-0000-0000-000091480000}"/>
    <cellStyle name="Currency 2 3 6" xfId="18577" xr:uid="{00000000-0005-0000-0000-000092480000}"/>
    <cellStyle name="Currency 2 3 7" xfId="18578" xr:uid="{00000000-0005-0000-0000-000093480000}"/>
    <cellStyle name="Currency 2 30" xfId="18579" xr:uid="{00000000-0005-0000-0000-000094480000}"/>
    <cellStyle name="Currency 2 30 2" xfId="18580" xr:uid="{00000000-0005-0000-0000-000095480000}"/>
    <cellStyle name="Currency 2 30 3" xfId="18581" xr:uid="{00000000-0005-0000-0000-000096480000}"/>
    <cellStyle name="Currency 2 30 4" xfId="18582" xr:uid="{00000000-0005-0000-0000-000097480000}"/>
    <cellStyle name="Currency 2 30 5" xfId="18583" xr:uid="{00000000-0005-0000-0000-000098480000}"/>
    <cellStyle name="Currency 2 30 6" xfId="18584" xr:uid="{00000000-0005-0000-0000-000099480000}"/>
    <cellStyle name="Currency 2 31" xfId="18585" xr:uid="{00000000-0005-0000-0000-00009A480000}"/>
    <cellStyle name="Currency 2 31 2" xfId="18586" xr:uid="{00000000-0005-0000-0000-00009B480000}"/>
    <cellStyle name="Currency 2 31 3" xfId="18587" xr:uid="{00000000-0005-0000-0000-00009C480000}"/>
    <cellStyle name="Currency 2 31 4" xfId="18588" xr:uid="{00000000-0005-0000-0000-00009D480000}"/>
    <cellStyle name="Currency 2 31 5" xfId="18589" xr:uid="{00000000-0005-0000-0000-00009E480000}"/>
    <cellStyle name="Currency 2 31 6" xfId="18590" xr:uid="{00000000-0005-0000-0000-00009F480000}"/>
    <cellStyle name="Currency 2 32" xfId="18591" xr:uid="{00000000-0005-0000-0000-0000A0480000}"/>
    <cellStyle name="Currency 2 32 2" xfId="18592" xr:uid="{00000000-0005-0000-0000-0000A1480000}"/>
    <cellStyle name="Currency 2 32 3" xfId="18593" xr:uid="{00000000-0005-0000-0000-0000A2480000}"/>
    <cellStyle name="Currency 2 32 4" xfId="18594" xr:uid="{00000000-0005-0000-0000-0000A3480000}"/>
    <cellStyle name="Currency 2 32 5" xfId="18595" xr:uid="{00000000-0005-0000-0000-0000A4480000}"/>
    <cellStyle name="Currency 2 32 6" xfId="18596" xr:uid="{00000000-0005-0000-0000-0000A5480000}"/>
    <cellStyle name="Currency 2 33" xfId="18597" xr:uid="{00000000-0005-0000-0000-0000A6480000}"/>
    <cellStyle name="Currency 2 33 2" xfId="18598" xr:uid="{00000000-0005-0000-0000-0000A7480000}"/>
    <cellStyle name="Currency 2 33 3" xfId="18599" xr:uid="{00000000-0005-0000-0000-0000A8480000}"/>
    <cellStyle name="Currency 2 33 4" xfId="18600" xr:uid="{00000000-0005-0000-0000-0000A9480000}"/>
    <cellStyle name="Currency 2 33 5" xfId="18601" xr:uid="{00000000-0005-0000-0000-0000AA480000}"/>
    <cellStyle name="Currency 2 33 6" xfId="18602" xr:uid="{00000000-0005-0000-0000-0000AB480000}"/>
    <cellStyle name="Currency 2 34" xfId="18603" xr:uid="{00000000-0005-0000-0000-0000AC480000}"/>
    <cellStyle name="Currency 2 34 2" xfId="18604" xr:uid="{00000000-0005-0000-0000-0000AD480000}"/>
    <cellStyle name="Currency 2 34 3" xfId="18605" xr:uid="{00000000-0005-0000-0000-0000AE480000}"/>
    <cellStyle name="Currency 2 34 4" xfId="18606" xr:uid="{00000000-0005-0000-0000-0000AF480000}"/>
    <cellStyle name="Currency 2 34 5" xfId="18607" xr:uid="{00000000-0005-0000-0000-0000B0480000}"/>
    <cellStyle name="Currency 2 34 6" xfId="18608" xr:uid="{00000000-0005-0000-0000-0000B1480000}"/>
    <cellStyle name="Currency 2 35" xfId="18609" xr:uid="{00000000-0005-0000-0000-0000B2480000}"/>
    <cellStyle name="Currency 2 35 2" xfId="18610" xr:uid="{00000000-0005-0000-0000-0000B3480000}"/>
    <cellStyle name="Currency 2 35 3" xfId="18611" xr:uid="{00000000-0005-0000-0000-0000B4480000}"/>
    <cellStyle name="Currency 2 35 4" xfId="18612" xr:uid="{00000000-0005-0000-0000-0000B5480000}"/>
    <cellStyle name="Currency 2 35 5" xfId="18613" xr:uid="{00000000-0005-0000-0000-0000B6480000}"/>
    <cellStyle name="Currency 2 35 6" xfId="18614" xr:uid="{00000000-0005-0000-0000-0000B7480000}"/>
    <cellStyle name="Currency 2 36" xfId="18615" xr:uid="{00000000-0005-0000-0000-0000B8480000}"/>
    <cellStyle name="Currency 2 36 2" xfId="18616" xr:uid="{00000000-0005-0000-0000-0000B9480000}"/>
    <cellStyle name="Currency 2 36 3" xfId="18617" xr:uid="{00000000-0005-0000-0000-0000BA480000}"/>
    <cellStyle name="Currency 2 36 4" xfId="18618" xr:uid="{00000000-0005-0000-0000-0000BB480000}"/>
    <cellStyle name="Currency 2 36 5" xfId="18619" xr:uid="{00000000-0005-0000-0000-0000BC480000}"/>
    <cellStyle name="Currency 2 36 6" xfId="18620" xr:uid="{00000000-0005-0000-0000-0000BD480000}"/>
    <cellStyle name="Currency 2 37" xfId="18621" xr:uid="{00000000-0005-0000-0000-0000BE480000}"/>
    <cellStyle name="Currency 2 37 2" xfId="18622" xr:uid="{00000000-0005-0000-0000-0000BF480000}"/>
    <cellStyle name="Currency 2 37 3" xfId="18623" xr:uid="{00000000-0005-0000-0000-0000C0480000}"/>
    <cellStyle name="Currency 2 37 4" xfId="18624" xr:uid="{00000000-0005-0000-0000-0000C1480000}"/>
    <cellStyle name="Currency 2 37 5" xfId="18625" xr:uid="{00000000-0005-0000-0000-0000C2480000}"/>
    <cellStyle name="Currency 2 37 6" xfId="18626" xr:uid="{00000000-0005-0000-0000-0000C3480000}"/>
    <cellStyle name="Currency 2 38" xfId="18627" xr:uid="{00000000-0005-0000-0000-0000C4480000}"/>
    <cellStyle name="Currency 2 38 2" xfId="18628" xr:uid="{00000000-0005-0000-0000-0000C5480000}"/>
    <cellStyle name="Currency 2 38 3" xfId="18629" xr:uid="{00000000-0005-0000-0000-0000C6480000}"/>
    <cellStyle name="Currency 2 38 4" xfId="18630" xr:uid="{00000000-0005-0000-0000-0000C7480000}"/>
    <cellStyle name="Currency 2 38 5" xfId="18631" xr:uid="{00000000-0005-0000-0000-0000C8480000}"/>
    <cellStyle name="Currency 2 38 6" xfId="18632" xr:uid="{00000000-0005-0000-0000-0000C9480000}"/>
    <cellStyle name="Currency 2 39" xfId="18633" xr:uid="{00000000-0005-0000-0000-0000CA480000}"/>
    <cellStyle name="Currency 2 39 2" xfId="18634" xr:uid="{00000000-0005-0000-0000-0000CB480000}"/>
    <cellStyle name="Currency 2 39 3" xfId="18635" xr:uid="{00000000-0005-0000-0000-0000CC480000}"/>
    <cellStyle name="Currency 2 39 4" xfId="18636" xr:uid="{00000000-0005-0000-0000-0000CD480000}"/>
    <cellStyle name="Currency 2 39 5" xfId="18637" xr:uid="{00000000-0005-0000-0000-0000CE480000}"/>
    <cellStyle name="Currency 2 39 6" xfId="18638" xr:uid="{00000000-0005-0000-0000-0000CF480000}"/>
    <cellStyle name="Currency 2 4" xfId="18639" xr:uid="{00000000-0005-0000-0000-0000D0480000}"/>
    <cellStyle name="Currency 2 4 2" xfId="18640" xr:uid="{00000000-0005-0000-0000-0000D1480000}"/>
    <cellStyle name="Currency 2 4 3" xfId="18641" xr:uid="{00000000-0005-0000-0000-0000D2480000}"/>
    <cellStyle name="Currency 2 4 4" xfId="18642" xr:uid="{00000000-0005-0000-0000-0000D3480000}"/>
    <cellStyle name="Currency 2 4 5" xfId="18643" xr:uid="{00000000-0005-0000-0000-0000D4480000}"/>
    <cellStyle name="Currency 2 4 6" xfId="18644" xr:uid="{00000000-0005-0000-0000-0000D5480000}"/>
    <cellStyle name="Currency 2 4 7" xfId="18645" xr:uid="{00000000-0005-0000-0000-0000D6480000}"/>
    <cellStyle name="Currency 2 40" xfId="18646" xr:uid="{00000000-0005-0000-0000-0000D7480000}"/>
    <cellStyle name="Currency 2 40 2" xfId="18647" xr:uid="{00000000-0005-0000-0000-0000D8480000}"/>
    <cellStyle name="Currency 2 40 3" xfId="18648" xr:uid="{00000000-0005-0000-0000-0000D9480000}"/>
    <cellStyle name="Currency 2 40 4" xfId="18649" xr:uid="{00000000-0005-0000-0000-0000DA480000}"/>
    <cellStyle name="Currency 2 40 5" xfId="18650" xr:uid="{00000000-0005-0000-0000-0000DB480000}"/>
    <cellStyle name="Currency 2 40 6" xfId="18651" xr:uid="{00000000-0005-0000-0000-0000DC480000}"/>
    <cellStyle name="Currency 2 41" xfId="18652" xr:uid="{00000000-0005-0000-0000-0000DD480000}"/>
    <cellStyle name="Currency 2 41 2" xfId="18653" xr:uid="{00000000-0005-0000-0000-0000DE480000}"/>
    <cellStyle name="Currency 2 41 3" xfId="18654" xr:uid="{00000000-0005-0000-0000-0000DF480000}"/>
    <cellStyle name="Currency 2 41 4" xfId="18655" xr:uid="{00000000-0005-0000-0000-0000E0480000}"/>
    <cellStyle name="Currency 2 41 5" xfId="18656" xr:uid="{00000000-0005-0000-0000-0000E1480000}"/>
    <cellStyle name="Currency 2 41 6" xfId="18657" xr:uid="{00000000-0005-0000-0000-0000E2480000}"/>
    <cellStyle name="Currency 2 42" xfId="18658" xr:uid="{00000000-0005-0000-0000-0000E3480000}"/>
    <cellStyle name="Currency 2 42 2" xfId="18659" xr:uid="{00000000-0005-0000-0000-0000E4480000}"/>
    <cellStyle name="Currency 2 42 3" xfId="18660" xr:uid="{00000000-0005-0000-0000-0000E5480000}"/>
    <cellStyle name="Currency 2 42 4" xfId="18661" xr:uid="{00000000-0005-0000-0000-0000E6480000}"/>
    <cellStyle name="Currency 2 42 5" xfId="18662" xr:uid="{00000000-0005-0000-0000-0000E7480000}"/>
    <cellStyle name="Currency 2 42 6" xfId="18663" xr:uid="{00000000-0005-0000-0000-0000E8480000}"/>
    <cellStyle name="Currency 2 43" xfId="18664" xr:uid="{00000000-0005-0000-0000-0000E9480000}"/>
    <cellStyle name="Currency 2 43 2" xfId="18665" xr:uid="{00000000-0005-0000-0000-0000EA480000}"/>
    <cellStyle name="Currency 2 43 3" xfId="18666" xr:uid="{00000000-0005-0000-0000-0000EB480000}"/>
    <cellStyle name="Currency 2 43 4" xfId="18667" xr:uid="{00000000-0005-0000-0000-0000EC480000}"/>
    <cellStyle name="Currency 2 43 5" xfId="18668" xr:uid="{00000000-0005-0000-0000-0000ED480000}"/>
    <cellStyle name="Currency 2 43 6" xfId="18669" xr:uid="{00000000-0005-0000-0000-0000EE480000}"/>
    <cellStyle name="Currency 2 44" xfId="18670" xr:uid="{00000000-0005-0000-0000-0000EF480000}"/>
    <cellStyle name="Currency 2 44 2" xfId="18671" xr:uid="{00000000-0005-0000-0000-0000F0480000}"/>
    <cellStyle name="Currency 2 44 3" xfId="18672" xr:uid="{00000000-0005-0000-0000-0000F1480000}"/>
    <cellStyle name="Currency 2 44 4" xfId="18673" xr:uid="{00000000-0005-0000-0000-0000F2480000}"/>
    <cellStyle name="Currency 2 44 5" xfId="18674" xr:uid="{00000000-0005-0000-0000-0000F3480000}"/>
    <cellStyle name="Currency 2 44 6" xfId="18675" xr:uid="{00000000-0005-0000-0000-0000F4480000}"/>
    <cellStyle name="Currency 2 45" xfId="18676" xr:uid="{00000000-0005-0000-0000-0000F5480000}"/>
    <cellStyle name="Currency 2 45 2" xfId="18677" xr:uid="{00000000-0005-0000-0000-0000F6480000}"/>
    <cellStyle name="Currency 2 45 3" xfId="18678" xr:uid="{00000000-0005-0000-0000-0000F7480000}"/>
    <cellStyle name="Currency 2 45 4" xfId="18679" xr:uid="{00000000-0005-0000-0000-0000F8480000}"/>
    <cellStyle name="Currency 2 45 5" xfId="18680" xr:uid="{00000000-0005-0000-0000-0000F9480000}"/>
    <cellStyle name="Currency 2 45 6" xfId="18681" xr:uid="{00000000-0005-0000-0000-0000FA480000}"/>
    <cellStyle name="Currency 2 46" xfId="18682" xr:uid="{00000000-0005-0000-0000-0000FB480000}"/>
    <cellStyle name="Currency 2 46 2" xfId="18683" xr:uid="{00000000-0005-0000-0000-0000FC480000}"/>
    <cellStyle name="Currency 2 46 3" xfId="18684" xr:uid="{00000000-0005-0000-0000-0000FD480000}"/>
    <cellStyle name="Currency 2 46 4" xfId="18685" xr:uid="{00000000-0005-0000-0000-0000FE480000}"/>
    <cellStyle name="Currency 2 46 5" xfId="18686" xr:uid="{00000000-0005-0000-0000-0000FF480000}"/>
    <cellStyle name="Currency 2 46 6" xfId="18687" xr:uid="{00000000-0005-0000-0000-000000490000}"/>
    <cellStyle name="Currency 2 47" xfId="18688" xr:uid="{00000000-0005-0000-0000-000001490000}"/>
    <cellStyle name="Currency 2 47 2" xfId="18689" xr:uid="{00000000-0005-0000-0000-000002490000}"/>
    <cellStyle name="Currency 2 47 3" xfId="18690" xr:uid="{00000000-0005-0000-0000-000003490000}"/>
    <cellStyle name="Currency 2 47 4" xfId="18691" xr:uid="{00000000-0005-0000-0000-000004490000}"/>
    <cellStyle name="Currency 2 47 5" xfId="18692" xr:uid="{00000000-0005-0000-0000-000005490000}"/>
    <cellStyle name="Currency 2 47 6" xfId="18693" xr:uid="{00000000-0005-0000-0000-000006490000}"/>
    <cellStyle name="Currency 2 48" xfId="18694" xr:uid="{00000000-0005-0000-0000-000007490000}"/>
    <cellStyle name="Currency 2 48 2" xfId="18695" xr:uid="{00000000-0005-0000-0000-000008490000}"/>
    <cellStyle name="Currency 2 48 3" xfId="18696" xr:uid="{00000000-0005-0000-0000-000009490000}"/>
    <cellStyle name="Currency 2 48 4" xfId="18697" xr:uid="{00000000-0005-0000-0000-00000A490000}"/>
    <cellStyle name="Currency 2 48 5" xfId="18698" xr:uid="{00000000-0005-0000-0000-00000B490000}"/>
    <cellStyle name="Currency 2 48 6" xfId="18699" xr:uid="{00000000-0005-0000-0000-00000C490000}"/>
    <cellStyle name="Currency 2 49" xfId="18700" xr:uid="{00000000-0005-0000-0000-00000D490000}"/>
    <cellStyle name="Currency 2 49 2" xfId="18701" xr:uid="{00000000-0005-0000-0000-00000E490000}"/>
    <cellStyle name="Currency 2 49 3" xfId="18702" xr:uid="{00000000-0005-0000-0000-00000F490000}"/>
    <cellStyle name="Currency 2 49 4" xfId="18703" xr:uid="{00000000-0005-0000-0000-000010490000}"/>
    <cellStyle name="Currency 2 49 5" xfId="18704" xr:uid="{00000000-0005-0000-0000-000011490000}"/>
    <cellStyle name="Currency 2 49 6" xfId="18705" xr:uid="{00000000-0005-0000-0000-000012490000}"/>
    <cellStyle name="Currency 2 5" xfId="18706" xr:uid="{00000000-0005-0000-0000-000013490000}"/>
    <cellStyle name="Currency 2 5 2" xfId="18707" xr:uid="{00000000-0005-0000-0000-000014490000}"/>
    <cellStyle name="Currency 2 5 3" xfId="18708" xr:uid="{00000000-0005-0000-0000-000015490000}"/>
    <cellStyle name="Currency 2 5 4" xfId="18709" xr:uid="{00000000-0005-0000-0000-000016490000}"/>
    <cellStyle name="Currency 2 5 5" xfId="18710" xr:uid="{00000000-0005-0000-0000-000017490000}"/>
    <cellStyle name="Currency 2 5 6" xfId="18711" xr:uid="{00000000-0005-0000-0000-000018490000}"/>
    <cellStyle name="Currency 2 5 7" xfId="18712" xr:uid="{00000000-0005-0000-0000-000019490000}"/>
    <cellStyle name="Currency 2 50" xfId="18713" xr:uid="{00000000-0005-0000-0000-00001A490000}"/>
    <cellStyle name="Currency 2 50 2" xfId="18714" xr:uid="{00000000-0005-0000-0000-00001B490000}"/>
    <cellStyle name="Currency 2 50 3" xfId="18715" xr:uid="{00000000-0005-0000-0000-00001C490000}"/>
    <cellStyle name="Currency 2 50 4" xfId="18716" xr:uid="{00000000-0005-0000-0000-00001D490000}"/>
    <cellStyle name="Currency 2 50 5" xfId="18717" xr:uid="{00000000-0005-0000-0000-00001E490000}"/>
    <cellStyle name="Currency 2 50 6" xfId="18718" xr:uid="{00000000-0005-0000-0000-00001F490000}"/>
    <cellStyle name="Currency 2 51" xfId="18719" xr:uid="{00000000-0005-0000-0000-000020490000}"/>
    <cellStyle name="Currency 2 51 2" xfId="18720" xr:uid="{00000000-0005-0000-0000-000021490000}"/>
    <cellStyle name="Currency 2 51 3" xfId="18721" xr:uid="{00000000-0005-0000-0000-000022490000}"/>
    <cellStyle name="Currency 2 51 4" xfId="18722" xr:uid="{00000000-0005-0000-0000-000023490000}"/>
    <cellStyle name="Currency 2 51 5" xfId="18723" xr:uid="{00000000-0005-0000-0000-000024490000}"/>
    <cellStyle name="Currency 2 51 6" xfId="18724" xr:uid="{00000000-0005-0000-0000-000025490000}"/>
    <cellStyle name="Currency 2 52" xfId="18725" xr:uid="{00000000-0005-0000-0000-000026490000}"/>
    <cellStyle name="Currency 2 52 2" xfId="18726" xr:uid="{00000000-0005-0000-0000-000027490000}"/>
    <cellStyle name="Currency 2 52 3" xfId="18727" xr:uid="{00000000-0005-0000-0000-000028490000}"/>
    <cellStyle name="Currency 2 52 4" xfId="18728" xr:uid="{00000000-0005-0000-0000-000029490000}"/>
    <cellStyle name="Currency 2 52 5" xfId="18729" xr:uid="{00000000-0005-0000-0000-00002A490000}"/>
    <cellStyle name="Currency 2 52 6" xfId="18730" xr:uid="{00000000-0005-0000-0000-00002B490000}"/>
    <cellStyle name="Currency 2 53" xfId="18731" xr:uid="{00000000-0005-0000-0000-00002C490000}"/>
    <cellStyle name="Currency 2 53 2" xfId="18732" xr:uid="{00000000-0005-0000-0000-00002D490000}"/>
    <cellStyle name="Currency 2 53 3" xfId="18733" xr:uid="{00000000-0005-0000-0000-00002E490000}"/>
    <cellStyle name="Currency 2 53 4" xfId="18734" xr:uid="{00000000-0005-0000-0000-00002F490000}"/>
    <cellStyle name="Currency 2 53 5" xfId="18735" xr:uid="{00000000-0005-0000-0000-000030490000}"/>
    <cellStyle name="Currency 2 53 6" xfId="18736" xr:uid="{00000000-0005-0000-0000-000031490000}"/>
    <cellStyle name="Currency 2 54" xfId="18737" xr:uid="{00000000-0005-0000-0000-000032490000}"/>
    <cellStyle name="Currency 2 54 2" xfId="18738" xr:uid="{00000000-0005-0000-0000-000033490000}"/>
    <cellStyle name="Currency 2 54 3" xfId="18739" xr:uid="{00000000-0005-0000-0000-000034490000}"/>
    <cellStyle name="Currency 2 54 4" xfId="18740" xr:uid="{00000000-0005-0000-0000-000035490000}"/>
    <cellStyle name="Currency 2 54 5" xfId="18741" xr:uid="{00000000-0005-0000-0000-000036490000}"/>
    <cellStyle name="Currency 2 54 6" xfId="18742" xr:uid="{00000000-0005-0000-0000-000037490000}"/>
    <cellStyle name="Currency 2 55" xfId="18743" xr:uid="{00000000-0005-0000-0000-000038490000}"/>
    <cellStyle name="Currency 2 55 2" xfId="18744" xr:uid="{00000000-0005-0000-0000-000039490000}"/>
    <cellStyle name="Currency 2 55 3" xfId="18745" xr:uid="{00000000-0005-0000-0000-00003A490000}"/>
    <cellStyle name="Currency 2 55 4" xfId="18746" xr:uid="{00000000-0005-0000-0000-00003B490000}"/>
    <cellStyle name="Currency 2 55 5" xfId="18747" xr:uid="{00000000-0005-0000-0000-00003C490000}"/>
    <cellStyle name="Currency 2 55 6" xfId="18748" xr:uid="{00000000-0005-0000-0000-00003D490000}"/>
    <cellStyle name="Currency 2 56" xfId="18749" xr:uid="{00000000-0005-0000-0000-00003E490000}"/>
    <cellStyle name="Currency 2 6" xfId="18750" xr:uid="{00000000-0005-0000-0000-00003F490000}"/>
    <cellStyle name="Currency 2 6 2" xfId="18751" xr:uid="{00000000-0005-0000-0000-000040490000}"/>
    <cellStyle name="Currency 2 6 3" xfId="18752" xr:uid="{00000000-0005-0000-0000-000041490000}"/>
    <cellStyle name="Currency 2 6 4" xfId="18753" xr:uid="{00000000-0005-0000-0000-000042490000}"/>
    <cellStyle name="Currency 2 6 5" xfId="18754" xr:uid="{00000000-0005-0000-0000-000043490000}"/>
    <cellStyle name="Currency 2 6 6" xfId="18755" xr:uid="{00000000-0005-0000-0000-000044490000}"/>
    <cellStyle name="Currency 2 6 7" xfId="18756" xr:uid="{00000000-0005-0000-0000-000045490000}"/>
    <cellStyle name="Currency 2 7" xfId="18757" xr:uid="{00000000-0005-0000-0000-000046490000}"/>
    <cellStyle name="Currency 2 7 10" xfId="18758" xr:uid="{00000000-0005-0000-0000-000047490000}"/>
    <cellStyle name="Currency 2 7 2" xfId="18759" xr:uid="{00000000-0005-0000-0000-000048490000}"/>
    <cellStyle name="Currency 2 7 2 2" xfId="18760" xr:uid="{00000000-0005-0000-0000-000049490000}"/>
    <cellStyle name="Currency 2 7 2 2 2" xfId="18761" xr:uid="{00000000-0005-0000-0000-00004A490000}"/>
    <cellStyle name="Currency 2 7 2 3" xfId="18762" xr:uid="{00000000-0005-0000-0000-00004B490000}"/>
    <cellStyle name="Currency 2 7 2 4" xfId="18763" xr:uid="{00000000-0005-0000-0000-00004C490000}"/>
    <cellStyle name="Currency 2 7 2 5" xfId="18764" xr:uid="{00000000-0005-0000-0000-00004D490000}"/>
    <cellStyle name="Currency 2 7 2 6" xfId="18765" xr:uid="{00000000-0005-0000-0000-00004E490000}"/>
    <cellStyle name="Currency 2 7 3" xfId="18766" xr:uid="{00000000-0005-0000-0000-00004F490000}"/>
    <cellStyle name="Currency 2 7 3 2" xfId="18767" xr:uid="{00000000-0005-0000-0000-000050490000}"/>
    <cellStyle name="Currency 2 7 3 3" xfId="18768" xr:uid="{00000000-0005-0000-0000-000051490000}"/>
    <cellStyle name="Currency 2 7 3 4" xfId="18769" xr:uid="{00000000-0005-0000-0000-000052490000}"/>
    <cellStyle name="Currency 2 7 3 5" xfId="18770" xr:uid="{00000000-0005-0000-0000-000053490000}"/>
    <cellStyle name="Currency 2 7 4" xfId="18771" xr:uid="{00000000-0005-0000-0000-000054490000}"/>
    <cellStyle name="Currency 2 7 4 2" xfId="18772" xr:uid="{00000000-0005-0000-0000-000055490000}"/>
    <cellStyle name="Currency 2 7 4 3" xfId="18773" xr:uid="{00000000-0005-0000-0000-000056490000}"/>
    <cellStyle name="Currency 2 7 5" xfId="18774" xr:uid="{00000000-0005-0000-0000-000057490000}"/>
    <cellStyle name="Currency 2 7 5 2" xfId="18775" xr:uid="{00000000-0005-0000-0000-000058490000}"/>
    <cellStyle name="Currency 2 7 6" xfId="18776" xr:uid="{00000000-0005-0000-0000-000059490000}"/>
    <cellStyle name="Currency 2 7 6 2" xfId="18777" xr:uid="{00000000-0005-0000-0000-00005A490000}"/>
    <cellStyle name="Currency 2 7 7" xfId="18778" xr:uid="{00000000-0005-0000-0000-00005B490000}"/>
    <cellStyle name="Currency 2 7 7 2" xfId="18779" xr:uid="{00000000-0005-0000-0000-00005C490000}"/>
    <cellStyle name="Currency 2 7 8" xfId="18780" xr:uid="{00000000-0005-0000-0000-00005D490000}"/>
    <cellStyle name="Currency 2 7 9" xfId="18781" xr:uid="{00000000-0005-0000-0000-00005E490000}"/>
    <cellStyle name="Currency 2 8" xfId="18782" xr:uid="{00000000-0005-0000-0000-00005F490000}"/>
    <cellStyle name="Currency 2 8 2" xfId="18783" xr:uid="{00000000-0005-0000-0000-000060490000}"/>
    <cellStyle name="Currency 2 8 2 2" xfId="18784" xr:uid="{00000000-0005-0000-0000-000061490000}"/>
    <cellStyle name="Currency 2 8 3" xfId="18785" xr:uid="{00000000-0005-0000-0000-000062490000}"/>
    <cellStyle name="Currency 2 8 3 2" xfId="18786" xr:uid="{00000000-0005-0000-0000-000063490000}"/>
    <cellStyle name="Currency 2 8 4" xfId="18787" xr:uid="{00000000-0005-0000-0000-000064490000}"/>
    <cellStyle name="Currency 2 8 5" xfId="18788" xr:uid="{00000000-0005-0000-0000-000065490000}"/>
    <cellStyle name="Currency 2 8 6" xfId="18789" xr:uid="{00000000-0005-0000-0000-000066490000}"/>
    <cellStyle name="Currency 2 8 7" xfId="18790" xr:uid="{00000000-0005-0000-0000-000067490000}"/>
    <cellStyle name="Currency 2 9" xfId="18791" xr:uid="{00000000-0005-0000-0000-000068490000}"/>
    <cellStyle name="Currency 2 9 2" xfId="18792" xr:uid="{00000000-0005-0000-0000-000069490000}"/>
    <cellStyle name="Currency 2 9 3" xfId="18793" xr:uid="{00000000-0005-0000-0000-00006A490000}"/>
    <cellStyle name="Currency 2 9 4" xfId="18794" xr:uid="{00000000-0005-0000-0000-00006B490000}"/>
    <cellStyle name="Currency 2 9 5" xfId="18795" xr:uid="{00000000-0005-0000-0000-00006C490000}"/>
    <cellStyle name="Currency 2 9 6" xfId="18796" xr:uid="{00000000-0005-0000-0000-00006D490000}"/>
    <cellStyle name="Currency 2 9 7" xfId="18797" xr:uid="{00000000-0005-0000-0000-00006E490000}"/>
    <cellStyle name="Currency 3" xfId="18798" xr:uid="{00000000-0005-0000-0000-00006F490000}"/>
    <cellStyle name="Currency 3 10" xfId="18799" xr:uid="{00000000-0005-0000-0000-000070490000}"/>
    <cellStyle name="Currency 3 11" xfId="18800" xr:uid="{00000000-0005-0000-0000-000071490000}"/>
    <cellStyle name="Currency 3 12" xfId="18801" xr:uid="{00000000-0005-0000-0000-000072490000}"/>
    <cellStyle name="Currency 3 13" xfId="18802" xr:uid="{00000000-0005-0000-0000-000073490000}"/>
    <cellStyle name="Currency 3 14" xfId="18803" xr:uid="{00000000-0005-0000-0000-000074490000}"/>
    <cellStyle name="Currency 3 15" xfId="18804" xr:uid="{00000000-0005-0000-0000-000075490000}"/>
    <cellStyle name="Currency 3 16" xfId="18805" xr:uid="{00000000-0005-0000-0000-000076490000}"/>
    <cellStyle name="Currency 3 17" xfId="18806" xr:uid="{00000000-0005-0000-0000-000077490000}"/>
    <cellStyle name="Currency 3 18" xfId="18807" xr:uid="{00000000-0005-0000-0000-000078490000}"/>
    <cellStyle name="Currency 3 19" xfId="18808" xr:uid="{00000000-0005-0000-0000-000079490000}"/>
    <cellStyle name="Currency 3 2" xfId="18809" xr:uid="{00000000-0005-0000-0000-00007A490000}"/>
    <cellStyle name="Currency 3 2 2" xfId="18810" xr:uid="{00000000-0005-0000-0000-00007B490000}"/>
    <cellStyle name="Currency 3 20" xfId="18811" xr:uid="{00000000-0005-0000-0000-00007C490000}"/>
    <cellStyle name="Currency 3 21" xfId="18812" xr:uid="{00000000-0005-0000-0000-00007D490000}"/>
    <cellStyle name="Currency 3 22" xfId="18813" xr:uid="{00000000-0005-0000-0000-00007E490000}"/>
    <cellStyle name="Currency 3 23" xfId="18814" xr:uid="{00000000-0005-0000-0000-00007F490000}"/>
    <cellStyle name="Currency 3 24" xfId="18815" xr:uid="{00000000-0005-0000-0000-000080490000}"/>
    <cellStyle name="Currency 3 25" xfId="18816" xr:uid="{00000000-0005-0000-0000-000081490000}"/>
    <cellStyle name="Currency 3 26" xfId="18817" xr:uid="{00000000-0005-0000-0000-000082490000}"/>
    <cellStyle name="Currency 3 27" xfId="18818" xr:uid="{00000000-0005-0000-0000-000083490000}"/>
    <cellStyle name="Currency 3 28" xfId="18819" xr:uid="{00000000-0005-0000-0000-000084490000}"/>
    <cellStyle name="Currency 3 29" xfId="18820" xr:uid="{00000000-0005-0000-0000-000085490000}"/>
    <cellStyle name="Currency 3 3" xfId="18821" xr:uid="{00000000-0005-0000-0000-000086490000}"/>
    <cellStyle name="Currency 3 30" xfId="18822" xr:uid="{00000000-0005-0000-0000-000087490000}"/>
    <cellStyle name="Currency 3 31" xfId="18823" xr:uid="{00000000-0005-0000-0000-000088490000}"/>
    <cellStyle name="Currency 3 32" xfId="18824" xr:uid="{00000000-0005-0000-0000-000089490000}"/>
    <cellStyle name="Currency 3 33" xfId="18825" xr:uid="{00000000-0005-0000-0000-00008A490000}"/>
    <cellStyle name="Currency 3 34" xfId="18826" xr:uid="{00000000-0005-0000-0000-00008B490000}"/>
    <cellStyle name="Currency 3 35" xfId="18827" xr:uid="{00000000-0005-0000-0000-00008C490000}"/>
    <cellStyle name="Currency 3 36" xfId="18828" xr:uid="{00000000-0005-0000-0000-00008D490000}"/>
    <cellStyle name="Currency 3 37" xfId="18829" xr:uid="{00000000-0005-0000-0000-00008E490000}"/>
    <cellStyle name="Currency 3 38" xfId="18830" xr:uid="{00000000-0005-0000-0000-00008F490000}"/>
    <cellStyle name="Currency 3 39" xfId="18831" xr:uid="{00000000-0005-0000-0000-000090490000}"/>
    <cellStyle name="Currency 3 4" xfId="18832" xr:uid="{00000000-0005-0000-0000-000091490000}"/>
    <cellStyle name="Currency 3 40" xfId="18833" xr:uid="{00000000-0005-0000-0000-000092490000}"/>
    <cellStyle name="Currency 3 5" xfId="18834" xr:uid="{00000000-0005-0000-0000-000093490000}"/>
    <cellStyle name="Currency 3 6" xfId="18835" xr:uid="{00000000-0005-0000-0000-000094490000}"/>
    <cellStyle name="Currency 3 7" xfId="18836" xr:uid="{00000000-0005-0000-0000-000095490000}"/>
    <cellStyle name="Currency 3 8" xfId="18837" xr:uid="{00000000-0005-0000-0000-000096490000}"/>
    <cellStyle name="Currency 3 9" xfId="18838" xr:uid="{00000000-0005-0000-0000-000097490000}"/>
    <cellStyle name="Currency 4" xfId="18839" xr:uid="{00000000-0005-0000-0000-000098490000}"/>
    <cellStyle name="Currency 4 10" xfId="18840" xr:uid="{00000000-0005-0000-0000-000099490000}"/>
    <cellStyle name="Currency 4 10 2" xfId="18841" xr:uid="{00000000-0005-0000-0000-00009A490000}"/>
    <cellStyle name="Currency 4 10 2 2" xfId="18842" xr:uid="{00000000-0005-0000-0000-00009B490000}"/>
    <cellStyle name="Currency 4 10 2 3" xfId="18843" xr:uid="{00000000-0005-0000-0000-00009C490000}"/>
    <cellStyle name="Currency 4 10 3" xfId="18844" xr:uid="{00000000-0005-0000-0000-00009D490000}"/>
    <cellStyle name="Currency 4 10 4" xfId="18845" xr:uid="{00000000-0005-0000-0000-00009E490000}"/>
    <cellStyle name="Currency 4 10 5" xfId="18846" xr:uid="{00000000-0005-0000-0000-00009F490000}"/>
    <cellStyle name="Currency 4 10 6" xfId="18847" xr:uid="{00000000-0005-0000-0000-0000A0490000}"/>
    <cellStyle name="Currency 4 11" xfId="18848" xr:uid="{00000000-0005-0000-0000-0000A1490000}"/>
    <cellStyle name="Currency 4 11 2" xfId="18849" xr:uid="{00000000-0005-0000-0000-0000A2490000}"/>
    <cellStyle name="Currency 4 11 2 2" xfId="18850" xr:uid="{00000000-0005-0000-0000-0000A3490000}"/>
    <cellStyle name="Currency 4 11 3" xfId="18851" xr:uid="{00000000-0005-0000-0000-0000A4490000}"/>
    <cellStyle name="Currency 4 11 4" xfId="18852" xr:uid="{00000000-0005-0000-0000-0000A5490000}"/>
    <cellStyle name="Currency 4 11 5" xfId="18853" xr:uid="{00000000-0005-0000-0000-0000A6490000}"/>
    <cellStyle name="Currency 4 12" xfId="18854" xr:uid="{00000000-0005-0000-0000-0000A7490000}"/>
    <cellStyle name="Currency 4 12 2" xfId="18855" xr:uid="{00000000-0005-0000-0000-0000A8490000}"/>
    <cellStyle name="Currency 4 12 3" xfId="18856" xr:uid="{00000000-0005-0000-0000-0000A9490000}"/>
    <cellStyle name="Currency 4 12 4" xfId="18857" xr:uid="{00000000-0005-0000-0000-0000AA490000}"/>
    <cellStyle name="Currency 4 13" xfId="18858" xr:uid="{00000000-0005-0000-0000-0000AB490000}"/>
    <cellStyle name="Currency 4 14" xfId="18859" xr:uid="{00000000-0005-0000-0000-0000AC490000}"/>
    <cellStyle name="Currency 4 15" xfId="18860" xr:uid="{00000000-0005-0000-0000-0000AD490000}"/>
    <cellStyle name="Currency 4 16" xfId="18861" xr:uid="{00000000-0005-0000-0000-0000AE490000}"/>
    <cellStyle name="Currency 4 2" xfId="18862" xr:uid="{00000000-0005-0000-0000-0000AF490000}"/>
    <cellStyle name="Currency 4 2 10" xfId="18863" xr:uid="{00000000-0005-0000-0000-0000B0490000}"/>
    <cellStyle name="Currency 4 2 2" xfId="18864" xr:uid="{00000000-0005-0000-0000-0000B1490000}"/>
    <cellStyle name="Currency 4 2 2 2" xfId="18865" xr:uid="{00000000-0005-0000-0000-0000B2490000}"/>
    <cellStyle name="Currency 4 2 2 2 2" xfId="18866" xr:uid="{00000000-0005-0000-0000-0000B3490000}"/>
    <cellStyle name="Currency 4 2 2 2 2 2" xfId="18867" xr:uid="{00000000-0005-0000-0000-0000B4490000}"/>
    <cellStyle name="Currency 4 2 2 2 2 3" xfId="18868" xr:uid="{00000000-0005-0000-0000-0000B5490000}"/>
    <cellStyle name="Currency 4 2 2 2 3" xfId="18869" xr:uid="{00000000-0005-0000-0000-0000B6490000}"/>
    <cellStyle name="Currency 4 2 2 2 4" xfId="18870" xr:uid="{00000000-0005-0000-0000-0000B7490000}"/>
    <cellStyle name="Currency 4 2 2 2 5" xfId="18871" xr:uid="{00000000-0005-0000-0000-0000B8490000}"/>
    <cellStyle name="Currency 4 2 2 2 6" xfId="18872" xr:uid="{00000000-0005-0000-0000-0000B9490000}"/>
    <cellStyle name="Currency 4 2 2 3" xfId="18873" xr:uid="{00000000-0005-0000-0000-0000BA490000}"/>
    <cellStyle name="Currency 4 2 2 3 2" xfId="18874" xr:uid="{00000000-0005-0000-0000-0000BB490000}"/>
    <cellStyle name="Currency 4 2 2 3 2 2" xfId="18875" xr:uid="{00000000-0005-0000-0000-0000BC490000}"/>
    <cellStyle name="Currency 4 2 2 3 3" xfId="18876" xr:uid="{00000000-0005-0000-0000-0000BD490000}"/>
    <cellStyle name="Currency 4 2 2 3 4" xfId="18877" xr:uid="{00000000-0005-0000-0000-0000BE490000}"/>
    <cellStyle name="Currency 4 2 2 3 5" xfId="18878" xr:uid="{00000000-0005-0000-0000-0000BF490000}"/>
    <cellStyle name="Currency 4 2 2 4" xfId="18879" xr:uid="{00000000-0005-0000-0000-0000C0490000}"/>
    <cellStyle name="Currency 4 2 2 4 2" xfId="18880" xr:uid="{00000000-0005-0000-0000-0000C1490000}"/>
    <cellStyle name="Currency 4 2 2 4 3" xfId="18881" xr:uid="{00000000-0005-0000-0000-0000C2490000}"/>
    <cellStyle name="Currency 4 2 2 4 4" xfId="18882" xr:uid="{00000000-0005-0000-0000-0000C3490000}"/>
    <cellStyle name="Currency 4 2 2 5" xfId="18883" xr:uid="{00000000-0005-0000-0000-0000C4490000}"/>
    <cellStyle name="Currency 4 2 2 5 2" xfId="18884" xr:uid="{00000000-0005-0000-0000-0000C5490000}"/>
    <cellStyle name="Currency 4 2 2 6" xfId="18885" xr:uid="{00000000-0005-0000-0000-0000C6490000}"/>
    <cellStyle name="Currency 4 2 2 7" xfId="18886" xr:uid="{00000000-0005-0000-0000-0000C7490000}"/>
    <cellStyle name="Currency 4 2 2 8" xfId="18887" xr:uid="{00000000-0005-0000-0000-0000C8490000}"/>
    <cellStyle name="Currency 4 2 2 9" xfId="18888" xr:uid="{00000000-0005-0000-0000-0000C9490000}"/>
    <cellStyle name="Currency 4 2 3" xfId="18889" xr:uid="{00000000-0005-0000-0000-0000CA490000}"/>
    <cellStyle name="Currency 4 2 3 2" xfId="18890" xr:uid="{00000000-0005-0000-0000-0000CB490000}"/>
    <cellStyle name="Currency 4 2 3 2 2" xfId="18891" xr:uid="{00000000-0005-0000-0000-0000CC490000}"/>
    <cellStyle name="Currency 4 2 3 2 3" xfId="18892" xr:uid="{00000000-0005-0000-0000-0000CD490000}"/>
    <cellStyle name="Currency 4 2 3 3" xfId="18893" xr:uid="{00000000-0005-0000-0000-0000CE490000}"/>
    <cellStyle name="Currency 4 2 3 4" xfId="18894" xr:uid="{00000000-0005-0000-0000-0000CF490000}"/>
    <cellStyle name="Currency 4 2 3 5" xfId="18895" xr:uid="{00000000-0005-0000-0000-0000D0490000}"/>
    <cellStyle name="Currency 4 2 3 6" xfId="18896" xr:uid="{00000000-0005-0000-0000-0000D1490000}"/>
    <cellStyle name="Currency 4 2 4" xfId="18897" xr:uid="{00000000-0005-0000-0000-0000D2490000}"/>
    <cellStyle name="Currency 4 2 4 2" xfId="18898" xr:uid="{00000000-0005-0000-0000-0000D3490000}"/>
    <cellStyle name="Currency 4 2 4 2 2" xfId="18899" xr:uid="{00000000-0005-0000-0000-0000D4490000}"/>
    <cellStyle name="Currency 4 2 4 3" xfId="18900" xr:uid="{00000000-0005-0000-0000-0000D5490000}"/>
    <cellStyle name="Currency 4 2 4 4" xfId="18901" xr:uid="{00000000-0005-0000-0000-0000D6490000}"/>
    <cellStyle name="Currency 4 2 4 5" xfId="18902" xr:uid="{00000000-0005-0000-0000-0000D7490000}"/>
    <cellStyle name="Currency 4 2 5" xfId="18903" xr:uid="{00000000-0005-0000-0000-0000D8490000}"/>
    <cellStyle name="Currency 4 2 5 2" xfId="18904" xr:uid="{00000000-0005-0000-0000-0000D9490000}"/>
    <cellStyle name="Currency 4 2 5 2 2" xfId="18905" xr:uid="{00000000-0005-0000-0000-0000DA490000}"/>
    <cellStyle name="Currency 4 2 5 3" xfId="18906" xr:uid="{00000000-0005-0000-0000-0000DB490000}"/>
    <cellStyle name="Currency 4 2 5 4" xfId="18907" xr:uid="{00000000-0005-0000-0000-0000DC490000}"/>
    <cellStyle name="Currency 4 2 5 5" xfId="18908" xr:uid="{00000000-0005-0000-0000-0000DD490000}"/>
    <cellStyle name="Currency 4 2 6" xfId="18909" xr:uid="{00000000-0005-0000-0000-0000DE490000}"/>
    <cellStyle name="Currency 4 2 6 2" xfId="18910" xr:uid="{00000000-0005-0000-0000-0000DF490000}"/>
    <cellStyle name="Currency 4 2 7" xfId="18911" xr:uid="{00000000-0005-0000-0000-0000E0490000}"/>
    <cellStyle name="Currency 4 2 8" xfId="18912" xr:uid="{00000000-0005-0000-0000-0000E1490000}"/>
    <cellStyle name="Currency 4 2 9" xfId="18913" xr:uid="{00000000-0005-0000-0000-0000E2490000}"/>
    <cellStyle name="Currency 4 3" xfId="18914" xr:uid="{00000000-0005-0000-0000-0000E3490000}"/>
    <cellStyle name="Currency 4 3 10" xfId="18915" xr:uid="{00000000-0005-0000-0000-0000E4490000}"/>
    <cellStyle name="Currency 4 3 2" xfId="18916" xr:uid="{00000000-0005-0000-0000-0000E5490000}"/>
    <cellStyle name="Currency 4 3 2 2" xfId="18917" xr:uid="{00000000-0005-0000-0000-0000E6490000}"/>
    <cellStyle name="Currency 4 3 2 2 2" xfId="18918" xr:uid="{00000000-0005-0000-0000-0000E7490000}"/>
    <cellStyle name="Currency 4 3 2 2 2 2" xfId="18919" xr:uid="{00000000-0005-0000-0000-0000E8490000}"/>
    <cellStyle name="Currency 4 3 2 2 2 3" xfId="18920" xr:uid="{00000000-0005-0000-0000-0000E9490000}"/>
    <cellStyle name="Currency 4 3 2 2 3" xfId="18921" xr:uid="{00000000-0005-0000-0000-0000EA490000}"/>
    <cellStyle name="Currency 4 3 2 2 4" xfId="18922" xr:uid="{00000000-0005-0000-0000-0000EB490000}"/>
    <cellStyle name="Currency 4 3 2 2 5" xfId="18923" xr:uid="{00000000-0005-0000-0000-0000EC490000}"/>
    <cellStyle name="Currency 4 3 2 2 6" xfId="18924" xr:uid="{00000000-0005-0000-0000-0000ED490000}"/>
    <cellStyle name="Currency 4 3 2 3" xfId="18925" xr:uid="{00000000-0005-0000-0000-0000EE490000}"/>
    <cellStyle name="Currency 4 3 2 3 2" xfId="18926" xr:uid="{00000000-0005-0000-0000-0000EF490000}"/>
    <cellStyle name="Currency 4 3 2 3 2 2" xfId="18927" xr:uid="{00000000-0005-0000-0000-0000F0490000}"/>
    <cellStyle name="Currency 4 3 2 3 3" xfId="18928" xr:uid="{00000000-0005-0000-0000-0000F1490000}"/>
    <cellStyle name="Currency 4 3 2 3 4" xfId="18929" xr:uid="{00000000-0005-0000-0000-0000F2490000}"/>
    <cellStyle name="Currency 4 3 2 3 5" xfId="18930" xr:uid="{00000000-0005-0000-0000-0000F3490000}"/>
    <cellStyle name="Currency 4 3 2 4" xfId="18931" xr:uid="{00000000-0005-0000-0000-0000F4490000}"/>
    <cellStyle name="Currency 4 3 2 4 2" xfId="18932" xr:uid="{00000000-0005-0000-0000-0000F5490000}"/>
    <cellStyle name="Currency 4 3 2 4 3" xfId="18933" xr:uid="{00000000-0005-0000-0000-0000F6490000}"/>
    <cellStyle name="Currency 4 3 2 4 4" xfId="18934" xr:uid="{00000000-0005-0000-0000-0000F7490000}"/>
    <cellStyle name="Currency 4 3 2 5" xfId="18935" xr:uid="{00000000-0005-0000-0000-0000F8490000}"/>
    <cellStyle name="Currency 4 3 2 5 2" xfId="18936" xr:uid="{00000000-0005-0000-0000-0000F9490000}"/>
    <cellStyle name="Currency 4 3 2 6" xfId="18937" xr:uid="{00000000-0005-0000-0000-0000FA490000}"/>
    <cellStyle name="Currency 4 3 2 7" xfId="18938" xr:uid="{00000000-0005-0000-0000-0000FB490000}"/>
    <cellStyle name="Currency 4 3 2 8" xfId="18939" xr:uid="{00000000-0005-0000-0000-0000FC490000}"/>
    <cellStyle name="Currency 4 3 2 9" xfId="18940" xr:uid="{00000000-0005-0000-0000-0000FD490000}"/>
    <cellStyle name="Currency 4 3 3" xfId="18941" xr:uid="{00000000-0005-0000-0000-0000FE490000}"/>
    <cellStyle name="Currency 4 3 3 2" xfId="18942" xr:uid="{00000000-0005-0000-0000-0000FF490000}"/>
    <cellStyle name="Currency 4 3 3 2 2" xfId="18943" xr:uid="{00000000-0005-0000-0000-0000004A0000}"/>
    <cellStyle name="Currency 4 3 3 2 3" xfId="18944" xr:uid="{00000000-0005-0000-0000-0000014A0000}"/>
    <cellStyle name="Currency 4 3 3 3" xfId="18945" xr:uid="{00000000-0005-0000-0000-0000024A0000}"/>
    <cellStyle name="Currency 4 3 3 4" xfId="18946" xr:uid="{00000000-0005-0000-0000-0000034A0000}"/>
    <cellStyle name="Currency 4 3 3 5" xfId="18947" xr:uid="{00000000-0005-0000-0000-0000044A0000}"/>
    <cellStyle name="Currency 4 3 3 6" xfId="18948" xr:uid="{00000000-0005-0000-0000-0000054A0000}"/>
    <cellStyle name="Currency 4 3 4" xfId="18949" xr:uid="{00000000-0005-0000-0000-0000064A0000}"/>
    <cellStyle name="Currency 4 3 4 2" xfId="18950" xr:uid="{00000000-0005-0000-0000-0000074A0000}"/>
    <cellStyle name="Currency 4 3 4 2 2" xfId="18951" xr:uid="{00000000-0005-0000-0000-0000084A0000}"/>
    <cellStyle name="Currency 4 3 4 3" xfId="18952" xr:uid="{00000000-0005-0000-0000-0000094A0000}"/>
    <cellStyle name="Currency 4 3 4 4" xfId="18953" xr:uid="{00000000-0005-0000-0000-00000A4A0000}"/>
    <cellStyle name="Currency 4 3 4 5" xfId="18954" xr:uid="{00000000-0005-0000-0000-00000B4A0000}"/>
    <cellStyle name="Currency 4 3 5" xfId="18955" xr:uid="{00000000-0005-0000-0000-00000C4A0000}"/>
    <cellStyle name="Currency 4 3 5 2" xfId="18956" xr:uid="{00000000-0005-0000-0000-00000D4A0000}"/>
    <cellStyle name="Currency 4 3 5 2 2" xfId="18957" xr:uid="{00000000-0005-0000-0000-00000E4A0000}"/>
    <cellStyle name="Currency 4 3 5 3" xfId="18958" xr:uid="{00000000-0005-0000-0000-00000F4A0000}"/>
    <cellStyle name="Currency 4 3 5 4" xfId="18959" xr:uid="{00000000-0005-0000-0000-0000104A0000}"/>
    <cellStyle name="Currency 4 3 5 5" xfId="18960" xr:uid="{00000000-0005-0000-0000-0000114A0000}"/>
    <cellStyle name="Currency 4 3 6" xfId="18961" xr:uid="{00000000-0005-0000-0000-0000124A0000}"/>
    <cellStyle name="Currency 4 3 6 2" xfId="18962" xr:uid="{00000000-0005-0000-0000-0000134A0000}"/>
    <cellStyle name="Currency 4 3 7" xfId="18963" xr:uid="{00000000-0005-0000-0000-0000144A0000}"/>
    <cellStyle name="Currency 4 3 8" xfId="18964" xr:uid="{00000000-0005-0000-0000-0000154A0000}"/>
    <cellStyle name="Currency 4 3 9" xfId="18965" xr:uid="{00000000-0005-0000-0000-0000164A0000}"/>
    <cellStyle name="Currency 4 4" xfId="18966" xr:uid="{00000000-0005-0000-0000-0000174A0000}"/>
    <cellStyle name="Currency 4 4 10" xfId="18967" xr:uid="{00000000-0005-0000-0000-0000184A0000}"/>
    <cellStyle name="Currency 4 4 2" xfId="18968" xr:uid="{00000000-0005-0000-0000-0000194A0000}"/>
    <cellStyle name="Currency 4 4 2 2" xfId="18969" xr:uid="{00000000-0005-0000-0000-00001A4A0000}"/>
    <cellStyle name="Currency 4 4 2 2 2" xfId="18970" xr:uid="{00000000-0005-0000-0000-00001B4A0000}"/>
    <cellStyle name="Currency 4 4 2 2 2 2" xfId="18971" xr:uid="{00000000-0005-0000-0000-00001C4A0000}"/>
    <cellStyle name="Currency 4 4 2 2 2 3" xfId="18972" xr:uid="{00000000-0005-0000-0000-00001D4A0000}"/>
    <cellStyle name="Currency 4 4 2 2 3" xfId="18973" xr:uid="{00000000-0005-0000-0000-00001E4A0000}"/>
    <cellStyle name="Currency 4 4 2 2 4" xfId="18974" xr:uid="{00000000-0005-0000-0000-00001F4A0000}"/>
    <cellStyle name="Currency 4 4 2 2 5" xfId="18975" xr:uid="{00000000-0005-0000-0000-0000204A0000}"/>
    <cellStyle name="Currency 4 4 2 2 6" xfId="18976" xr:uid="{00000000-0005-0000-0000-0000214A0000}"/>
    <cellStyle name="Currency 4 4 2 3" xfId="18977" xr:uid="{00000000-0005-0000-0000-0000224A0000}"/>
    <cellStyle name="Currency 4 4 2 3 2" xfId="18978" xr:uid="{00000000-0005-0000-0000-0000234A0000}"/>
    <cellStyle name="Currency 4 4 2 3 2 2" xfId="18979" xr:uid="{00000000-0005-0000-0000-0000244A0000}"/>
    <cellStyle name="Currency 4 4 2 3 3" xfId="18980" xr:uid="{00000000-0005-0000-0000-0000254A0000}"/>
    <cellStyle name="Currency 4 4 2 3 4" xfId="18981" xr:uid="{00000000-0005-0000-0000-0000264A0000}"/>
    <cellStyle name="Currency 4 4 2 3 5" xfId="18982" xr:uid="{00000000-0005-0000-0000-0000274A0000}"/>
    <cellStyle name="Currency 4 4 2 4" xfId="18983" xr:uid="{00000000-0005-0000-0000-0000284A0000}"/>
    <cellStyle name="Currency 4 4 2 4 2" xfId="18984" xr:uid="{00000000-0005-0000-0000-0000294A0000}"/>
    <cellStyle name="Currency 4 4 2 4 3" xfId="18985" xr:uid="{00000000-0005-0000-0000-00002A4A0000}"/>
    <cellStyle name="Currency 4 4 2 4 4" xfId="18986" xr:uid="{00000000-0005-0000-0000-00002B4A0000}"/>
    <cellStyle name="Currency 4 4 2 5" xfId="18987" xr:uid="{00000000-0005-0000-0000-00002C4A0000}"/>
    <cellStyle name="Currency 4 4 2 5 2" xfId="18988" xr:uid="{00000000-0005-0000-0000-00002D4A0000}"/>
    <cellStyle name="Currency 4 4 2 6" xfId="18989" xr:uid="{00000000-0005-0000-0000-00002E4A0000}"/>
    <cellStyle name="Currency 4 4 2 7" xfId="18990" xr:uid="{00000000-0005-0000-0000-00002F4A0000}"/>
    <cellStyle name="Currency 4 4 2 8" xfId="18991" xr:uid="{00000000-0005-0000-0000-0000304A0000}"/>
    <cellStyle name="Currency 4 4 2 9" xfId="18992" xr:uid="{00000000-0005-0000-0000-0000314A0000}"/>
    <cellStyle name="Currency 4 4 3" xfId="18993" xr:uid="{00000000-0005-0000-0000-0000324A0000}"/>
    <cellStyle name="Currency 4 4 3 2" xfId="18994" xr:uid="{00000000-0005-0000-0000-0000334A0000}"/>
    <cellStyle name="Currency 4 4 3 2 2" xfId="18995" xr:uid="{00000000-0005-0000-0000-0000344A0000}"/>
    <cellStyle name="Currency 4 4 3 2 3" xfId="18996" xr:uid="{00000000-0005-0000-0000-0000354A0000}"/>
    <cellStyle name="Currency 4 4 3 3" xfId="18997" xr:uid="{00000000-0005-0000-0000-0000364A0000}"/>
    <cellStyle name="Currency 4 4 3 4" xfId="18998" xr:uid="{00000000-0005-0000-0000-0000374A0000}"/>
    <cellStyle name="Currency 4 4 3 5" xfId="18999" xr:uid="{00000000-0005-0000-0000-0000384A0000}"/>
    <cellStyle name="Currency 4 4 3 6" xfId="19000" xr:uid="{00000000-0005-0000-0000-0000394A0000}"/>
    <cellStyle name="Currency 4 4 4" xfId="19001" xr:uid="{00000000-0005-0000-0000-00003A4A0000}"/>
    <cellStyle name="Currency 4 4 4 2" xfId="19002" xr:uid="{00000000-0005-0000-0000-00003B4A0000}"/>
    <cellStyle name="Currency 4 4 4 2 2" xfId="19003" xr:uid="{00000000-0005-0000-0000-00003C4A0000}"/>
    <cellStyle name="Currency 4 4 4 3" xfId="19004" xr:uid="{00000000-0005-0000-0000-00003D4A0000}"/>
    <cellStyle name="Currency 4 4 4 4" xfId="19005" xr:uid="{00000000-0005-0000-0000-00003E4A0000}"/>
    <cellStyle name="Currency 4 4 4 5" xfId="19006" xr:uid="{00000000-0005-0000-0000-00003F4A0000}"/>
    <cellStyle name="Currency 4 4 5" xfId="19007" xr:uid="{00000000-0005-0000-0000-0000404A0000}"/>
    <cellStyle name="Currency 4 4 5 2" xfId="19008" xr:uid="{00000000-0005-0000-0000-0000414A0000}"/>
    <cellStyle name="Currency 4 4 5 2 2" xfId="19009" xr:uid="{00000000-0005-0000-0000-0000424A0000}"/>
    <cellStyle name="Currency 4 4 5 3" xfId="19010" xr:uid="{00000000-0005-0000-0000-0000434A0000}"/>
    <cellStyle name="Currency 4 4 5 4" xfId="19011" xr:uid="{00000000-0005-0000-0000-0000444A0000}"/>
    <cellStyle name="Currency 4 4 5 5" xfId="19012" xr:uid="{00000000-0005-0000-0000-0000454A0000}"/>
    <cellStyle name="Currency 4 4 6" xfId="19013" xr:uid="{00000000-0005-0000-0000-0000464A0000}"/>
    <cellStyle name="Currency 4 4 6 2" xfId="19014" xr:uid="{00000000-0005-0000-0000-0000474A0000}"/>
    <cellStyle name="Currency 4 4 7" xfId="19015" xr:uid="{00000000-0005-0000-0000-0000484A0000}"/>
    <cellStyle name="Currency 4 4 8" xfId="19016" xr:uid="{00000000-0005-0000-0000-0000494A0000}"/>
    <cellStyle name="Currency 4 4 9" xfId="19017" xr:uid="{00000000-0005-0000-0000-00004A4A0000}"/>
    <cellStyle name="Currency 4 5" xfId="19018" xr:uid="{00000000-0005-0000-0000-00004B4A0000}"/>
    <cellStyle name="Currency 4 5 10" xfId="19019" xr:uid="{00000000-0005-0000-0000-00004C4A0000}"/>
    <cellStyle name="Currency 4 5 2" xfId="19020" xr:uid="{00000000-0005-0000-0000-00004D4A0000}"/>
    <cellStyle name="Currency 4 5 2 2" xfId="19021" xr:uid="{00000000-0005-0000-0000-00004E4A0000}"/>
    <cellStyle name="Currency 4 5 2 2 2" xfId="19022" xr:uid="{00000000-0005-0000-0000-00004F4A0000}"/>
    <cellStyle name="Currency 4 5 2 2 2 2" xfId="19023" xr:uid="{00000000-0005-0000-0000-0000504A0000}"/>
    <cellStyle name="Currency 4 5 2 2 2 3" xfId="19024" xr:uid="{00000000-0005-0000-0000-0000514A0000}"/>
    <cellStyle name="Currency 4 5 2 2 3" xfId="19025" xr:uid="{00000000-0005-0000-0000-0000524A0000}"/>
    <cellStyle name="Currency 4 5 2 2 4" xfId="19026" xr:uid="{00000000-0005-0000-0000-0000534A0000}"/>
    <cellStyle name="Currency 4 5 2 2 5" xfId="19027" xr:uid="{00000000-0005-0000-0000-0000544A0000}"/>
    <cellStyle name="Currency 4 5 2 2 6" xfId="19028" xr:uid="{00000000-0005-0000-0000-0000554A0000}"/>
    <cellStyle name="Currency 4 5 2 3" xfId="19029" xr:uid="{00000000-0005-0000-0000-0000564A0000}"/>
    <cellStyle name="Currency 4 5 2 3 2" xfId="19030" xr:uid="{00000000-0005-0000-0000-0000574A0000}"/>
    <cellStyle name="Currency 4 5 2 3 2 2" xfId="19031" xr:uid="{00000000-0005-0000-0000-0000584A0000}"/>
    <cellStyle name="Currency 4 5 2 3 3" xfId="19032" xr:uid="{00000000-0005-0000-0000-0000594A0000}"/>
    <cellStyle name="Currency 4 5 2 3 4" xfId="19033" xr:uid="{00000000-0005-0000-0000-00005A4A0000}"/>
    <cellStyle name="Currency 4 5 2 3 5" xfId="19034" xr:uid="{00000000-0005-0000-0000-00005B4A0000}"/>
    <cellStyle name="Currency 4 5 2 4" xfId="19035" xr:uid="{00000000-0005-0000-0000-00005C4A0000}"/>
    <cellStyle name="Currency 4 5 2 4 2" xfId="19036" xr:uid="{00000000-0005-0000-0000-00005D4A0000}"/>
    <cellStyle name="Currency 4 5 2 4 3" xfId="19037" xr:uid="{00000000-0005-0000-0000-00005E4A0000}"/>
    <cellStyle name="Currency 4 5 2 4 4" xfId="19038" xr:uid="{00000000-0005-0000-0000-00005F4A0000}"/>
    <cellStyle name="Currency 4 5 2 5" xfId="19039" xr:uid="{00000000-0005-0000-0000-0000604A0000}"/>
    <cellStyle name="Currency 4 5 2 5 2" xfId="19040" xr:uid="{00000000-0005-0000-0000-0000614A0000}"/>
    <cellStyle name="Currency 4 5 2 6" xfId="19041" xr:uid="{00000000-0005-0000-0000-0000624A0000}"/>
    <cellStyle name="Currency 4 5 2 7" xfId="19042" xr:uid="{00000000-0005-0000-0000-0000634A0000}"/>
    <cellStyle name="Currency 4 5 2 8" xfId="19043" xr:uid="{00000000-0005-0000-0000-0000644A0000}"/>
    <cellStyle name="Currency 4 5 2 9" xfId="19044" xr:uid="{00000000-0005-0000-0000-0000654A0000}"/>
    <cellStyle name="Currency 4 5 3" xfId="19045" xr:uid="{00000000-0005-0000-0000-0000664A0000}"/>
    <cellStyle name="Currency 4 5 3 2" xfId="19046" xr:uid="{00000000-0005-0000-0000-0000674A0000}"/>
    <cellStyle name="Currency 4 5 3 2 2" xfId="19047" xr:uid="{00000000-0005-0000-0000-0000684A0000}"/>
    <cellStyle name="Currency 4 5 3 2 3" xfId="19048" xr:uid="{00000000-0005-0000-0000-0000694A0000}"/>
    <cellStyle name="Currency 4 5 3 3" xfId="19049" xr:uid="{00000000-0005-0000-0000-00006A4A0000}"/>
    <cellStyle name="Currency 4 5 3 4" xfId="19050" xr:uid="{00000000-0005-0000-0000-00006B4A0000}"/>
    <cellStyle name="Currency 4 5 3 5" xfId="19051" xr:uid="{00000000-0005-0000-0000-00006C4A0000}"/>
    <cellStyle name="Currency 4 5 3 6" xfId="19052" xr:uid="{00000000-0005-0000-0000-00006D4A0000}"/>
    <cellStyle name="Currency 4 5 4" xfId="19053" xr:uid="{00000000-0005-0000-0000-00006E4A0000}"/>
    <cellStyle name="Currency 4 5 4 2" xfId="19054" xr:uid="{00000000-0005-0000-0000-00006F4A0000}"/>
    <cellStyle name="Currency 4 5 4 2 2" xfId="19055" xr:uid="{00000000-0005-0000-0000-0000704A0000}"/>
    <cellStyle name="Currency 4 5 4 3" xfId="19056" xr:uid="{00000000-0005-0000-0000-0000714A0000}"/>
    <cellStyle name="Currency 4 5 4 4" xfId="19057" xr:uid="{00000000-0005-0000-0000-0000724A0000}"/>
    <cellStyle name="Currency 4 5 4 5" xfId="19058" xr:uid="{00000000-0005-0000-0000-0000734A0000}"/>
    <cellStyle name="Currency 4 5 5" xfId="19059" xr:uid="{00000000-0005-0000-0000-0000744A0000}"/>
    <cellStyle name="Currency 4 5 5 2" xfId="19060" xr:uid="{00000000-0005-0000-0000-0000754A0000}"/>
    <cellStyle name="Currency 4 5 5 2 2" xfId="19061" xr:uid="{00000000-0005-0000-0000-0000764A0000}"/>
    <cellStyle name="Currency 4 5 5 3" xfId="19062" xr:uid="{00000000-0005-0000-0000-0000774A0000}"/>
    <cellStyle name="Currency 4 5 5 4" xfId="19063" xr:uid="{00000000-0005-0000-0000-0000784A0000}"/>
    <cellStyle name="Currency 4 5 5 5" xfId="19064" xr:uid="{00000000-0005-0000-0000-0000794A0000}"/>
    <cellStyle name="Currency 4 5 6" xfId="19065" xr:uid="{00000000-0005-0000-0000-00007A4A0000}"/>
    <cellStyle name="Currency 4 5 6 2" xfId="19066" xr:uid="{00000000-0005-0000-0000-00007B4A0000}"/>
    <cellStyle name="Currency 4 5 7" xfId="19067" xr:uid="{00000000-0005-0000-0000-00007C4A0000}"/>
    <cellStyle name="Currency 4 5 8" xfId="19068" xr:uid="{00000000-0005-0000-0000-00007D4A0000}"/>
    <cellStyle name="Currency 4 5 9" xfId="19069" xr:uid="{00000000-0005-0000-0000-00007E4A0000}"/>
    <cellStyle name="Currency 4 6" xfId="19070" xr:uid="{00000000-0005-0000-0000-00007F4A0000}"/>
    <cellStyle name="Currency 4 6 10" xfId="19071" xr:uid="{00000000-0005-0000-0000-0000804A0000}"/>
    <cellStyle name="Currency 4 6 2" xfId="19072" xr:uid="{00000000-0005-0000-0000-0000814A0000}"/>
    <cellStyle name="Currency 4 6 2 2" xfId="19073" xr:uid="{00000000-0005-0000-0000-0000824A0000}"/>
    <cellStyle name="Currency 4 6 2 2 2" xfId="19074" xr:uid="{00000000-0005-0000-0000-0000834A0000}"/>
    <cellStyle name="Currency 4 6 2 2 2 2" xfId="19075" xr:uid="{00000000-0005-0000-0000-0000844A0000}"/>
    <cellStyle name="Currency 4 6 2 2 2 3" xfId="19076" xr:uid="{00000000-0005-0000-0000-0000854A0000}"/>
    <cellStyle name="Currency 4 6 2 2 3" xfId="19077" xr:uid="{00000000-0005-0000-0000-0000864A0000}"/>
    <cellStyle name="Currency 4 6 2 2 4" xfId="19078" xr:uid="{00000000-0005-0000-0000-0000874A0000}"/>
    <cellStyle name="Currency 4 6 2 2 5" xfId="19079" xr:uid="{00000000-0005-0000-0000-0000884A0000}"/>
    <cellStyle name="Currency 4 6 2 2 6" xfId="19080" xr:uid="{00000000-0005-0000-0000-0000894A0000}"/>
    <cellStyle name="Currency 4 6 2 3" xfId="19081" xr:uid="{00000000-0005-0000-0000-00008A4A0000}"/>
    <cellStyle name="Currency 4 6 2 3 2" xfId="19082" xr:uid="{00000000-0005-0000-0000-00008B4A0000}"/>
    <cellStyle name="Currency 4 6 2 3 2 2" xfId="19083" xr:uid="{00000000-0005-0000-0000-00008C4A0000}"/>
    <cellStyle name="Currency 4 6 2 3 3" xfId="19084" xr:uid="{00000000-0005-0000-0000-00008D4A0000}"/>
    <cellStyle name="Currency 4 6 2 3 4" xfId="19085" xr:uid="{00000000-0005-0000-0000-00008E4A0000}"/>
    <cellStyle name="Currency 4 6 2 3 5" xfId="19086" xr:uid="{00000000-0005-0000-0000-00008F4A0000}"/>
    <cellStyle name="Currency 4 6 2 4" xfId="19087" xr:uid="{00000000-0005-0000-0000-0000904A0000}"/>
    <cellStyle name="Currency 4 6 2 4 2" xfId="19088" xr:uid="{00000000-0005-0000-0000-0000914A0000}"/>
    <cellStyle name="Currency 4 6 2 4 3" xfId="19089" xr:uid="{00000000-0005-0000-0000-0000924A0000}"/>
    <cellStyle name="Currency 4 6 2 4 4" xfId="19090" xr:uid="{00000000-0005-0000-0000-0000934A0000}"/>
    <cellStyle name="Currency 4 6 2 5" xfId="19091" xr:uid="{00000000-0005-0000-0000-0000944A0000}"/>
    <cellStyle name="Currency 4 6 2 5 2" xfId="19092" xr:uid="{00000000-0005-0000-0000-0000954A0000}"/>
    <cellStyle name="Currency 4 6 2 6" xfId="19093" xr:uid="{00000000-0005-0000-0000-0000964A0000}"/>
    <cellStyle name="Currency 4 6 2 7" xfId="19094" xr:uid="{00000000-0005-0000-0000-0000974A0000}"/>
    <cellStyle name="Currency 4 6 2 8" xfId="19095" xr:uid="{00000000-0005-0000-0000-0000984A0000}"/>
    <cellStyle name="Currency 4 6 2 9" xfId="19096" xr:uid="{00000000-0005-0000-0000-0000994A0000}"/>
    <cellStyle name="Currency 4 6 3" xfId="19097" xr:uid="{00000000-0005-0000-0000-00009A4A0000}"/>
    <cellStyle name="Currency 4 6 3 2" xfId="19098" xr:uid="{00000000-0005-0000-0000-00009B4A0000}"/>
    <cellStyle name="Currency 4 6 3 2 2" xfId="19099" xr:uid="{00000000-0005-0000-0000-00009C4A0000}"/>
    <cellStyle name="Currency 4 6 3 2 3" xfId="19100" xr:uid="{00000000-0005-0000-0000-00009D4A0000}"/>
    <cellStyle name="Currency 4 6 3 3" xfId="19101" xr:uid="{00000000-0005-0000-0000-00009E4A0000}"/>
    <cellStyle name="Currency 4 6 3 4" xfId="19102" xr:uid="{00000000-0005-0000-0000-00009F4A0000}"/>
    <cellStyle name="Currency 4 6 3 5" xfId="19103" xr:uid="{00000000-0005-0000-0000-0000A04A0000}"/>
    <cellStyle name="Currency 4 6 3 6" xfId="19104" xr:uid="{00000000-0005-0000-0000-0000A14A0000}"/>
    <cellStyle name="Currency 4 6 4" xfId="19105" xr:uid="{00000000-0005-0000-0000-0000A24A0000}"/>
    <cellStyle name="Currency 4 6 4 2" xfId="19106" xr:uid="{00000000-0005-0000-0000-0000A34A0000}"/>
    <cellStyle name="Currency 4 6 4 2 2" xfId="19107" xr:uid="{00000000-0005-0000-0000-0000A44A0000}"/>
    <cellStyle name="Currency 4 6 4 3" xfId="19108" xr:uid="{00000000-0005-0000-0000-0000A54A0000}"/>
    <cellStyle name="Currency 4 6 4 4" xfId="19109" xr:uid="{00000000-0005-0000-0000-0000A64A0000}"/>
    <cellStyle name="Currency 4 6 4 5" xfId="19110" xr:uid="{00000000-0005-0000-0000-0000A74A0000}"/>
    <cellStyle name="Currency 4 6 5" xfId="19111" xr:uid="{00000000-0005-0000-0000-0000A84A0000}"/>
    <cellStyle name="Currency 4 6 5 2" xfId="19112" xr:uid="{00000000-0005-0000-0000-0000A94A0000}"/>
    <cellStyle name="Currency 4 6 5 2 2" xfId="19113" xr:uid="{00000000-0005-0000-0000-0000AA4A0000}"/>
    <cellStyle name="Currency 4 6 5 3" xfId="19114" xr:uid="{00000000-0005-0000-0000-0000AB4A0000}"/>
    <cellStyle name="Currency 4 6 5 4" xfId="19115" xr:uid="{00000000-0005-0000-0000-0000AC4A0000}"/>
    <cellStyle name="Currency 4 6 5 5" xfId="19116" xr:uid="{00000000-0005-0000-0000-0000AD4A0000}"/>
    <cellStyle name="Currency 4 6 6" xfId="19117" xr:uid="{00000000-0005-0000-0000-0000AE4A0000}"/>
    <cellStyle name="Currency 4 6 6 2" xfId="19118" xr:uid="{00000000-0005-0000-0000-0000AF4A0000}"/>
    <cellStyle name="Currency 4 6 7" xfId="19119" xr:uid="{00000000-0005-0000-0000-0000B04A0000}"/>
    <cellStyle name="Currency 4 6 8" xfId="19120" xr:uid="{00000000-0005-0000-0000-0000B14A0000}"/>
    <cellStyle name="Currency 4 6 9" xfId="19121" xr:uid="{00000000-0005-0000-0000-0000B24A0000}"/>
    <cellStyle name="Currency 4 7" xfId="19122" xr:uid="{00000000-0005-0000-0000-0000B34A0000}"/>
    <cellStyle name="Currency 4 7 10" xfId="19123" xr:uid="{00000000-0005-0000-0000-0000B44A0000}"/>
    <cellStyle name="Currency 4 7 2" xfId="19124" xr:uid="{00000000-0005-0000-0000-0000B54A0000}"/>
    <cellStyle name="Currency 4 7 2 2" xfId="19125" xr:uid="{00000000-0005-0000-0000-0000B64A0000}"/>
    <cellStyle name="Currency 4 7 2 2 2" xfId="19126" xr:uid="{00000000-0005-0000-0000-0000B74A0000}"/>
    <cellStyle name="Currency 4 7 2 2 2 2" xfId="19127" xr:uid="{00000000-0005-0000-0000-0000B84A0000}"/>
    <cellStyle name="Currency 4 7 2 2 2 3" xfId="19128" xr:uid="{00000000-0005-0000-0000-0000B94A0000}"/>
    <cellStyle name="Currency 4 7 2 2 3" xfId="19129" xr:uid="{00000000-0005-0000-0000-0000BA4A0000}"/>
    <cellStyle name="Currency 4 7 2 2 4" xfId="19130" xr:uid="{00000000-0005-0000-0000-0000BB4A0000}"/>
    <cellStyle name="Currency 4 7 2 2 5" xfId="19131" xr:uid="{00000000-0005-0000-0000-0000BC4A0000}"/>
    <cellStyle name="Currency 4 7 2 2 6" xfId="19132" xr:uid="{00000000-0005-0000-0000-0000BD4A0000}"/>
    <cellStyle name="Currency 4 7 2 3" xfId="19133" xr:uid="{00000000-0005-0000-0000-0000BE4A0000}"/>
    <cellStyle name="Currency 4 7 2 3 2" xfId="19134" xr:uid="{00000000-0005-0000-0000-0000BF4A0000}"/>
    <cellStyle name="Currency 4 7 2 3 2 2" xfId="19135" xr:uid="{00000000-0005-0000-0000-0000C04A0000}"/>
    <cellStyle name="Currency 4 7 2 3 3" xfId="19136" xr:uid="{00000000-0005-0000-0000-0000C14A0000}"/>
    <cellStyle name="Currency 4 7 2 3 4" xfId="19137" xr:uid="{00000000-0005-0000-0000-0000C24A0000}"/>
    <cellStyle name="Currency 4 7 2 3 5" xfId="19138" xr:uid="{00000000-0005-0000-0000-0000C34A0000}"/>
    <cellStyle name="Currency 4 7 2 4" xfId="19139" xr:uid="{00000000-0005-0000-0000-0000C44A0000}"/>
    <cellStyle name="Currency 4 7 2 4 2" xfId="19140" xr:uid="{00000000-0005-0000-0000-0000C54A0000}"/>
    <cellStyle name="Currency 4 7 2 4 3" xfId="19141" xr:uid="{00000000-0005-0000-0000-0000C64A0000}"/>
    <cellStyle name="Currency 4 7 2 4 4" xfId="19142" xr:uid="{00000000-0005-0000-0000-0000C74A0000}"/>
    <cellStyle name="Currency 4 7 2 5" xfId="19143" xr:uid="{00000000-0005-0000-0000-0000C84A0000}"/>
    <cellStyle name="Currency 4 7 2 5 2" xfId="19144" xr:uid="{00000000-0005-0000-0000-0000C94A0000}"/>
    <cellStyle name="Currency 4 7 2 6" xfId="19145" xr:uid="{00000000-0005-0000-0000-0000CA4A0000}"/>
    <cellStyle name="Currency 4 7 2 7" xfId="19146" xr:uid="{00000000-0005-0000-0000-0000CB4A0000}"/>
    <cellStyle name="Currency 4 7 2 8" xfId="19147" xr:uid="{00000000-0005-0000-0000-0000CC4A0000}"/>
    <cellStyle name="Currency 4 7 2 9" xfId="19148" xr:uid="{00000000-0005-0000-0000-0000CD4A0000}"/>
    <cellStyle name="Currency 4 7 3" xfId="19149" xr:uid="{00000000-0005-0000-0000-0000CE4A0000}"/>
    <cellStyle name="Currency 4 7 3 2" xfId="19150" xr:uid="{00000000-0005-0000-0000-0000CF4A0000}"/>
    <cellStyle name="Currency 4 7 3 2 2" xfId="19151" xr:uid="{00000000-0005-0000-0000-0000D04A0000}"/>
    <cellStyle name="Currency 4 7 3 2 3" xfId="19152" xr:uid="{00000000-0005-0000-0000-0000D14A0000}"/>
    <cellStyle name="Currency 4 7 3 3" xfId="19153" xr:uid="{00000000-0005-0000-0000-0000D24A0000}"/>
    <cellStyle name="Currency 4 7 3 4" xfId="19154" xr:uid="{00000000-0005-0000-0000-0000D34A0000}"/>
    <cellStyle name="Currency 4 7 3 5" xfId="19155" xr:uid="{00000000-0005-0000-0000-0000D44A0000}"/>
    <cellStyle name="Currency 4 7 3 6" xfId="19156" xr:uid="{00000000-0005-0000-0000-0000D54A0000}"/>
    <cellStyle name="Currency 4 7 4" xfId="19157" xr:uid="{00000000-0005-0000-0000-0000D64A0000}"/>
    <cellStyle name="Currency 4 7 4 2" xfId="19158" xr:uid="{00000000-0005-0000-0000-0000D74A0000}"/>
    <cellStyle name="Currency 4 7 4 2 2" xfId="19159" xr:uid="{00000000-0005-0000-0000-0000D84A0000}"/>
    <cellStyle name="Currency 4 7 4 3" xfId="19160" xr:uid="{00000000-0005-0000-0000-0000D94A0000}"/>
    <cellStyle name="Currency 4 7 4 4" xfId="19161" xr:uid="{00000000-0005-0000-0000-0000DA4A0000}"/>
    <cellStyle name="Currency 4 7 4 5" xfId="19162" xr:uid="{00000000-0005-0000-0000-0000DB4A0000}"/>
    <cellStyle name="Currency 4 7 5" xfId="19163" xr:uid="{00000000-0005-0000-0000-0000DC4A0000}"/>
    <cellStyle name="Currency 4 7 5 2" xfId="19164" xr:uid="{00000000-0005-0000-0000-0000DD4A0000}"/>
    <cellStyle name="Currency 4 7 5 2 2" xfId="19165" xr:uid="{00000000-0005-0000-0000-0000DE4A0000}"/>
    <cellStyle name="Currency 4 7 5 3" xfId="19166" xr:uid="{00000000-0005-0000-0000-0000DF4A0000}"/>
    <cellStyle name="Currency 4 7 5 4" xfId="19167" xr:uid="{00000000-0005-0000-0000-0000E04A0000}"/>
    <cellStyle name="Currency 4 7 5 5" xfId="19168" xr:uid="{00000000-0005-0000-0000-0000E14A0000}"/>
    <cellStyle name="Currency 4 7 6" xfId="19169" xr:uid="{00000000-0005-0000-0000-0000E24A0000}"/>
    <cellStyle name="Currency 4 7 6 2" xfId="19170" xr:uid="{00000000-0005-0000-0000-0000E34A0000}"/>
    <cellStyle name="Currency 4 7 7" xfId="19171" xr:uid="{00000000-0005-0000-0000-0000E44A0000}"/>
    <cellStyle name="Currency 4 7 8" xfId="19172" xr:uid="{00000000-0005-0000-0000-0000E54A0000}"/>
    <cellStyle name="Currency 4 7 9" xfId="19173" xr:uid="{00000000-0005-0000-0000-0000E64A0000}"/>
    <cellStyle name="Currency 4 8" xfId="19174" xr:uid="{00000000-0005-0000-0000-0000E74A0000}"/>
    <cellStyle name="Currency 4 8 10" xfId="19175" xr:uid="{00000000-0005-0000-0000-0000E84A0000}"/>
    <cellStyle name="Currency 4 8 2" xfId="19176" xr:uid="{00000000-0005-0000-0000-0000E94A0000}"/>
    <cellStyle name="Currency 4 8 2 2" xfId="19177" xr:uid="{00000000-0005-0000-0000-0000EA4A0000}"/>
    <cellStyle name="Currency 4 8 2 2 2" xfId="19178" xr:uid="{00000000-0005-0000-0000-0000EB4A0000}"/>
    <cellStyle name="Currency 4 8 2 2 2 2" xfId="19179" xr:uid="{00000000-0005-0000-0000-0000EC4A0000}"/>
    <cellStyle name="Currency 4 8 2 2 2 3" xfId="19180" xr:uid="{00000000-0005-0000-0000-0000ED4A0000}"/>
    <cellStyle name="Currency 4 8 2 2 3" xfId="19181" xr:uid="{00000000-0005-0000-0000-0000EE4A0000}"/>
    <cellStyle name="Currency 4 8 2 2 4" xfId="19182" xr:uid="{00000000-0005-0000-0000-0000EF4A0000}"/>
    <cellStyle name="Currency 4 8 2 2 5" xfId="19183" xr:uid="{00000000-0005-0000-0000-0000F04A0000}"/>
    <cellStyle name="Currency 4 8 2 2 6" xfId="19184" xr:uid="{00000000-0005-0000-0000-0000F14A0000}"/>
    <cellStyle name="Currency 4 8 2 3" xfId="19185" xr:uid="{00000000-0005-0000-0000-0000F24A0000}"/>
    <cellStyle name="Currency 4 8 2 3 2" xfId="19186" xr:uid="{00000000-0005-0000-0000-0000F34A0000}"/>
    <cellStyle name="Currency 4 8 2 3 2 2" xfId="19187" xr:uid="{00000000-0005-0000-0000-0000F44A0000}"/>
    <cellStyle name="Currency 4 8 2 3 3" xfId="19188" xr:uid="{00000000-0005-0000-0000-0000F54A0000}"/>
    <cellStyle name="Currency 4 8 2 3 4" xfId="19189" xr:uid="{00000000-0005-0000-0000-0000F64A0000}"/>
    <cellStyle name="Currency 4 8 2 3 5" xfId="19190" xr:uid="{00000000-0005-0000-0000-0000F74A0000}"/>
    <cellStyle name="Currency 4 8 2 4" xfId="19191" xr:uid="{00000000-0005-0000-0000-0000F84A0000}"/>
    <cellStyle name="Currency 4 8 2 4 2" xfId="19192" xr:uid="{00000000-0005-0000-0000-0000F94A0000}"/>
    <cellStyle name="Currency 4 8 2 4 3" xfId="19193" xr:uid="{00000000-0005-0000-0000-0000FA4A0000}"/>
    <cellStyle name="Currency 4 8 2 4 4" xfId="19194" xr:uid="{00000000-0005-0000-0000-0000FB4A0000}"/>
    <cellStyle name="Currency 4 8 2 5" xfId="19195" xr:uid="{00000000-0005-0000-0000-0000FC4A0000}"/>
    <cellStyle name="Currency 4 8 2 5 2" xfId="19196" xr:uid="{00000000-0005-0000-0000-0000FD4A0000}"/>
    <cellStyle name="Currency 4 8 2 6" xfId="19197" xr:uid="{00000000-0005-0000-0000-0000FE4A0000}"/>
    <cellStyle name="Currency 4 8 2 7" xfId="19198" xr:uid="{00000000-0005-0000-0000-0000FF4A0000}"/>
    <cellStyle name="Currency 4 8 2 8" xfId="19199" xr:uid="{00000000-0005-0000-0000-0000004B0000}"/>
    <cellStyle name="Currency 4 8 2 9" xfId="19200" xr:uid="{00000000-0005-0000-0000-0000014B0000}"/>
    <cellStyle name="Currency 4 8 3" xfId="19201" xr:uid="{00000000-0005-0000-0000-0000024B0000}"/>
    <cellStyle name="Currency 4 8 3 2" xfId="19202" xr:uid="{00000000-0005-0000-0000-0000034B0000}"/>
    <cellStyle name="Currency 4 8 3 2 2" xfId="19203" xr:uid="{00000000-0005-0000-0000-0000044B0000}"/>
    <cellStyle name="Currency 4 8 3 2 3" xfId="19204" xr:uid="{00000000-0005-0000-0000-0000054B0000}"/>
    <cellStyle name="Currency 4 8 3 3" xfId="19205" xr:uid="{00000000-0005-0000-0000-0000064B0000}"/>
    <cellStyle name="Currency 4 8 3 4" xfId="19206" xr:uid="{00000000-0005-0000-0000-0000074B0000}"/>
    <cellStyle name="Currency 4 8 3 5" xfId="19207" xr:uid="{00000000-0005-0000-0000-0000084B0000}"/>
    <cellStyle name="Currency 4 8 3 6" xfId="19208" xr:uid="{00000000-0005-0000-0000-0000094B0000}"/>
    <cellStyle name="Currency 4 8 4" xfId="19209" xr:uid="{00000000-0005-0000-0000-00000A4B0000}"/>
    <cellStyle name="Currency 4 8 4 2" xfId="19210" xr:uid="{00000000-0005-0000-0000-00000B4B0000}"/>
    <cellStyle name="Currency 4 8 4 2 2" xfId="19211" xr:uid="{00000000-0005-0000-0000-00000C4B0000}"/>
    <cellStyle name="Currency 4 8 4 3" xfId="19212" xr:uid="{00000000-0005-0000-0000-00000D4B0000}"/>
    <cellStyle name="Currency 4 8 4 4" xfId="19213" xr:uid="{00000000-0005-0000-0000-00000E4B0000}"/>
    <cellStyle name="Currency 4 8 4 5" xfId="19214" xr:uid="{00000000-0005-0000-0000-00000F4B0000}"/>
    <cellStyle name="Currency 4 8 5" xfId="19215" xr:uid="{00000000-0005-0000-0000-0000104B0000}"/>
    <cellStyle name="Currency 4 8 5 2" xfId="19216" xr:uid="{00000000-0005-0000-0000-0000114B0000}"/>
    <cellStyle name="Currency 4 8 5 2 2" xfId="19217" xr:uid="{00000000-0005-0000-0000-0000124B0000}"/>
    <cellStyle name="Currency 4 8 5 3" xfId="19218" xr:uid="{00000000-0005-0000-0000-0000134B0000}"/>
    <cellStyle name="Currency 4 8 5 4" xfId="19219" xr:uid="{00000000-0005-0000-0000-0000144B0000}"/>
    <cellStyle name="Currency 4 8 5 5" xfId="19220" xr:uid="{00000000-0005-0000-0000-0000154B0000}"/>
    <cellStyle name="Currency 4 8 6" xfId="19221" xr:uid="{00000000-0005-0000-0000-0000164B0000}"/>
    <cellStyle name="Currency 4 8 6 2" xfId="19222" xr:uid="{00000000-0005-0000-0000-0000174B0000}"/>
    <cellStyle name="Currency 4 8 7" xfId="19223" xr:uid="{00000000-0005-0000-0000-0000184B0000}"/>
    <cellStyle name="Currency 4 8 8" xfId="19224" xr:uid="{00000000-0005-0000-0000-0000194B0000}"/>
    <cellStyle name="Currency 4 8 9" xfId="19225" xr:uid="{00000000-0005-0000-0000-00001A4B0000}"/>
    <cellStyle name="Currency 4 9" xfId="19226" xr:uid="{00000000-0005-0000-0000-00001B4B0000}"/>
    <cellStyle name="Currency 4 9 2" xfId="19227" xr:uid="{00000000-0005-0000-0000-00001C4B0000}"/>
    <cellStyle name="Currency 4 9 2 2" xfId="19228" xr:uid="{00000000-0005-0000-0000-00001D4B0000}"/>
    <cellStyle name="Currency 4 9 2 2 2" xfId="19229" xr:uid="{00000000-0005-0000-0000-00001E4B0000}"/>
    <cellStyle name="Currency 4 9 2 2 3" xfId="19230" xr:uid="{00000000-0005-0000-0000-00001F4B0000}"/>
    <cellStyle name="Currency 4 9 2 3" xfId="19231" xr:uid="{00000000-0005-0000-0000-0000204B0000}"/>
    <cellStyle name="Currency 4 9 2 4" xfId="19232" xr:uid="{00000000-0005-0000-0000-0000214B0000}"/>
    <cellStyle name="Currency 4 9 2 5" xfId="19233" xr:uid="{00000000-0005-0000-0000-0000224B0000}"/>
    <cellStyle name="Currency 4 9 2 6" xfId="19234" xr:uid="{00000000-0005-0000-0000-0000234B0000}"/>
    <cellStyle name="Currency 4 9 3" xfId="19235" xr:uid="{00000000-0005-0000-0000-0000244B0000}"/>
    <cellStyle name="Currency 4 9 3 2" xfId="19236" xr:uid="{00000000-0005-0000-0000-0000254B0000}"/>
    <cellStyle name="Currency 4 9 3 2 2" xfId="19237" xr:uid="{00000000-0005-0000-0000-0000264B0000}"/>
    <cellStyle name="Currency 4 9 3 3" xfId="19238" xr:uid="{00000000-0005-0000-0000-0000274B0000}"/>
    <cellStyle name="Currency 4 9 3 4" xfId="19239" xr:uid="{00000000-0005-0000-0000-0000284B0000}"/>
    <cellStyle name="Currency 4 9 3 5" xfId="19240" xr:uid="{00000000-0005-0000-0000-0000294B0000}"/>
    <cellStyle name="Currency 4 9 4" xfId="19241" xr:uid="{00000000-0005-0000-0000-00002A4B0000}"/>
    <cellStyle name="Currency 4 9 4 2" xfId="19242" xr:uid="{00000000-0005-0000-0000-00002B4B0000}"/>
    <cellStyle name="Currency 4 9 4 3" xfId="19243" xr:uid="{00000000-0005-0000-0000-00002C4B0000}"/>
    <cellStyle name="Currency 4 9 4 4" xfId="19244" xr:uid="{00000000-0005-0000-0000-00002D4B0000}"/>
    <cellStyle name="Currency 4 9 5" xfId="19245" xr:uid="{00000000-0005-0000-0000-00002E4B0000}"/>
    <cellStyle name="Currency 4 9 5 2" xfId="19246" xr:uid="{00000000-0005-0000-0000-00002F4B0000}"/>
    <cellStyle name="Currency 4 9 6" xfId="19247" xr:uid="{00000000-0005-0000-0000-0000304B0000}"/>
    <cellStyle name="Currency 4 9 7" xfId="19248" xr:uid="{00000000-0005-0000-0000-0000314B0000}"/>
    <cellStyle name="Currency 4 9 8" xfId="19249" xr:uid="{00000000-0005-0000-0000-0000324B0000}"/>
    <cellStyle name="Currency 4 9 9" xfId="19250" xr:uid="{00000000-0005-0000-0000-0000334B0000}"/>
    <cellStyle name="Currency 5" xfId="19251" xr:uid="{00000000-0005-0000-0000-0000344B0000}"/>
    <cellStyle name="Currency 5 10" xfId="19252" xr:uid="{00000000-0005-0000-0000-0000354B0000}"/>
    <cellStyle name="Currency 5 2" xfId="19253" xr:uid="{00000000-0005-0000-0000-0000364B0000}"/>
    <cellStyle name="Currency 5 2 2" xfId="19254" xr:uid="{00000000-0005-0000-0000-0000374B0000}"/>
    <cellStyle name="Currency 5 2 2 2" xfId="19255" xr:uid="{00000000-0005-0000-0000-0000384B0000}"/>
    <cellStyle name="Currency 5 2 2 2 2" xfId="19256" xr:uid="{00000000-0005-0000-0000-0000394B0000}"/>
    <cellStyle name="Currency 5 2 2 2 3" xfId="19257" xr:uid="{00000000-0005-0000-0000-00003A4B0000}"/>
    <cellStyle name="Currency 5 2 2 3" xfId="19258" xr:uid="{00000000-0005-0000-0000-00003B4B0000}"/>
    <cellStyle name="Currency 5 2 2 4" xfId="19259" xr:uid="{00000000-0005-0000-0000-00003C4B0000}"/>
    <cellStyle name="Currency 5 2 2 5" xfId="19260" xr:uid="{00000000-0005-0000-0000-00003D4B0000}"/>
    <cellStyle name="Currency 5 2 2 6" xfId="19261" xr:uid="{00000000-0005-0000-0000-00003E4B0000}"/>
    <cellStyle name="Currency 5 2 3" xfId="19262" xr:uid="{00000000-0005-0000-0000-00003F4B0000}"/>
    <cellStyle name="Currency 5 2 3 2" xfId="19263" xr:uid="{00000000-0005-0000-0000-0000404B0000}"/>
    <cellStyle name="Currency 5 2 3 2 2" xfId="19264" xr:uid="{00000000-0005-0000-0000-0000414B0000}"/>
    <cellStyle name="Currency 5 2 3 3" xfId="19265" xr:uid="{00000000-0005-0000-0000-0000424B0000}"/>
    <cellStyle name="Currency 5 2 3 4" xfId="19266" xr:uid="{00000000-0005-0000-0000-0000434B0000}"/>
    <cellStyle name="Currency 5 2 3 5" xfId="19267" xr:uid="{00000000-0005-0000-0000-0000444B0000}"/>
    <cellStyle name="Currency 5 2 4" xfId="19268" xr:uid="{00000000-0005-0000-0000-0000454B0000}"/>
    <cellStyle name="Currency 5 2 4 2" xfId="19269" xr:uid="{00000000-0005-0000-0000-0000464B0000}"/>
    <cellStyle name="Currency 5 2 4 3" xfId="19270" xr:uid="{00000000-0005-0000-0000-0000474B0000}"/>
    <cellStyle name="Currency 5 2 4 4" xfId="19271" xr:uid="{00000000-0005-0000-0000-0000484B0000}"/>
    <cellStyle name="Currency 5 2 5" xfId="19272" xr:uid="{00000000-0005-0000-0000-0000494B0000}"/>
    <cellStyle name="Currency 5 2 5 2" xfId="19273" xr:uid="{00000000-0005-0000-0000-00004A4B0000}"/>
    <cellStyle name="Currency 5 2 6" xfId="19274" xr:uid="{00000000-0005-0000-0000-00004B4B0000}"/>
    <cellStyle name="Currency 5 2 7" xfId="19275" xr:uid="{00000000-0005-0000-0000-00004C4B0000}"/>
    <cellStyle name="Currency 5 2 8" xfId="19276" xr:uid="{00000000-0005-0000-0000-00004D4B0000}"/>
    <cellStyle name="Currency 5 2 9" xfId="19277" xr:uid="{00000000-0005-0000-0000-00004E4B0000}"/>
    <cellStyle name="Currency 5 3" xfId="19278" xr:uid="{00000000-0005-0000-0000-00004F4B0000}"/>
    <cellStyle name="Currency 5 3 2" xfId="19279" xr:uid="{00000000-0005-0000-0000-0000504B0000}"/>
    <cellStyle name="Currency 5 3 2 2" xfId="19280" xr:uid="{00000000-0005-0000-0000-0000514B0000}"/>
    <cellStyle name="Currency 5 3 2 3" xfId="19281" xr:uid="{00000000-0005-0000-0000-0000524B0000}"/>
    <cellStyle name="Currency 5 3 3" xfId="19282" xr:uid="{00000000-0005-0000-0000-0000534B0000}"/>
    <cellStyle name="Currency 5 3 4" xfId="19283" xr:uid="{00000000-0005-0000-0000-0000544B0000}"/>
    <cellStyle name="Currency 5 3 5" xfId="19284" xr:uid="{00000000-0005-0000-0000-0000554B0000}"/>
    <cellStyle name="Currency 5 3 6" xfId="19285" xr:uid="{00000000-0005-0000-0000-0000564B0000}"/>
    <cellStyle name="Currency 5 4" xfId="19286" xr:uid="{00000000-0005-0000-0000-0000574B0000}"/>
    <cellStyle name="Currency 5 4 2" xfId="19287" xr:uid="{00000000-0005-0000-0000-0000584B0000}"/>
    <cellStyle name="Currency 5 4 2 2" xfId="19288" xr:uid="{00000000-0005-0000-0000-0000594B0000}"/>
    <cellStyle name="Currency 5 4 3" xfId="19289" xr:uid="{00000000-0005-0000-0000-00005A4B0000}"/>
    <cellStyle name="Currency 5 4 4" xfId="19290" xr:uid="{00000000-0005-0000-0000-00005B4B0000}"/>
    <cellStyle name="Currency 5 4 5" xfId="19291" xr:uid="{00000000-0005-0000-0000-00005C4B0000}"/>
    <cellStyle name="Currency 5 5" xfId="19292" xr:uid="{00000000-0005-0000-0000-00005D4B0000}"/>
    <cellStyle name="Currency 5 5 2" xfId="19293" xr:uid="{00000000-0005-0000-0000-00005E4B0000}"/>
    <cellStyle name="Currency 5 5 3" xfId="19294" xr:uid="{00000000-0005-0000-0000-00005F4B0000}"/>
    <cellStyle name="Currency 5 5 4" xfId="19295" xr:uid="{00000000-0005-0000-0000-0000604B0000}"/>
    <cellStyle name="Currency 5 6" xfId="19296" xr:uid="{00000000-0005-0000-0000-0000614B0000}"/>
    <cellStyle name="Currency 5 6 2" xfId="19297" xr:uid="{00000000-0005-0000-0000-0000624B0000}"/>
    <cellStyle name="Currency 5 7" xfId="19298" xr:uid="{00000000-0005-0000-0000-0000634B0000}"/>
    <cellStyle name="Currency 5 8" xfId="19299" xr:uid="{00000000-0005-0000-0000-0000644B0000}"/>
    <cellStyle name="Currency 5 9" xfId="19300" xr:uid="{00000000-0005-0000-0000-0000654B0000}"/>
    <cellStyle name="Currency 6" xfId="19301" xr:uid="{00000000-0005-0000-0000-0000664B0000}"/>
    <cellStyle name="Currency 6 2" xfId="19302" xr:uid="{00000000-0005-0000-0000-0000674B0000}"/>
    <cellStyle name="Currency 6 2 2" xfId="19303" xr:uid="{00000000-0005-0000-0000-0000684B0000}"/>
    <cellStyle name="Currency 6 2 2 2" xfId="19304" xr:uid="{00000000-0005-0000-0000-0000694B0000}"/>
    <cellStyle name="Currency 6 2 2 3" xfId="19305" xr:uid="{00000000-0005-0000-0000-00006A4B0000}"/>
    <cellStyle name="Currency 6 2 3" xfId="19306" xr:uid="{00000000-0005-0000-0000-00006B4B0000}"/>
    <cellStyle name="Currency 6 2 4" xfId="19307" xr:uid="{00000000-0005-0000-0000-00006C4B0000}"/>
    <cellStyle name="Currency 6 2 5" xfId="19308" xr:uid="{00000000-0005-0000-0000-00006D4B0000}"/>
    <cellStyle name="Currency 6 2 6" xfId="19309" xr:uid="{00000000-0005-0000-0000-00006E4B0000}"/>
    <cellStyle name="Currency 6 3" xfId="19310" xr:uid="{00000000-0005-0000-0000-00006F4B0000}"/>
    <cellStyle name="Currency 6 3 2" xfId="19311" xr:uid="{00000000-0005-0000-0000-0000704B0000}"/>
    <cellStyle name="Currency 6 3 2 2" xfId="19312" xr:uid="{00000000-0005-0000-0000-0000714B0000}"/>
    <cellStyle name="Currency 6 3 3" xfId="19313" xr:uid="{00000000-0005-0000-0000-0000724B0000}"/>
    <cellStyle name="Currency 6 3 4" xfId="19314" xr:uid="{00000000-0005-0000-0000-0000734B0000}"/>
    <cellStyle name="Currency 6 3 5" xfId="19315" xr:uid="{00000000-0005-0000-0000-0000744B0000}"/>
    <cellStyle name="Currency 6 4" xfId="19316" xr:uid="{00000000-0005-0000-0000-0000754B0000}"/>
    <cellStyle name="Currency 6 4 2" xfId="19317" xr:uid="{00000000-0005-0000-0000-0000764B0000}"/>
    <cellStyle name="Currency 6 4 3" xfId="19318" xr:uid="{00000000-0005-0000-0000-0000774B0000}"/>
    <cellStyle name="Currency 6 4 4" xfId="19319" xr:uid="{00000000-0005-0000-0000-0000784B0000}"/>
    <cellStyle name="Currency 6 5" xfId="19320" xr:uid="{00000000-0005-0000-0000-0000794B0000}"/>
    <cellStyle name="Currency 6 5 2" xfId="19321" xr:uid="{00000000-0005-0000-0000-00007A4B0000}"/>
    <cellStyle name="Currency 6 6" xfId="19322" xr:uid="{00000000-0005-0000-0000-00007B4B0000}"/>
    <cellStyle name="Currency 6 7" xfId="19323" xr:uid="{00000000-0005-0000-0000-00007C4B0000}"/>
    <cellStyle name="Currency 6 8" xfId="19324" xr:uid="{00000000-0005-0000-0000-00007D4B0000}"/>
    <cellStyle name="Currency 6 9" xfId="19325" xr:uid="{00000000-0005-0000-0000-00007E4B0000}"/>
    <cellStyle name="Currency 7" xfId="19326" xr:uid="{00000000-0005-0000-0000-00007F4B0000}"/>
    <cellStyle name="Currency 7 2" xfId="19327" xr:uid="{00000000-0005-0000-0000-0000804B0000}"/>
    <cellStyle name="Currency 7 2 2" xfId="19328" xr:uid="{00000000-0005-0000-0000-0000814B0000}"/>
    <cellStyle name="Currency 7 2 2 2" xfId="19329" xr:uid="{00000000-0005-0000-0000-0000824B0000}"/>
    <cellStyle name="Currency 7 2 3" xfId="19330" xr:uid="{00000000-0005-0000-0000-0000834B0000}"/>
    <cellStyle name="Currency 7 2 4" xfId="19331" xr:uid="{00000000-0005-0000-0000-0000844B0000}"/>
    <cellStyle name="Currency 7 2 5" xfId="19332" xr:uid="{00000000-0005-0000-0000-0000854B0000}"/>
    <cellStyle name="Currency 7 3" xfId="19333" xr:uid="{00000000-0005-0000-0000-0000864B0000}"/>
    <cellStyle name="Currency 7 3 2" xfId="19334" xr:uid="{00000000-0005-0000-0000-0000874B0000}"/>
    <cellStyle name="Currency 7 3 3" xfId="19335" xr:uid="{00000000-0005-0000-0000-0000884B0000}"/>
    <cellStyle name="Currency 7 3 4" xfId="19336" xr:uid="{00000000-0005-0000-0000-0000894B0000}"/>
    <cellStyle name="Currency 7 4" xfId="19337" xr:uid="{00000000-0005-0000-0000-00008A4B0000}"/>
    <cellStyle name="Currency 7 4 2" xfId="19338" xr:uid="{00000000-0005-0000-0000-00008B4B0000}"/>
    <cellStyle name="Currency 7 5" xfId="19339" xr:uid="{00000000-0005-0000-0000-00008C4B0000}"/>
    <cellStyle name="Currency 7 6" xfId="19340" xr:uid="{00000000-0005-0000-0000-00008D4B0000}"/>
    <cellStyle name="Currency 7 7" xfId="19341" xr:uid="{00000000-0005-0000-0000-00008E4B0000}"/>
    <cellStyle name="Currency 7 8" xfId="19342" xr:uid="{00000000-0005-0000-0000-00008F4B0000}"/>
    <cellStyle name="Currency 8" xfId="19343" xr:uid="{00000000-0005-0000-0000-0000904B0000}"/>
    <cellStyle name="Currency 8 2" xfId="19344" xr:uid="{00000000-0005-0000-0000-0000914B0000}"/>
    <cellStyle name="Currency 8 2 2" xfId="19345" xr:uid="{00000000-0005-0000-0000-0000924B0000}"/>
    <cellStyle name="Currency 8 2 2 2" xfId="19346" xr:uid="{00000000-0005-0000-0000-0000934B0000}"/>
    <cellStyle name="Currency 8 2 3" xfId="19347" xr:uid="{00000000-0005-0000-0000-0000944B0000}"/>
    <cellStyle name="Currency 8 2 4" xfId="19348" xr:uid="{00000000-0005-0000-0000-0000954B0000}"/>
    <cellStyle name="Currency 8 2 5" xfId="19349" xr:uid="{00000000-0005-0000-0000-0000964B0000}"/>
    <cellStyle name="Currency 8 3" xfId="19350" xr:uid="{00000000-0005-0000-0000-0000974B0000}"/>
    <cellStyle name="Currency 8 3 2" xfId="19351" xr:uid="{00000000-0005-0000-0000-0000984B0000}"/>
    <cellStyle name="Currency 8 3 3" xfId="19352" xr:uid="{00000000-0005-0000-0000-0000994B0000}"/>
    <cellStyle name="Currency 8 3 4" xfId="19353" xr:uid="{00000000-0005-0000-0000-00009A4B0000}"/>
    <cellStyle name="Currency 8 4" xfId="19354" xr:uid="{00000000-0005-0000-0000-00009B4B0000}"/>
    <cellStyle name="Currency 8 4 2" xfId="19355" xr:uid="{00000000-0005-0000-0000-00009C4B0000}"/>
    <cellStyle name="Currency 8 5" xfId="19356" xr:uid="{00000000-0005-0000-0000-00009D4B0000}"/>
    <cellStyle name="Currency 8 6" xfId="19357" xr:uid="{00000000-0005-0000-0000-00009E4B0000}"/>
    <cellStyle name="Currency 8 7" xfId="19358" xr:uid="{00000000-0005-0000-0000-00009F4B0000}"/>
    <cellStyle name="Currency 8 8" xfId="19359" xr:uid="{00000000-0005-0000-0000-0000A04B0000}"/>
    <cellStyle name="Currency 9" xfId="19360" xr:uid="{00000000-0005-0000-0000-0000A14B0000}"/>
    <cellStyle name="Currency 9 2" xfId="19361" xr:uid="{00000000-0005-0000-0000-0000A24B0000}"/>
    <cellStyle name="Currency 9 2 2" xfId="19362" xr:uid="{00000000-0005-0000-0000-0000A34B0000}"/>
    <cellStyle name="Currency 9 2 3" xfId="19363" xr:uid="{00000000-0005-0000-0000-0000A44B0000}"/>
    <cellStyle name="Currency 9 2 4" xfId="19364" xr:uid="{00000000-0005-0000-0000-0000A54B0000}"/>
    <cellStyle name="Currency 9 3" xfId="19365" xr:uid="{00000000-0005-0000-0000-0000A64B0000}"/>
    <cellStyle name="Currency 9 3 2" xfId="19366" xr:uid="{00000000-0005-0000-0000-0000A74B0000}"/>
    <cellStyle name="Currency 9 4" xfId="19367" xr:uid="{00000000-0005-0000-0000-0000A84B0000}"/>
    <cellStyle name="Currency 9 5" xfId="19368" xr:uid="{00000000-0005-0000-0000-0000A94B0000}"/>
    <cellStyle name="Currency 9 6" xfId="19369" xr:uid="{00000000-0005-0000-0000-0000AA4B0000}"/>
    <cellStyle name="Currency0" xfId="19370" xr:uid="{00000000-0005-0000-0000-0000AB4B0000}"/>
    <cellStyle name="Date" xfId="19371" xr:uid="{00000000-0005-0000-0000-0000AC4B0000}"/>
    <cellStyle name="Fixed" xfId="19372" xr:uid="{00000000-0005-0000-0000-0000AD4B0000}"/>
    <cellStyle name="govt_labor" xfId="19373" xr:uid="{00000000-0005-0000-0000-0000AE4B0000}"/>
    <cellStyle name="Grey" xfId="19374" xr:uid="{00000000-0005-0000-0000-0000AF4B0000}"/>
    <cellStyle name="Heading 1 2" xfId="19375" xr:uid="{00000000-0005-0000-0000-0000B04B0000}"/>
    <cellStyle name="Heading 2 2" xfId="19376" xr:uid="{00000000-0005-0000-0000-0000B14B0000}"/>
    <cellStyle name="Heading1" xfId="19377" xr:uid="{00000000-0005-0000-0000-0000B24B0000}"/>
    <cellStyle name="Heading2" xfId="19378" xr:uid="{00000000-0005-0000-0000-0000B34B0000}"/>
    <cellStyle name="Hyperlink" xfId="42327" builtinId="8"/>
    <cellStyle name="Hyperlink 2" xfId="19379" xr:uid="{00000000-0005-0000-0000-0000B54B0000}"/>
    <cellStyle name="Input [yellow]" xfId="19380" xr:uid="{00000000-0005-0000-0000-0000B64B0000}"/>
    <cellStyle name="Normal" xfId="0" builtinId="0"/>
    <cellStyle name="Normal - Style1" xfId="19381" xr:uid="{00000000-0005-0000-0000-0000B84B0000}"/>
    <cellStyle name="Normal 10" xfId="19382" xr:uid="{00000000-0005-0000-0000-0000B94B0000}"/>
    <cellStyle name="Normal 10 2" xfId="19383" xr:uid="{00000000-0005-0000-0000-0000BA4B0000}"/>
    <cellStyle name="Normal 10 2 2" xfId="19384" xr:uid="{00000000-0005-0000-0000-0000BB4B0000}"/>
    <cellStyle name="Normal 10 3" xfId="19385" xr:uid="{00000000-0005-0000-0000-0000BC4B0000}"/>
    <cellStyle name="Normal 11" xfId="19386" xr:uid="{00000000-0005-0000-0000-0000BD4B0000}"/>
    <cellStyle name="Normal 11 2" xfId="19387" xr:uid="{00000000-0005-0000-0000-0000BE4B0000}"/>
    <cellStyle name="Normal 11 2 2" xfId="19388" xr:uid="{00000000-0005-0000-0000-0000BF4B0000}"/>
    <cellStyle name="Normal 11 3" xfId="19389" xr:uid="{00000000-0005-0000-0000-0000C04B0000}"/>
    <cellStyle name="Normal 11 4" xfId="19390" xr:uid="{00000000-0005-0000-0000-0000C14B0000}"/>
    <cellStyle name="Normal 11 5" xfId="19391" xr:uid="{00000000-0005-0000-0000-0000C24B0000}"/>
    <cellStyle name="Normal 12" xfId="19392" xr:uid="{00000000-0005-0000-0000-0000C34B0000}"/>
    <cellStyle name="Normal 12 10" xfId="19393" xr:uid="{00000000-0005-0000-0000-0000C44B0000}"/>
    <cellStyle name="Normal 12 2" xfId="19394" xr:uid="{00000000-0005-0000-0000-0000C54B0000}"/>
    <cellStyle name="Normal 12 2 2" xfId="19395" xr:uid="{00000000-0005-0000-0000-0000C64B0000}"/>
    <cellStyle name="Normal 12 2 2 2" xfId="19396" xr:uid="{00000000-0005-0000-0000-0000C74B0000}"/>
    <cellStyle name="Normal 12 2 2 2 2" xfId="19397" xr:uid="{00000000-0005-0000-0000-0000C84B0000}"/>
    <cellStyle name="Normal 12 2 2 2 3" xfId="19398" xr:uid="{00000000-0005-0000-0000-0000C94B0000}"/>
    <cellStyle name="Normal 12 2 2 3" xfId="19399" xr:uid="{00000000-0005-0000-0000-0000CA4B0000}"/>
    <cellStyle name="Normal 12 2 2 4" xfId="19400" xr:uid="{00000000-0005-0000-0000-0000CB4B0000}"/>
    <cellStyle name="Normal 12 2 2 5" xfId="19401" xr:uid="{00000000-0005-0000-0000-0000CC4B0000}"/>
    <cellStyle name="Normal 12 2 2 6" xfId="19402" xr:uid="{00000000-0005-0000-0000-0000CD4B0000}"/>
    <cellStyle name="Normal 12 2 3" xfId="19403" xr:uid="{00000000-0005-0000-0000-0000CE4B0000}"/>
    <cellStyle name="Normal 12 2 3 2" xfId="19404" xr:uid="{00000000-0005-0000-0000-0000CF4B0000}"/>
    <cellStyle name="Normal 12 2 3 2 2" xfId="19405" xr:uid="{00000000-0005-0000-0000-0000D04B0000}"/>
    <cellStyle name="Normal 12 2 3 3" xfId="19406" xr:uid="{00000000-0005-0000-0000-0000D14B0000}"/>
    <cellStyle name="Normal 12 2 3 4" xfId="19407" xr:uid="{00000000-0005-0000-0000-0000D24B0000}"/>
    <cellStyle name="Normal 12 2 3 5" xfId="19408" xr:uid="{00000000-0005-0000-0000-0000D34B0000}"/>
    <cellStyle name="Normal 12 2 4" xfId="19409" xr:uid="{00000000-0005-0000-0000-0000D44B0000}"/>
    <cellStyle name="Normal 12 2 4 2" xfId="19410" xr:uid="{00000000-0005-0000-0000-0000D54B0000}"/>
    <cellStyle name="Normal 12 2 4 3" xfId="19411" xr:uid="{00000000-0005-0000-0000-0000D64B0000}"/>
    <cellStyle name="Normal 12 2 4 4" xfId="19412" xr:uid="{00000000-0005-0000-0000-0000D74B0000}"/>
    <cellStyle name="Normal 12 2 5" xfId="19413" xr:uid="{00000000-0005-0000-0000-0000D84B0000}"/>
    <cellStyle name="Normal 12 2 5 2" xfId="19414" xr:uid="{00000000-0005-0000-0000-0000D94B0000}"/>
    <cellStyle name="Normal 12 2 6" xfId="19415" xr:uid="{00000000-0005-0000-0000-0000DA4B0000}"/>
    <cellStyle name="Normal 12 2 7" xfId="19416" xr:uid="{00000000-0005-0000-0000-0000DB4B0000}"/>
    <cellStyle name="Normal 12 2 8" xfId="19417" xr:uid="{00000000-0005-0000-0000-0000DC4B0000}"/>
    <cellStyle name="Normal 12 2 9" xfId="19418" xr:uid="{00000000-0005-0000-0000-0000DD4B0000}"/>
    <cellStyle name="Normal 12 3" xfId="19419" xr:uid="{00000000-0005-0000-0000-0000DE4B0000}"/>
    <cellStyle name="Normal 12 3 2" xfId="19420" xr:uid="{00000000-0005-0000-0000-0000DF4B0000}"/>
    <cellStyle name="Normal 12 3 2 2" xfId="19421" xr:uid="{00000000-0005-0000-0000-0000E04B0000}"/>
    <cellStyle name="Normal 12 3 2 3" xfId="19422" xr:uid="{00000000-0005-0000-0000-0000E14B0000}"/>
    <cellStyle name="Normal 12 3 3" xfId="19423" xr:uid="{00000000-0005-0000-0000-0000E24B0000}"/>
    <cellStyle name="Normal 12 3 4" xfId="19424" xr:uid="{00000000-0005-0000-0000-0000E34B0000}"/>
    <cellStyle name="Normal 12 3 5" xfId="19425" xr:uid="{00000000-0005-0000-0000-0000E44B0000}"/>
    <cellStyle name="Normal 12 3 6" xfId="19426" xr:uid="{00000000-0005-0000-0000-0000E54B0000}"/>
    <cellStyle name="Normal 12 4" xfId="19427" xr:uid="{00000000-0005-0000-0000-0000E64B0000}"/>
    <cellStyle name="Normal 12 4 2" xfId="19428" xr:uid="{00000000-0005-0000-0000-0000E74B0000}"/>
    <cellStyle name="Normal 12 4 2 2" xfId="19429" xr:uid="{00000000-0005-0000-0000-0000E84B0000}"/>
    <cellStyle name="Normal 12 4 3" xfId="19430" xr:uid="{00000000-0005-0000-0000-0000E94B0000}"/>
    <cellStyle name="Normal 12 4 4" xfId="19431" xr:uid="{00000000-0005-0000-0000-0000EA4B0000}"/>
    <cellStyle name="Normal 12 4 5" xfId="19432" xr:uid="{00000000-0005-0000-0000-0000EB4B0000}"/>
    <cellStyle name="Normal 12 5" xfId="19433" xr:uid="{00000000-0005-0000-0000-0000EC4B0000}"/>
    <cellStyle name="Normal 12 5 2" xfId="19434" xr:uid="{00000000-0005-0000-0000-0000ED4B0000}"/>
    <cellStyle name="Normal 12 5 2 2" xfId="19435" xr:uid="{00000000-0005-0000-0000-0000EE4B0000}"/>
    <cellStyle name="Normal 12 5 3" xfId="19436" xr:uid="{00000000-0005-0000-0000-0000EF4B0000}"/>
    <cellStyle name="Normal 12 5 4" xfId="19437" xr:uid="{00000000-0005-0000-0000-0000F04B0000}"/>
    <cellStyle name="Normal 12 5 5" xfId="19438" xr:uid="{00000000-0005-0000-0000-0000F14B0000}"/>
    <cellStyle name="Normal 12 6" xfId="19439" xr:uid="{00000000-0005-0000-0000-0000F24B0000}"/>
    <cellStyle name="Normal 12 6 2" xfId="19440" xr:uid="{00000000-0005-0000-0000-0000F34B0000}"/>
    <cellStyle name="Normal 12 7" xfId="19441" xr:uid="{00000000-0005-0000-0000-0000F44B0000}"/>
    <cellStyle name="Normal 12 8" xfId="19442" xr:uid="{00000000-0005-0000-0000-0000F54B0000}"/>
    <cellStyle name="Normal 12 9" xfId="19443" xr:uid="{00000000-0005-0000-0000-0000F64B0000}"/>
    <cellStyle name="Normal 13" xfId="19444" xr:uid="{00000000-0005-0000-0000-0000F74B0000}"/>
    <cellStyle name="Normal 13 10" xfId="19445" xr:uid="{00000000-0005-0000-0000-0000F84B0000}"/>
    <cellStyle name="Normal 13 2" xfId="19446" xr:uid="{00000000-0005-0000-0000-0000F94B0000}"/>
    <cellStyle name="Normal 13 2 2" xfId="19447" xr:uid="{00000000-0005-0000-0000-0000FA4B0000}"/>
    <cellStyle name="Normal 13 2 2 2" xfId="19448" xr:uid="{00000000-0005-0000-0000-0000FB4B0000}"/>
    <cellStyle name="Normal 13 2 2 2 2" xfId="19449" xr:uid="{00000000-0005-0000-0000-0000FC4B0000}"/>
    <cellStyle name="Normal 13 2 2 2 3" xfId="19450" xr:uid="{00000000-0005-0000-0000-0000FD4B0000}"/>
    <cellStyle name="Normal 13 2 2 3" xfId="19451" xr:uid="{00000000-0005-0000-0000-0000FE4B0000}"/>
    <cellStyle name="Normal 13 2 2 4" xfId="19452" xr:uid="{00000000-0005-0000-0000-0000FF4B0000}"/>
    <cellStyle name="Normal 13 2 2 5" xfId="19453" xr:uid="{00000000-0005-0000-0000-0000004C0000}"/>
    <cellStyle name="Normal 13 2 2 6" xfId="19454" xr:uid="{00000000-0005-0000-0000-0000014C0000}"/>
    <cellStyle name="Normal 13 2 3" xfId="19455" xr:uid="{00000000-0005-0000-0000-0000024C0000}"/>
    <cellStyle name="Normal 13 2 3 2" xfId="19456" xr:uid="{00000000-0005-0000-0000-0000034C0000}"/>
    <cellStyle name="Normal 13 2 3 2 2" xfId="19457" xr:uid="{00000000-0005-0000-0000-0000044C0000}"/>
    <cellStyle name="Normal 13 2 3 3" xfId="19458" xr:uid="{00000000-0005-0000-0000-0000054C0000}"/>
    <cellStyle name="Normal 13 2 3 4" xfId="19459" xr:uid="{00000000-0005-0000-0000-0000064C0000}"/>
    <cellStyle name="Normal 13 2 3 5" xfId="19460" xr:uid="{00000000-0005-0000-0000-0000074C0000}"/>
    <cellStyle name="Normal 13 2 4" xfId="19461" xr:uid="{00000000-0005-0000-0000-0000084C0000}"/>
    <cellStyle name="Normal 13 2 4 2" xfId="19462" xr:uid="{00000000-0005-0000-0000-0000094C0000}"/>
    <cellStyle name="Normal 13 2 4 3" xfId="19463" xr:uid="{00000000-0005-0000-0000-00000A4C0000}"/>
    <cellStyle name="Normal 13 2 4 4" xfId="19464" xr:uid="{00000000-0005-0000-0000-00000B4C0000}"/>
    <cellStyle name="Normal 13 2 5" xfId="19465" xr:uid="{00000000-0005-0000-0000-00000C4C0000}"/>
    <cellStyle name="Normal 13 2 5 2" xfId="19466" xr:uid="{00000000-0005-0000-0000-00000D4C0000}"/>
    <cellStyle name="Normal 13 2 6" xfId="19467" xr:uid="{00000000-0005-0000-0000-00000E4C0000}"/>
    <cellStyle name="Normal 13 2 7" xfId="19468" xr:uid="{00000000-0005-0000-0000-00000F4C0000}"/>
    <cellStyle name="Normal 13 2 8" xfId="19469" xr:uid="{00000000-0005-0000-0000-0000104C0000}"/>
    <cellStyle name="Normal 13 2 9" xfId="19470" xr:uid="{00000000-0005-0000-0000-0000114C0000}"/>
    <cellStyle name="Normal 13 3" xfId="19471" xr:uid="{00000000-0005-0000-0000-0000124C0000}"/>
    <cellStyle name="Normal 13 3 2" xfId="19472" xr:uid="{00000000-0005-0000-0000-0000134C0000}"/>
    <cellStyle name="Normal 13 3 2 2" xfId="19473" xr:uid="{00000000-0005-0000-0000-0000144C0000}"/>
    <cellStyle name="Normal 13 3 2 3" xfId="19474" xr:uid="{00000000-0005-0000-0000-0000154C0000}"/>
    <cellStyle name="Normal 13 3 3" xfId="19475" xr:uid="{00000000-0005-0000-0000-0000164C0000}"/>
    <cellStyle name="Normal 13 3 4" xfId="19476" xr:uid="{00000000-0005-0000-0000-0000174C0000}"/>
    <cellStyle name="Normal 13 3 5" xfId="19477" xr:uid="{00000000-0005-0000-0000-0000184C0000}"/>
    <cellStyle name="Normal 13 3 6" xfId="19478" xr:uid="{00000000-0005-0000-0000-0000194C0000}"/>
    <cellStyle name="Normal 13 4" xfId="19479" xr:uid="{00000000-0005-0000-0000-00001A4C0000}"/>
    <cellStyle name="Normal 13 4 2" xfId="19480" xr:uid="{00000000-0005-0000-0000-00001B4C0000}"/>
    <cellStyle name="Normal 13 4 2 2" xfId="19481" xr:uid="{00000000-0005-0000-0000-00001C4C0000}"/>
    <cellStyle name="Normal 13 4 3" xfId="19482" xr:uid="{00000000-0005-0000-0000-00001D4C0000}"/>
    <cellStyle name="Normal 13 4 4" xfId="19483" xr:uid="{00000000-0005-0000-0000-00001E4C0000}"/>
    <cellStyle name="Normal 13 4 5" xfId="19484" xr:uid="{00000000-0005-0000-0000-00001F4C0000}"/>
    <cellStyle name="Normal 13 5" xfId="19485" xr:uid="{00000000-0005-0000-0000-0000204C0000}"/>
    <cellStyle name="Normal 13 5 2" xfId="19486" xr:uid="{00000000-0005-0000-0000-0000214C0000}"/>
    <cellStyle name="Normal 13 5 2 2" xfId="19487" xr:uid="{00000000-0005-0000-0000-0000224C0000}"/>
    <cellStyle name="Normal 13 5 3" xfId="19488" xr:uid="{00000000-0005-0000-0000-0000234C0000}"/>
    <cellStyle name="Normal 13 5 4" xfId="19489" xr:uid="{00000000-0005-0000-0000-0000244C0000}"/>
    <cellStyle name="Normal 13 5 5" xfId="19490" xr:uid="{00000000-0005-0000-0000-0000254C0000}"/>
    <cellStyle name="Normal 13 6" xfId="19491" xr:uid="{00000000-0005-0000-0000-0000264C0000}"/>
    <cellStyle name="Normal 13 6 2" xfId="19492" xr:uid="{00000000-0005-0000-0000-0000274C0000}"/>
    <cellStyle name="Normal 13 7" xfId="19493" xr:uid="{00000000-0005-0000-0000-0000284C0000}"/>
    <cellStyle name="Normal 13 8" xfId="19494" xr:uid="{00000000-0005-0000-0000-0000294C0000}"/>
    <cellStyle name="Normal 13 9" xfId="19495" xr:uid="{00000000-0005-0000-0000-00002A4C0000}"/>
    <cellStyle name="Normal 14" xfId="19496" xr:uid="{00000000-0005-0000-0000-00002B4C0000}"/>
    <cellStyle name="Normal 14 10" xfId="19497" xr:uid="{00000000-0005-0000-0000-00002C4C0000}"/>
    <cellStyle name="Normal 14 2" xfId="19498" xr:uid="{00000000-0005-0000-0000-00002D4C0000}"/>
    <cellStyle name="Normal 14 2 2" xfId="19499" xr:uid="{00000000-0005-0000-0000-00002E4C0000}"/>
    <cellStyle name="Normal 14 2 2 2" xfId="19500" xr:uid="{00000000-0005-0000-0000-00002F4C0000}"/>
    <cellStyle name="Normal 14 2 2 2 2" xfId="19501" xr:uid="{00000000-0005-0000-0000-0000304C0000}"/>
    <cellStyle name="Normal 14 2 2 2 3" xfId="19502" xr:uid="{00000000-0005-0000-0000-0000314C0000}"/>
    <cellStyle name="Normal 14 2 2 3" xfId="19503" xr:uid="{00000000-0005-0000-0000-0000324C0000}"/>
    <cellStyle name="Normal 14 2 2 4" xfId="19504" xr:uid="{00000000-0005-0000-0000-0000334C0000}"/>
    <cellStyle name="Normal 14 2 2 5" xfId="19505" xr:uid="{00000000-0005-0000-0000-0000344C0000}"/>
    <cellStyle name="Normal 14 2 2 6" xfId="19506" xr:uid="{00000000-0005-0000-0000-0000354C0000}"/>
    <cellStyle name="Normal 14 2 3" xfId="19507" xr:uid="{00000000-0005-0000-0000-0000364C0000}"/>
    <cellStyle name="Normal 14 2 3 2" xfId="19508" xr:uid="{00000000-0005-0000-0000-0000374C0000}"/>
    <cellStyle name="Normal 14 2 3 2 2" xfId="19509" xr:uid="{00000000-0005-0000-0000-0000384C0000}"/>
    <cellStyle name="Normal 14 2 3 3" xfId="19510" xr:uid="{00000000-0005-0000-0000-0000394C0000}"/>
    <cellStyle name="Normal 14 2 3 4" xfId="19511" xr:uid="{00000000-0005-0000-0000-00003A4C0000}"/>
    <cellStyle name="Normal 14 2 3 5" xfId="19512" xr:uid="{00000000-0005-0000-0000-00003B4C0000}"/>
    <cellStyle name="Normal 14 2 4" xfId="19513" xr:uid="{00000000-0005-0000-0000-00003C4C0000}"/>
    <cellStyle name="Normal 14 2 4 2" xfId="19514" xr:uid="{00000000-0005-0000-0000-00003D4C0000}"/>
    <cellStyle name="Normal 14 2 4 3" xfId="19515" xr:uid="{00000000-0005-0000-0000-00003E4C0000}"/>
    <cellStyle name="Normal 14 2 4 4" xfId="19516" xr:uid="{00000000-0005-0000-0000-00003F4C0000}"/>
    <cellStyle name="Normal 14 2 5" xfId="19517" xr:uid="{00000000-0005-0000-0000-0000404C0000}"/>
    <cellStyle name="Normal 14 2 5 2" xfId="19518" xr:uid="{00000000-0005-0000-0000-0000414C0000}"/>
    <cellStyle name="Normal 14 2 6" xfId="19519" xr:uid="{00000000-0005-0000-0000-0000424C0000}"/>
    <cellStyle name="Normal 14 2 7" xfId="19520" xr:uid="{00000000-0005-0000-0000-0000434C0000}"/>
    <cellStyle name="Normal 14 2 8" xfId="19521" xr:uid="{00000000-0005-0000-0000-0000444C0000}"/>
    <cellStyle name="Normal 14 2 9" xfId="19522" xr:uid="{00000000-0005-0000-0000-0000454C0000}"/>
    <cellStyle name="Normal 14 3" xfId="19523" xr:uid="{00000000-0005-0000-0000-0000464C0000}"/>
    <cellStyle name="Normal 14 3 2" xfId="19524" xr:uid="{00000000-0005-0000-0000-0000474C0000}"/>
    <cellStyle name="Normal 14 3 2 2" xfId="19525" xr:uid="{00000000-0005-0000-0000-0000484C0000}"/>
    <cellStyle name="Normal 14 3 2 3" xfId="19526" xr:uid="{00000000-0005-0000-0000-0000494C0000}"/>
    <cellStyle name="Normal 14 3 3" xfId="19527" xr:uid="{00000000-0005-0000-0000-00004A4C0000}"/>
    <cellStyle name="Normal 14 3 4" xfId="19528" xr:uid="{00000000-0005-0000-0000-00004B4C0000}"/>
    <cellStyle name="Normal 14 3 5" xfId="19529" xr:uid="{00000000-0005-0000-0000-00004C4C0000}"/>
    <cellStyle name="Normal 14 3 6" xfId="19530" xr:uid="{00000000-0005-0000-0000-00004D4C0000}"/>
    <cellStyle name="Normal 14 4" xfId="19531" xr:uid="{00000000-0005-0000-0000-00004E4C0000}"/>
    <cellStyle name="Normal 14 4 2" xfId="19532" xr:uid="{00000000-0005-0000-0000-00004F4C0000}"/>
    <cellStyle name="Normal 14 4 2 2" xfId="19533" xr:uid="{00000000-0005-0000-0000-0000504C0000}"/>
    <cellStyle name="Normal 14 4 3" xfId="19534" xr:uid="{00000000-0005-0000-0000-0000514C0000}"/>
    <cellStyle name="Normal 14 4 4" xfId="19535" xr:uid="{00000000-0005-0000-0000-0000524C0000}"/>
    <cellStyle name="Normal 14 4 5" xfId="19536" xr:uid="{00000000-0005-0000-0000-0000534C0000}"/>
    <cellStyle name="Normal 14 5" xfId="19537" xr:uid="{00000000-0005-0000-0000-0000544C0000}"/>
    <cellStyle name="Normal 14 5 2" xfId="19538" xr:uid="{00000000-0005-0000-0000-0000554C0000}"/>
    <cellStyle name="Normal 14 5 3" xfId="19539" xr:uid="{00000000-0005-0000-0000-0000564C0000}"/>
    <cellStyle name="Normal 14 5 4" xfId="19540" xr:uid="{00000000-0005-0000-0000-0000574C0000}"/>
    <cellStyle name="Normal 14 6" xfId="19541" xr:uid="{00000000-0005-0000-0000-0000584C0000}"/>
    <cellStyle name="Normal 14 6 2" xfId="19542" xr:uid="{00000000-0005-0000-0000-0000594C0000}"/>
    <cellStyle name="Normal 14 7" xfId="19543" xr:uid="{00000000-0005-0000-0000-00005A4C0000}"/>
    <cellStyle name="Normal 14 8" xfId="19544" xr:uid="{00000000-0005-0000-0000-00005B4C0000}"/>
    <cellStyle name="Normal 14 9" xfId="19545" xr:uid="{00000000-0005-0000-0000-00005C4C0000}"/>
    <cellStyle name="Normal 15" xfId="19546" xr:uid="{00000000-0005-0000-0000-00005D4C0000}"/>
    <cellStyle name="Normal 15 2" xfId="19547" xr:uid="{00000000-0005-0000-0000-00005E4C0000}"/>
    <cellStyle name="Normal 15 2 2" xfId="19548" xr:uid="{00000000-0005-0000-0000-00005F4C0000}"/>
    <cellStyle name="Normal 15 2 2 2" xfId="19549" xr:uid="{00000000-0005-0000-0000-0000604C0000}"/>
    <cellStyle name="Normal 15 2 2 3" xfId="19550" xr:uid="{00000000-0005-0000-0000-0000614C0000}"/>
    <cellStyle name="Normal 15 2 3" xfId="19551" xr:uid="{00000000-0005-0000-0000-0000624C0000}"/>
    <cellStyle name="Normal 15 2 4" xfId="19552" xr:uid="{00000000-0005-0000-0000-0000634C0000}"/>
    <cellStyle name="Normal 15 2 5" xfId="19553" xr:uid="{00000000-0005-0000-0000-0000644C0000}"/>
    <cellStyle name="Normal 15 2 6" xfId="19554" xr:uid="{00000000-0005-0000-0000-0000654C0000}"/>
    <cellStyle name="Normal 15 3" xfId="19555" xr:uid="{00000000-0005-0000-0000-0000664C0000}"/>
    <cellStyle name="Normal 15 3 2" xfId="19556" xr:uid="{00000000-0005-0000-0000-0000674C0000}"/>
    <cellStyle name="Normal 15 3 2 2" xfId="19557" xr:uid="{00000000-0005-0000-0000-0000684C0000}"/>
    <cellStyle name="Normal 15 3 3" xfId="19558" xr:uid="{00000000-0005-0000-0000-0000694C0000}"/>
    <cellStyle name="Normal 15 3 4" xfId="19559" xr:uid="{00000000-0005-0000-0000-00006A4C0000}"/>
    <cellStyle name="Normal 15 3 5" xfId="19560" xr:uid="{00000000-0005-0000-0000-00006B4C0000}"/>
    <cellStyle name="Normal 15 4" xfId="19561" xr:uid="{00000000-0005-0000-0000-00006C4C0000}"/>
    <cellStyle name="Normal 15 4 2" xfId="19562" xr:uid="{00000000-0005-0000-0000-00006D4C0000}"/>
    <cellStyle name="Normal 15 4 3" xfId="19563" xr:uid="{00000000-0005-0000-0000-00006E4C0000}"/>
    <cellStyle name="Normal 15 4 4" xfId="19564" xr:uid="{00000000-0005-0000-0000-00006F4C0000}"/>
    <cellStyle name="Normal 15 5" xfId="19565" xr:uid="{00000000-0005-0000-0000-0000704C0000}"/>
    <cellStyle name="Normal 15 5 2" xfId="19566" xr:uid="{00000000-0005-0000-0000-0000714C0000}"/>
    <cellStyle name="Normal 15 6" xfId="19567" xr:uid="{00000000-0005-0000-0000-0000724C0000}"/>
    <cellStyle name="Normal 15 7" xfId="19568" xr:uid="{00000000-0005-0000-0000-0000734C0000}"/>
    <cellStyle name="Normal 15 8" xfId="19569" xr:uid="{00000000-0005-0000-0000-0000744C0000}"/>
    <cellStyle name="Normal 15 9" xfId="19570" xr:uid="{00000000-0005-0000-0000-0000754C0000}"/>
    <cellStyle name="Normal 16" xfId="19571" xr:uid="{00000000-0005-0000-0000-0000764C0000}"/>
    <cellStyle name="Normal 16 2" xfId="19572" xr:uid="{00000000-0005-0000-0000-0000774C0000}"/>
    <cellStyle name="Normal 16 2 2" xfId="19573" xr:uid="{00000000-0005-0000-0000-0000784C0000}"/>
    <cellStyle name="Normal 16 2 2 2" xfId="19574" xr:uid="{00000000-0005-0000-0000-0000794C0000}"/>
    <cellStyle name="Normal 16 2 3" xfId="19575" xr:uid="{00000000-0005-0000-0000-00007A4C0000}"/>
    <cellStyle name="Normal 16 2 4" xfId="19576" xr:uid="{00000000-0005-0000-0000-00007B4C0000}"/>
    <cellStyle name="Normal 16 2 5" xfId="19577" xr:uid="{00000000-0005-0000-0000-00007C4C0000}"/>
    <cellStyle name="Normal 16 2 6" xfId="19578" xr:uid="{00000000-0005-0000-0000-00007D4C0000}"/>
    <cellStyle name="Normal 16 3" xfId="19579" xr:uid="{00000000-0005-0000-0000-00007E4C0000}"/>
    <cellStyle name="Normal 16 3 2" xfId="19580" xr:uid="{00000000-0005-0000-0000-00007F4C0000}"/>
    <cellStyle name="Normal 16 3 3" xfId="19581" xr:uid="{00000000-0005-0000-0000-0000804C0000}"/>
    <cellStyle name="Normal 16 3 4" xfId="19582" xr:uid="{00000000-0005-0000-0000-0000814C0000}"/>
    <cellStyle name="Normal 16 4" xfId="19583" xr:uid="{00000000-0005-0000-0000-0000824C0000}"/>
    <cellStyle name="Normal 16 4 2" xfId="19584" xr:uid="{00000000-0005-0000-0000-0000834C0000}"/>
    <cellStyle name="Normal 16 5" xfId="19585" xr:uid="{00000000-0005-0000-0000-0000844C0000}"/>
    <cellStyle name="Normal 16 6" xfId="19586" xr:uid="{00000000-0005-0000-0000-0000854C0000}"/>
    <cellStyle name="Normal 16 7" xfId="19587" xr:uid="{00000000-0005-0000-0000-0000864C0000}"/>
    <cellStyle name="Normal 16 8" xfId="19588" xr:uid="{00000000-0005-0000-0000-0000874C0000}"/>
    <cellStyle name="Normal 17" xfId="19589" xr:uid="{00000000-0005-0000-0000-0000884C0000}"/>
    <cellStyle name="Normal 17 2" xfId="19590" xr:uid="{00000000-0005-0000-0000-0000894C0000}"/>
    <cellStyle name="Normal 17 2 2" xfId="19591" xr:uid="{00000000-0005-0000-0000-00008A4C0000}"/>
    <cellStyle name="Normal 17 2 2 2" xfId="19592" xr:uid="{00000000-0005-0000-0000-00008B4C0000}"/>
    <cellStyle name="Normal 17 2 3" xfId="19593" xr:uid="{00000000-0005-0000-0000-00008C4C0000}"/>
    <cellStyle name="Normal 17 2 4" xfId="19594" xr:uid="{00000000-0005-0000-0000-00008D4C0000}"/>
    <cellStyle name="Normal 17 2 5" xfId="19595" xr:uid="{00000000-0005-0000-0000-00008E4C0000}"/>
    <cellStyle name="Normal 17 2 6" xfId="19596" xr:uid="{00000000-0005-0000-0000-00008F4C0000}"/>
    <cellStyle name="Normal 17 3" xfId="19597" xr:uid="{00000000-0005-0000-0000-0000904C0000}"/>
    <cellStyle name="Normal 17 3 2" xfId="19598" xr:uid="{00000000-0005-0000-0000-0000914C0000}"/>
    <cellStyle name="Normal 17 3 3" xfId="19599" xr:uid="{00000000-0005-0000-0000-0000924C0000}"/>
    <cellStyle name="Normal 17 3 4" xfId="19600" xr:uid="{00000000-0005-0000-0000-0000934C0000}"/>
    <cellStyle name="Normal 17 4" xfId="19601" xr:uid="{00000000-0005-0000-0000-0000944C0000}"/>
    <cellStyle name="Normal 17 4 2" xfId="19602" xr:uid="{00000000-0005-0000-0000-0000954C0000}"/>
    <cellStyle name="Normal 17 5" xfId="19603" xr:uid="{00000000-0005-0000-0000-0000964C0000}"/>
    <cellStyle name="Normal 17 6" xfId="19604" xr:uid="{00000000-0005-0000-0000-0000974C0000}"/>
    <cellStyle name="Normal 17 7" xfId="19605" xr:uid="{00000000-0005-0000-0000-0000984C0000}"/>
    <cellStyle name="Normal 17 8" xfId="19606" xr:uid="{00000000-0005-0000-0000-0000994C0000}"/>
    <cellStyle name="Normal 18" xfId="19607" xr:uid="{00000000-0005-0000-0000-00009A4C0000}"/>
    <cellStyle name="Normal 18 2" xfId="19608" xr:uid="{00000000-0005-0000-0000-00009B4C0000}"/>
    <cellStyle name="Normal 18 2 2" xfId="19609" xr:uid="{00000000-0005-0000-0000-00009C4C0000}"/>
    <cellStyle name="Normal 18 2 3" xfId="19610" xr:uid="{00000000-0005-0000-0000-00009D4C0000}"/>
    <cellStyle name="Normal 18 2 4" xfId="19611" xr:uid="{00000000-0005-0000-0000-00009E4C0000}"/>
    <cellStyle name="Normal 18 2 5" xfId="19612" xr:uid="{00000000-0005-0000-0000-00009F4C0000}"/>
    <cellStyle name="Normal 18 3" xfId="19613" xr:uid="{00000000-0005-0000-0000-0000A04C0000}"/>
    <cellStyle name="Normal 18 3 2" xfId="19614" xr:uid="{00000000-0005-0000-0000-0000A14C0000}"/>
    <cellStyle name="Normal 18 4" xfId="19615" xr:uid="{00000000-0005-0000-0000-0000A24C0000}"/>
    <cellStyle name="Normal 18 5" xfId="19616" xr:uid="{00000000-0005-0000-0000-0000A34C0000}"/>
    <cellStyle name="Normal 18 6" xfId="19617" xr:uid="{00000000-0005-0000-0000-0000A44C0000}"/>
    <cellStyle name="Normal 18 7" xfId="19618" xr:uid="{00000000-0005-0000-0000-0000A54C0000}"/>
    <cellStyle name="Normal 19" xfId="19619" xr:uid="{00000000-0005-0000-0000-0000A64C0000}"/>
    <cellStyle name="Normal 19 2" xfId="19620" xr:uid="{00000000-0005-0000-0000-0000A74C0000}"/>
    <cellStyle name="Normal 19 2 2" xfId="19621" xr:uid="{00000000-0005-0000-0000-0000A84C0000}"/>
    <cellStyle name="Normal 19 2 3" xfId="19622" xr:uid="{00000000-0005-0000-0000-0000A94C0000}"/>
    <cellStyle name="Normal 19 2 4" xfId="19623" xr:uid="{00000000-0005-0000-0000-0000AA4C0000}"/>
    <cellStyle name="Normal 19 2 5" xfId="19624" xr:uid="{00000000-0005-0000-0000-0000AB4C0000}"/>
    <cellStyle name="Normal 19 3" xfId="19625" xr:uid="{00000000-0005-0000-0000-0000AC4C0000}"/>
    <cellStyle name="Normal 19 3 2" xfId="19626" xr:uid="{00000000-0005-0000-0000-0000AD4C0000}"/>
    <cellStyle name="Normal 19 4" xfId="19627" xr:uid="{00000000-0005-0000-0000-0000AE4C0000}"/>
    <cellStyle name="Normal 19 5" xfId="19628" xr:uid="{00000000-0005-0000-0000-0000AF4C0000}"/>
    <cellStyle name="Normal 19 6" xfId="19629" xr:uid="{00000000-0005-0000-0000-0000B04C0000}"/>
    <cellStyle name="Normal 19 7" xfId="19630" xr:uid="{00000000-0005-0000-0000-0000B14C0000}"/>
    <cellStyle name="Normal 2" xfId="19631" xr:uid="{00000000-0005-0000-0000-0000B24C0000}"/>
    <cellStyle name="Normal 2 10" xfId="19632" xr:uid="{00000000-0005-0000-0000-0000B34C0000}"/>
    <cellStyle name="Normal 2 10 2" xfId="19633" xr:uid="{00000000-0005-0000-0000-0000B44C0000}"/>
    <cellStyle name="Normal 2 10 2 2" xfId="19634" xr:uid="{00000000-0005-0000-0000-0000B54C0000}"/>
    <cellStyle name="Normal 2 10 3" xfId="19635" xr:uid="{00000000-0005-0000-0000-0000B64C0000}"/>
    <cellStyle name="Normal 2 10 3 2" xfId="19636" xr:uid="{00000000-0005-0000-0000-0000B74C0000}"/>
    <cellStyle name="Normal 2 10 4" xfId="19637" xr:uid="{00000000-0005-0000-0000-0000B84C0000}"/>
    <cellStyle name="Normal 2 10 5" xfId="19638" xr:uid="{00000000-0005-0000-0000-0000B94C0000}"/>
    <cellStyle name="Normal 2 10 6" xfId="19639" xr:uid="{00000000-0005-0000-0000-0000BA4C0000}"/>
    <cellStyle name="Normal 2 10 7" xfId="19640" xr:uid="{00000000-0005-0000-0000-0000BB4C0000}"/>
    <cellStyle name="Normal 2 10 8" xfId="19641" xr:uid="{00000000-0005-0000-0000-0000BC4C0000}"/>
    <cellStyle name="Normal 2 11" xfId="19642" xr:uid="{00000000-0005-0000-0000-0000BD4C0000}"/>
    <cellStyle name="Normal 2 11 10" xfId="19643" xr:uid="{00000000-0005-0000-0000-0000BE4C0000}"/>
    <cellStyle name="Normal 2 11 10 10" xfId="19644" xr:uid="{00000000-0005-0000-0000-0000BF4C0000}"/>
    <cellStyle name="Normal 2 11 10 2" xfId="19645" xr:uid="{00000000-0005-0000-0000-0000C04C0000}"/>
    <cellStyle name="Normal 2 11 10 2 2" xfId="19646" xr:uid="{00000000-0005-0000-0000-0000C14C0000}"/>
    <cellStyle name="Normal 2 11 10 2 2 2" xfId="19647" xr:uid="{00000000-0005-0000-0000-0000C24C0000}"/>
    <cellStyle name="Normal 2 11 10 2 2 3" xfId="19648" xr:uid="{00000000-0005-0000-0000-0000C34C0000}"/>
    <cellStyle name="Normal 2 11 10 2 3" xfId="19649" xr:uid="{00000000-0005-0000-0000-0000C44C0000}"/>
    <cellStyle name="Normal 2 11 10 2 4" xfId="19650" xr:uid="{00000000-0005-0000-0000-0000C54C0000}"/>
    <cellStyle name="Normal 2 11 10 2 5" xfId="19651" xr:uid="{00000000-0005-0000-0000-0000C64C0000}"/>
    <cellStyle name="Normal 2 11 10 2 6" xfId="19652" xr:uid="{00000000-0005-0000-0000-0000C74C0000}"/>
    <cellStyle name="Normal 2 11 10 3" xfId="19653" xr:uid="{00000000-0005-0000-0000-0000C84C0000}"/>
    <cellStyle name="Normal 2 11 10 3 2" xfId="19654" xr:uid="{00000000-0005-0000-0000-0000C94C0000}"/>
    <cellStyle name="Normal 2 11 10 3 2 2" xfId="19655" xr:uid="{00000000-0005-0000-0000-0000CA4C0000}"/>
    <cellStyle name="Normal 2 11 10 3 2 3" xfId="19656" xr:uid="{00000000-0005-0000-0000-0000CB4C0000}"/>
    <cellStyle name="Normal 2 11 10 3 3" xfId="19657" xr:uid="{00000000-0005-0000-0000-0000CC4C0000}"/>
    <cellStyle name="Normal 2 11 10 3 4" xfId="19658" xr:uid="{00000000-0005-0000-0000-0000CD4C0000}"/>
    <cellStyle name="Normal 2 11 10 3 5" xfId="19659" xr:uid="{00000000-0005-0000-0000-0000CE4C0000}"/>
    <cellStyle name="Normal 2 11 10 3 6" xfId="19660" xr:uid="{00000000-0005-0000-0000-0000CF4C0000}"/>
    <cellStyle name="Normal 2 11 10 4" xfId="19661" xr:uid="{00000000-0005-0000-0000-0000D04C0000}"/>
    <cellStyle name="Normal 2 11 10 4 2" xfId="19662" xr:uid="{00000000-0005-0000-0000-0000D14C0000}"/>
    <cellStyle name="Normal 2 11 10 4 2 2" xfId="19663" xr:uid="{00000000-0005-0000-0000-0000D24C0000}"/>
    <cellStyle name="Normal 2 11 10 4 3" xfId="19664" xr:uid="{00000000-0005-0000-0000-0000D34C0000}"/>
    <cellStyle name="Normal 2 11 10 4 4" xfId="19665" xr:uid="{00000000-0005-0000-0000-0000D44C0000}"/>
    <cellStyle name="Normal 2 11 10 4 5" xfId="19666" xr:uid="{00000000-0005-0000-0000-0000D54C0000}"/>
    <cellStyle name="Normal 2 11 10 5" xfId="19667" xr:uid="{00000000-0005-0000-0000-0000D64C0000}"/>
    <cellStyle name="Normal 2 11 10 5 2" xfId="19668" xr:uid="{00000000-0005-0000-0000-0000D74C0000}"/>
    <cellStyle name="Normal 2 11 10 5 3" xfId="19669" xr:uid="{00000000-0005-0000-0000-0000D84C0000}"/>
    <cellStyle name="Normal 2 11 10 5 4" xfId="19670" xr:uid="{00000000-0005-0000-0000-0000D94C0000}"/>
    <cellStyle name="Normal 2 11 10 6" xfId="19671" xr:uid="{00000000-0005-0000-0000-0000DA4C0000}"/>
    <cellStyle name="Normal 2 11 10 6 2" xfId="19672" xr:uid="{00000000-0005-0000-0000-0000DB4C0000}"/>
    <cellStyle name="Normal 2 11 10 7" xfId="19673" xr:uid="{00000000-0005-0000-0000-0000DC4C0000}"/>
    <cellStyle name="Normal 2 11 10 8" xfId="19674" xr:uid="{00000000-0005-0000-0000-0000DD4C0000}"/>
    <cellStyle name="Normal 2 11 10 9" xfId="19675" xr:uid="{00000000-0005-0000-0000-0000DE4C0000}"/>
    <cellStyle name="Normal 2 11 11" xfId="19676" xr:uid="{00000000-0005-0000-0000-0000DF4C0000}"/>
    <cellStyle name="Normal 2 11 11 10" xfId="19677" xr:uid="{00000000-0005-0000-0000-0000E04C0000}"/>
    <cellStyle name="Normal 2 11 11 2" xfId="19678" xr:uid="{00000000-0005-0000-0000-0000E14C0000}"/>
    <cellStyle name="Normal 2 11 11 2 2" xfId="19679" xr:uid="{00000000-0005-0000-0000-0000E24C0000}"/>
    <cellStyle name="Normal 2 11 11 2 2 2" xfId="19680" xr:uid="{00000000-0005-0000-0000-0000E34C0000}"/>
    <cellStyle name="Normal 2 11 11 2 2 3" xfId="19681" xr:uid="{00000000-0005-0000-0000-0000E44C0000}"/>
    <cellStyle name="Normal 2 11 11 2 3" xfId="19682" xr:uid="{00000000-0005-0000-0000-0000E54C0000}"/>
    <cellStyle name="Normal 2 11 11 2 4" xfId="19683" xr:uid="{00000000-0005-0000-0000-0000E64C0000}"/>
    <cellStyle name="Normal 2 11 11 2 5" xfId="19684" xr:uid="{00000000-0005-0000-0000-0000E74C0000}"/>
    <cellStyle name="Normal 2 11 11 2 6" xfId="19685" xr:uid="{00000000-0005-0000-0000-0000E84C0000}"/>
    <cellStyle name="Normal 2 11 11 3" xfId="19686" xr:uid="{00000000-0005-0000-0000-0000E94C0000}"/>
    <cellStyle name="Normal 2 11 11 3 2" xfId="19687" xr:uid="{00000000-0005-0000-0000-0000EA4C0000}"/>
    <cellStyle name="Normal 2 11 11 3 2 2" xfId="19688" xr:uid="{00000000-0005-0000-0000-0000EB4C0000}"/>
    <cellStyle name="Normal 2 11 11 3 2 3" xfId="19689" xr:uid="{00000000-0005-0000-0000-0000EC4C0000}"/>
    <cellStyle name="Normal 2 11 11 3 3" xfId="19690" xr:uid="{00000000-0005-0000-0000-0000ED4C0000}"/>
    <cellStyle name="Normal 2 11 11 3 4" xfId="19691" xr:uid="{00000000-0005-0000-0000-0000EE4C0000}"/>
    <cellStyle name="Normal 2 11 11 3 5" xfId="19692" xr:uid="{00000000-0005-0000-0000-0000EF4C0000}"/>
    <cellStyle name="Normal 2 11 11 3 6" xfId="19693" xr:uid="{00000000-0005-0000-0000-0000F04C0000}"/>
    <cellStyle name="Normal 2 11 11 4" xfId="19694" xr:uid="{00000000-0005-0000-0000-0000F14C0000}"/>
    <cellStyle name="Normal 2 11 11 4 2" xfId="19695" xr:uid="{00000000-0005-0000-0000-0000F24C0000}"/>
    <cellStyle name="Normal 2 11 11 4 2 2" xfId="19696" xr:uid="{00000000-0005-0000-0000-0000F34C0000}"/>
    <cellStyle name="Normal 2 11 11 4 3" xfId="19697" xr:uid="{00000000-0005-0000-0000-0000F44C0000}"/>
    <cellStyle name="Normal 2 11 11 4 4" xfId="19698" xr:uid="{00000000-0005-0000-0000-0000F54C0000}"/>
    <cellStyle name="Normal 2 11 11 4 5" xfId="19699" xr:uid="{00000000-0005-0000-0000-0000F64C0000}"/>
    <cellStyle name="Normal 2 11 11 5" xfId="19700" xr:uid="{00000000-0005-0000-0000-0000F74C0000}"/>
    <cellStyle name="Normal 2 11 11 5 2" xfId="19701" xr:uid="{00000000-0005-0000-0000-0000F84C0000}"/>
    <cellStyle name="Normal 2 11 11 5 3" xfId="19702" xr:uid="{00000000-0005-0000-0000-0000F94C0000}"/>
    <cellStyle name="Normal 2 11 11 5 4" xfId="19703" xr:uid="{00000000-0005-0000-0000-0000FA4C0000}"/>
    <cellStyle name="Normal 2 11 11 6" xfId="19704" xr:uid="{00000000-0005-0000-0000-0000FB4C0000}"/>
    <cellStyle name="Normal 2 11 11 6 2" xfId="19705" xr:uid="{00000000-0005-0000-0000-0000FC4C0000}"/>
    <cellStyle name="Normal 2 11 11 7" xfId="19706" xr:uid="{00000000-0005-0000-0000-0000FD4C0000}"/>
    <cellStyle name="Normal 2 11 11 8" xfId="19707" xr:uid="{00000000-0005-0000-0000-0000FE4C0000}"/>
    <cellStyle name="Normal 2 11 11 9" xfId="19708" xr:uid="{00000000-0005-0000-0000-0000FF4C0000}"/>
    <cellStyle name="Normal 2 11 12" xfId="19709" xr:uid="{00000000-0005-0000-0000-0000004D0000}"/>
    <cellStyle name="Normal 2 11 12 10" xfId="19710" xr:uid="{00000000-0005-0000-0000-0000014D0000}"/>
    <cellStyle name="Normal 2 11 12 2" xfId="19711" xr:uid="{00000000-0005-0000-0000-0000024D0000}"/>
    <cellStyle name="Normal 2 11 12 2 2" xfId="19712" xr:uid="{00000000-0005-0000-0000-0000034D0000}"/>
    <cellStyle name="Normal 2 11 12 2 2 2" xfId="19713" xr:uid="{00000000-0005-0000-0000-0000044D0000}"/>
    <cellStyle name="Normal 2 11 12 2 2 3" xfId="19714" xr:uid="{00000000-0005-0000-0000-0000054D0000}"/>
    <cellStyle name="Normal 2 11 12 2 3" xfId="19715" xr:uid="{00000000-0005-0000-0000-0000064D0000}"/>
    <cellStyle name="Normal 2 11 12 2 4" xfId="19716" xr:uid="{00000000-0005-0000-0000-0000074D0000}"/>
    <cellStyle name="Normal 2 11 12 2 5" xfId="19717" xr:uid="{00000000-0005-0000-0000-0000084D0000}"/>
    <cellStyle name="Normal 2 11 12 2 6" xfId="19718" xr:uid="{00000000-0005-0000-0000-0000094D0000}"/>
    <cellStyle name="Normal 2 11 12 3" xfId="19719" xr:uid="{00000000-0005-0000-0000-00000A4D0000}"/>
    <cellStyle name="Normal 2 11 12 3 2" xfId="19720" xr:uid="{00000000-0005-0000-0000-00000B4D0000}"/>
    <cellStyle name="Normal 2 11 12 3 2 2" xfId="19721" xr:uid="{00000000-0005-0000-0000-00000C4D0000}"/>
    <cellStyle name="Normal 2 11 12 3 2 3" xfId="19722" xr:uid="{00000000-0005-0000-0000-00000D4D0000}"/>
    <cellStyle name="Normal 2 11 12 3 3" xfId="19723" xr:uid="{00000000-0005-0000-0000-00000E4D0000}"/>
    <cellStyle name="Normal 2 11 12 3 4" xfId="19724" xr:uid="{00000000-0005-0000-0000-00000F4D0000}"/>
    <cellStyle name="Normal 2 11 12 3 5" xfId="19725" xr:uid="{00000000-0005-0000-0000-0000104D0000}"/>
    <cellStyle name="Normal 2 11 12 3 6" xfId="19726" xr:uid="{00000000-0005-0000-0000-0000114D0000}"/>
    <cellStyle name="Normal 2 11 12 4" xfId="19727" xr:uid="{00000000-0005-0000-0000-0000124D0000}"/>
    <cellStyle name="Normal 2 11 12 4 2" xfId="19728" xr:uid="{00000000-0005-0000-0000-0000134D0000}"/>
    <cellStyle name="Normal 2 11 12 4 2 2" xfId="19729" xr:uid="{00000000-0005-0000-0000-0000144D0000}"/>
    <cellStyle name="Normal 2 11 12 4 3" xfId="19730" xr:uid="{00000000-0005-0000-0000-0000154D0000}"/>
    <cellStyle name="Normal 2 11 12 4 4" xfId="19731" xr:uid="{00000000-0005-0000-0000-0000164D0000}"/>
    <cellStyle name="Normal 2 11 12 4 5" xfId="19732" xr:uid="{00000000-0005-0000-0000-0000174D0000}"/>
    <cellStyle name="Normal 2 11 12 5" xfId="19733" xr:uid="{00000000-0005-0000-0000-0000184D0000}"/>
    <cellStyle name="Normal 2 11 12 5 2" xfId="19734" xr:uid="{00000000-0005-0000-0000-0000194D0000}"/>
    <cellStyle name="Normal 2 11 12 5 3" xfId="19735" xr:uid="{00000000-0005-0000-0000-00001A4D0000}"/>
    <cellStyle name="Normal 2 11 12 5 4" xfId="19736" xr:uid="{00000000-0005-0000-0000-00001B4D0000}"/>
    <cellStyle name="Normal 2 11 12 6" xfId="19737" xr:uid="{00000000-0005-0000-0000-00001C4D0000}"/>
    <cellStyle name="Normal 2 11 12 6 2" xfId="19738" xr:uid="{00000000-0005-0000-0000-00001D4D0000}"/>
    <cellStyle name="Normal 2 11 12 7" xfId="19739" xr:uid="{00000000-0005-0000-0000-00001E4D0000}"/>
    <cellStyle name="Normal 2 11 12 8" xfId="19740" xr:uid="{00000000-0005-0000-0000-00001F4D0000}"/>
    <cellStyle name="Normal 2 11 12 9" xfId="19741" xr:uid="{00000000-0005-0000-0000-0000204D0000}"/>
    <cellStyle name="Normal 2 11 13" xfId="19742" xr:uid="{00000000-0005-0000-0000-0000214D0000}"/>
    <cellStyle name="Normal 2 11 13 2" xfId="19743" xr:uid="{00000000-0005-0000-0000-0000224D0000}"/>
    <cellStyle name="Normal 2 11 13 2 2" xfId="19744" xr:uid="{00000000-0005-0000-0000-0000234D0000}"/>
    <cellStyle name="Normal 2 11 13 2 2 2" xfId="19745" xr:uid="{00000000-0005-0000-0000-0000244D0000}"/>
    <cellStyle name="Normal 2 11 13 2 2 3" xfId="19746" xr:uid="{00000000-0005-0000-0000-0000254D0000}"/>
    <cellStyle name="Normal 2 11 13 2 3" xfId="19747" xr:uid="{00000000-0005-0000-0000-0000264D0000}"/>
    <cellStyle name="Normal 2 11 13 2 4" xfId="19748" xr:uid="{00000000-0005-0000-0000-0000274D0000}"/>
    <cellStyle name="Normal 2 11 13 2 5" xfId="19749" xr:uid="{00000000-0005-0000-0000-0000284D0000}"/>
    <cellStyle name="Normal 2 11 13 2 6" xfId="19750" xr:uid="{00000000-0005-0000-0000-0000294D0000}"/>
    <cellStyle name="Normal 2 11 13 3" xfId="19751" xr:uid="{00000000-0005-0000-0000-00002A4D0000}"/>
    <cellStyle name="Normal 2 11 13 3 2" xfId="19752" xr:uid="{00000000-0005-0000-0000-00002B4D0000}"/>
    <cellStyle name="Normal 2 11 13 3 2 2" xfId="19753" xr:uid="{00000000-0005-0000-0000-00002C4D0000}"/>
    <cellStyle name="Normal 2 11 13 3 3" xfId="19754" xr:uid="{00000000-0005-0000-0000-00002D4D0000}"/>
    <cellStyle name="Normal 2 11 13 3 4" xfId="19755" xr:uid="{00000000-0005-0000-0000-00002E4D0000}"/>
    <cellStyle name="Normal 2 11 13 3 5" xfId="19756" xr:uid="{00000000-0005-0000-0000-00002F4D0000}"/>
    <cellStyle name="Normal 2 11 13 4" xfId="19757" xr:uid="{00000000-0005-0000-0000-0000304D0000}"/>
    <cellStyle name="Normal 2 11 13 4 2" xfId="19758" xr:uid="{00000000-0005-0000-0000-0000314D0000}"/>
    <cellStyle name="Normal 2 11 13 4 3" xfId="19759" xr:uid="{00000000-0005-0000-0000-0000324D0000}"/>
    <cellStyle name="Normal 2 11 13 4 4" xfId="19760" xr:uid="{00000000-0005-0000-0000-0000334D0000}"/>
    <cellStyle name="Normal 2 11 13 5" xfId="19761" xr:uid="{00000000-0005-0000-0000-0000344D0000}"/>
    <cellStyle name="Normal 2 11 13 5 2" xfId="19762" xr:uid="{00000000-0005-0000-0000-0000354D0000}"/>
    <cellStyle name="Normal 2 11 13 6" xfId="19763" xr:uid="{00000000-0005-0000-0000-0000364D0000}"/>
    <cellStyle name="Normal 2 11 13 7" xfId="19764" xr:uid="{00000000-0005-0000-0000-0000374D0000}"/>
    <cellStyle name="Normal 2 11 13 8" xfId="19765" xr:uid="{00000000-0005-0000-0000-0000384D0000}"/>
    <cellStyle name="Normal 2 11 13 9" xfId="19766" xr:uid="{00000000-0005-0000-0000-0000394D0000}"/>
    <cellStyle name="Normal 2 11 14" xfId="19767" xr:uid="{00000000-0005-0000-0000-00003A4D0000}"/>
    <cellStyle name="Normal 2 11 14 2" xfId="19768" xr:uid="{00000000-0005-0000-0000-00003B4D0000}"/>
    <cellStyle name="Normal 2 11 14 2 2" xfId="19769" xr:uid="{00000000-0005-0000-0000-00003C4D0000}"/>
    <cellStyle name="Normal 2 11 14 2 2 2" xfId="19770" xr:uid="{00000000-0005-0000-0000-00003D4D0000}"/>
    <cellStyle name="Normal 2 11 14 2 2 3" xfId="19771" xr:uid="{00000000-0005-0000-0000-00003E4D0000}"/>
    <cellStyle name="Normal 2 11 14 2 3" xfId="19772" xr:uid="{00000000-0005-0000-0000-00003F4D0000}"/>
    <cellStyle name="Normal 2 11 14 2 4" xfId="19773" xr:uid="{00000000-0005-0000-0000-0000404D0000}"/>
    <cellStyle name="Normal 2 11 14 2 5" xfId="19774" xr:uid="{00000000-0005-0000-0000-0000414D0000}"/>
    <cellStyle name="Normal 2 11 14 2 6" xfId="19775" xr:uid="{00000000-0005-0000-0000-0000424D0000}"/>
    <cellStyle name="Normal 2 11 14 3" xfId="19776" xr:uid="{00000000-0005-0000-0000-0000434D0000}"/>
    <cellStyle name="Normal 2 11 14 3 2" xfId="19777" xr:uid="{00000000-0005-0000-0000-0000444D0000}"/>
    <cellStyle name="Normal 2 11 14 3 2 2" xfId="19778" xr:uid="{00000000-0005-0000-0000-0000454D0000}"/>
    <cellStyle name="Normal 2 11 14 3 3" xfId="19779" xr:uid="{00000000-0005-0000-0000-0000464D0000}"/>
    <cellStyle name="Normal 2 11 14 3 4" xfId="19780" xr:uid="{00000000-0005-0000-0000-0000474D0000}"/>
    <cellStyle name="Normal 2 11 14 3 5" xfId="19781" xr:uid="{00000000-0005-0000-0000-0000484D0000}"/>
    <cellStyle name="Normal 2 11 14 4" xfId="19782" xr:uid="{00000000-0005-0000-0000-0000494D0000}"/>
    <cellStyle name="Normal 2 11 14 4 2" xfId="19783" xr:uid="{00000000-0005-0000-0000-00004A4D0000}"/>
    <cellStyle name="Normal 2 11 14 4 3" xfId="19784" xr:uid="{00000000-0005-0000-0000-00004B4D0000}"/>
    <cellStyle name="Normal 2 11 14 4 4" xfId="19785" xr:uid="{00000000-0005-0000-0000-00004C4D0000}"/>
    <cellStyle name="Normal 2 11 14 5" xfId="19786" xr:uid="{00000000-0005-0000-0000-00004D4D0000}"/>
    <cellStyle name="Normal 2 11 14 5 2" xfId="19787" xr:uid="{00000000-0005-0000-0000-00004E4D0000}"/>
    <cellStyle name="Normal 2 11 14 6" xfId="19788" xr:uid="{00000000-0005-0000-0000-00004F4D0000}"/>
    <cellStyle name="Normal 2 11 14 7" xfId="19789" xr:uid="{00000000-0005-0000-0000-0000504D0000}"/>
    <cellStyle name="Normal 2 11 14 8" xfId="19790" xr:uid="{00000000-0005-0000-0000-0000514D0000}"/>
    <cellStyle name="Normal 2 11 14 9" xfId="19791" xr:uid="{00000000-0005-0000-0000-0000524D0000}"/>
    <cellStyle name="Normal 2 11 15" xfId="19792" xr:uid="{00000000-0005-0000-0000-0000534D0000}"/>
    <cellStyle name="Normal 2 11 15 2" xfId="19793" xr:uid="{00000000-0005-0000-0000-0000544D0000}"/>
    <cellStyle name="Normal 2 11 15 2 2" xfId="19794" xr:uid="{00000000-0005-0000-0000-0000554D0000}"/>
    <cellStyle name="Normal 2 11 15 2 3" xfId="19795" xr:uid="{00000000-0005-0000-0000-0000564D0000}"/>
    <cellStyle name="Normal 2 11 15 3" xfId="19796" xr:uid="{00000000-0005-0000-0000-0000574D0000}"/>
    <cellStyle name="Normal 2 11 15 4" xfId="19797" xr:uid="{00000000-0005-0000-0000-0000584D0000}"/>
    <cellStyle name="Normal 2 11 15 5" xfId="19798" xr:uid="{00000000-0005-0000-0000-0000594D0000}"/>
    <cellStyle name="Normal 2 11 15 6" xfId="19799" xr:uid="{00000000-0005-0000-0000-00005A4D0000}"/>
    <cellStyle name="Normal 2 11 16" xfId="19800" xr:uid="{00000000-0005-0000-0000-00005B4D0000}"/>
    <cellStyle name="Normal 2 11 16 2" xfId="19801" xr:uid="{00000000-0005-0000-0000-00005C4D0000}"/>
    <cellStyle name="Normal 2 11 16 2 2" xfId="19802" xr:uid="{00000000-0005-0000-0000-00005D4D0000}"/>
    <cellStyle name="Normal 2 11 16 3" xfId="19803" xr:uid="{00000000-0005-0000-0000-00005E4D0000}"/>
    <cellStyle name="Normal 2 11 16 4" xfId="19804" xr:uid="{00000000-0005-0000-0000-00005F4D0000}"/>
    <cellStyle name="Normal 2 11 16 5" xfId="19805" xr:uid="{00000000-0005-0000-0000-0000604D0000}"/>
    <cellStyle name="Normal 2 11 17" xfId="19806" xr:uid="{00000000-0005-0000-0000-0000614D0000}"/>
    <cellStyle name="Normal 2 11 17 2" xfId="19807" xr:uid="{00000000-0005-0000-0000-0000624D0000}"/>
    <cellStyle name="Normal 2 11 17 2 2" xfId="19808" xr:uid="{00000000-0005-0000-0000-0000634D0000}"/>
    <cellStyle name="Normal 2 11 17 3" xfId="19809" xr:uid="{00000000-0005-0000-0000-0000644D0000}"/>
    <cellStyle name="Normal 2 11 17 4" xfId="19810" xr:uid="{00000000-0005-0000-0000-0000654D0000}"/>
    <cellStyle name="Normal 2 11 17 5" xfId="19811" xr:uid="{00000000-0005-0000-0000-0000664D0000}"/>
    <cellStyle name="Normal 2 11 18" xfId="19812" xr:uid="{00000000-0005-0000-0000-0000674D0000}"/>
    <cellStyle name="Normal 2 11 18 2" xfId="19813" xr:uid="{00000000-0005-0000-0000-0000684D0000}"/>
    <cellStyle name="Normal 2 11 19" xfId="19814" xr:uid="{00000000-0005-0000-0000-0000694D0000}"/>
    <cellStyle name="Normal 2 11 2" xfId="19815" xr:uid="{00000000-0005-0000-0000-00006A4D0000}"/>
    <cellStyle name="Normal 2 11 2 10" xfId="19816" xr:uid="{00000000-0005-0000-0000-00006B4D0000}"/>
    <cellStyle name="Normal 2 11 2 11" xfId="19817" xr:uid="{00000000-0005-0000-0000-00006C4D0000}"/>
    <cellStyle name="Normal 2 11 2 2" xfId="19818" xr:uid="{00000000-0005-0000-0000-00006D4D0000}"/>
    <cellStyle name="Normal 2 11 2 2 2" xfId="19819" xr:uid="{00000000-0005-0000-0000-00006E4D0000}"/>
    <cellStyle name="Normal 2 11 2 2 2 2" xfId="19820" xr:uid="{00000000-0005-0000-0000-00006F4D0000}"/>
    <cellStyle name="Normal 2 11 2 2 2 2 2" xfId="19821" xr:uid="{00000000-0005-0000-0000-0000704D0000}"/>
    <cellStyle name="Normal 2 11 2 2 2 2 3" xfId="19822" xr:uid="{00000000-0005-0000-0000-0000714D0000}"/>
    <cellStyle name="Normal 2 11 2 2 2 3" xfId="19823" xr:uid="{00000000-0005-0000-0000-0000724D0000}"/>
    <cellStyle name="Normal 2 11 2 2 2 4" xfId="19824" xr:uid="{00000000-0005-0000-0000-0000734D0000}"/>
    <cellStyle name="Normal 2 11 2 2 2 5" xfId="19825" xr:uid="{00000000-0005-0000-0000-0000744D0000}"/>
    <cellStyle name="Normal 2 11 2 2 2 6" xfId="19826" xr:uid="{00000000-0005-0000-0000-0000754D0000}"/>
    <cellStyle name="Normal 2 11 2 2 3" xfId="19827" xr:uid="{00000000-0005-0000-0000-0000764D0000}"/>
    <cellStyle name="Normal 2 11 2 2 3 2" xfId="19828" xr:uid="{00000000-0005-0000-0000-0000774D0000}"/>
    <cellStyle name="Normal 2 11 2 2 3 2 2" xfId="19829" xr:uid="{00000000-0005-0000-0000-0000784D0000}"/>
    <cellStyle name="Normal 2 11 2 2 3 3" xfId="19830" xr:uid="{00000000-0005-0000-0000-0000794D0000}"/>
    <cellStyle name="Normal 2 11 2 2 3 4" xfId="19831" xr:uid="{00000000-0005-0000-0000-00007A4D0000}"/>
    <cellStyle name="Normal 2 11 2 2 3 5" xfId="19832" xr:uid="{00000000-0005-0000-0000-00007B4D0000}"/>
    <cellStyle name="Normal 2 11 2 2 4" xfId="19833" xr:uid="{00000000-0005-0000-0000-00007C4D0000}"/>
    <cellStyle name="Normal 2 11 2 2 4 2" xfId="19834" xr:uid="{00000000-0005-0000-0000-00007D4D0000}"/>
    <cellStyle name="Normal 2 11 2 2 4 3" xfId="19835" xr:uid="{00000000-0005-0000-0000-00007E4D0000}"/>
    <cellStyle name="Normal 2 11 2 2 4 4" xfId="19836" xr:uid="{00000000-0005-0000-0000-00007F4D0000}"/>
    <cellStyle name="Normal 2 11 2 2 5" xfId="19837" xr:uid="{00000000-0005-0000-0000-0000804D0000}"/>
    <cellStyle name="Normal 2 11 2 2 5 2" xfId="19838" xr:uid="{00000000-0005-0000-0000-0000814D0000}"/>
    <cellStyle name="Normal 2 11 2 2 6" xfId="19839" xr:uid="{00000000-0005-0000-0000-0000824D0000}"/>
    <cellStyle name="Normal 2 11 2 2 7" xfId="19840" xr:uid="{00000000-0005-0000-0000-0000834D0000}"/>
    <cellStyle name="Normal 2 11 2 2 8" xfId="19841" xr:uid="{00000000-0005-0000-0000-0000844D0000}"/>
    <cellStyle name="Normal 2 11 2 2 9" xfId="19842" xr:uid="{00000000-0005-0000-0000-0000854D0000}"/>
    <cellStyle name="Normal 2 11 2 3" xfId="19843" xr:uid="{00000000-0005-0000-0000-0000864D0000}"/>
    <cellStyle name="Normal 2 11 2 3 2" xfId="19844" xr:uid="{00000000-0005-0000-0000-0000874D0000}"/>
    <cellStyle name="Normal 2 11 2 3 2 2" xfId="19845" xr:uid="{00000000-0005-0000-0000-0000884D0000}"/>
    <cellStyle name="Normal 2 11 2 3 2 2 2" xfId="19846" xr:uid="{00000000-0005-0000-0000-0000894D0000}"/>
    <cellStyle name="Normal 2 11 2 3 2 2 3" xfId="19847" xr:uid="{00000000-0005-0000-0000-00008A4D0000}"/>
    <cellStyle name="Normal 2 11 2 3 2 3" xfId="19848" xr:uid="{00000000-0005-0000-0000-00008B4D0000}"/>
    <cellStyle name="Normal 2 11 2 3 2 4" xfId="19849" xr:uid="{00000000-0005-0000-0000-00008C4D0000}"/>
    <cellStyle name="Normal 2 11 2 3 2 5" xfId="19850" xr:uid="{00000000-0005-0000-0000-00008D4D0000}"/>
    <cellStyle name="Normal 2 11 2 3 2 6" xfId="19851" xr:uid="{00000000-0005-0000-0000-00008E4D0000}"/>
    <cellStyle name="Normal 2 11 2 3 3" xfId="19852" xr:uid="{00000000-0005-0000-0000-00008F4D0000}"/>
    <cellStyle name="Normal 2 11 2 3 3 2" xfId="19853" xr:uid="{00000000-0005-0000-0000-0000904D0000}"/>
    <cellStyle name="Normal 2 11 2 3 3 2 2" xfId="19854" xr:uid="{00000000-0005-0000-0000-0000914D0000}"/>
    <cellStyle name="Normal 2 11 2 3 3 3" xfId="19855" xr:uid="{00000000-0005-0000-0000-0000924D0000}"/>
    <cellStyle name="Normal 2 11 2 3 3 4" xfId="19856" xr:uid="{00000000-0005-0000-0000-0000934D0000}"/>
    <cellStyle name="Normal 2 11 2 3 3 5" xfId="19857" xr:uid="{00000000-0005-0000-0000-0000944D0000}"/>
    <cellStyle name="Normal 2 11 2 3 4" xfId="19858" xr:uid="{00000000-0005-0000-0000-0000954D0000}"/>
    <cellStyle name="Normal 2 11 2 3 4 2" xfId="19859" xr:uid="{00000000-0005-0000-0000-0000964D0000}"/>
    <cellStyle name="Normal 2 11 2 3 4 3" xfId="19860" xr:uid="{00000000-0005-0000-0000-0000974D0000}"/>
    <cellStyle name="Normal 2 11 2 3 4 4" xfId="19861" xr:uid="{00000000-0005-0000-0000-0000984D0000}"/>
    <cellStyle name="Normal 2 11 2 3 5" xfId="19862" xr:uid="{00000000-0005-0000-0000-0000994D0000}"/>
    <cellStyle name="Normal 2 11 2 3 5 2" xfId="19863" xr:uid="{00000000-0005-0000-0000-00009A4D0000}"/>
    <cellStyle name="Normal 2 11 2 3 6" xfId="19864" xr:uid="{00000000-0005-0000-0000-00009B4D0000}"/>
    <cellStyle name="Normal 2 11 2 3 7" xfId="19865" xr:uid="{00000000-0005-0000-0000-00009C4D0000}"/>
    <cellStyle name="Normal 2 11 2 3 8" xfId="19866" xr:uid="{00000000-0005-0000-0000-00009D4D0000}"/>
    <cellStyle name="Normal 2 11 2 3 9" xfId="19867" xr:uid="{00000000-0005-0000-0000-00009E4D0000}"/>
    <cellStyle name="Normal 2 11 2 4" xfId="19868" xr:uid="{00000000-0005-0000-0000-00009F4D0000}"/>
    <cellStyle name="Normal 2 11 2 4 2" xfId="19869" xr:uid="{00000000-0005-0000-0000-0000A04D0000}"/>
    <cellStyle name="Normal 2 11 2 4 2 2" xfId="19870" xr:uid="{00000000-0005-0000-0000-0000A14D0000}"/>
    <cellStyle name="Normal 2 11 2 4 2 3" xfId="19871" xr:uid="{00000000-0005-0000-0000-0000A24D0000}"/>
    <cellStyle name="Normal 2 11 2 4 3" xfId="19872" xr:uid="{00000000-0005-0000-0000-0000A34D0000}"/>
    <cellStyle name="Normal 2 11 2 4 4" xfId="19873" xr:uid="{00000000-0005-0000-0000-0000A44D0000}"/>
    <cellStyle name="Normal 2 11 2 4 5" xfId="19874" xr:uid="{00000000-0005-0000-0000-0000A54D0000}"/>
    <cellStyle name="Normal 2 11 2 4 6" xfId="19875" xr:uid="{00000000-0005-0000-0000-0000A64D0000}"/>
    <cellStyle name="Normal 2 11 2 5" xfId="19876" xr:uid="{00000000-0005-0000-0000-0000A74D0000}"/>
    <cellStyle name="Normal 2 11 2 5 2" xfId="19877" xr:uid="{00000000-0005-0000-0000-0000A84D0000}"/>
    <cellStyle name="Normal 2 11 2 5 2 2" xfId="19878" xr:uid="{00000000-0005-0000-0000-0000A94D0000}"/>
    <cellStyle name="Normal 2 11 2 5 3" xfId="19879" xr:uid="{00000000-0005-0000-0000-0000AA4D0000}"/>
    <cellStyle name="Normal 2 11 2 5 4" xfId="19880" xr:uid="{00000000-0005-0000-0000-0000AB4D0000}"/>
    <cellStyle name="Normal 2 11 2 5 5" xfId="19881" xr:uid="{00000000-0005-0000-0000-0000AC4D0000}"/>
    <cellStyle name="Normal 2 11 2 6" xfId="19882" xr:uid="{00000000-0005-0000-0000-0000AD4D0000}"/>
    <cellStyle name="Normal 2 11 2 6 2" xfId="19883" xr:uid="{00000000-0005-0000-0000-0000AE4D0000}"/>
    <cellStyle name="Normal 2 11 2 6 3" xfId="19884" xr:uid="{00000000-0005-0000-0000-0000AF4D0000}"/>
    <cellStyle name="Normal 2 11 2 6 4" xfId="19885" xr:uid="{00000000-0005-0000-0000-0000B04D0000}"/>
    <cellStyle name="Normal 2 11 2 7" xfId="19886" xr:uid="{00000000-0005-0000-0000-0000B14D0000}"/>
    <cellStyle name="Normal 2 11 2 7 2" xfId="19887" xr:uid="{00000000-0005-0000-0000-0000B24D0000}"/>
    <cellStyle name="Normal 2 11 2 8" xfId="19888" xr:uid="{00000000-0005-0000-0000-0000B34D0000}"/>
    <cellStyle name="Normal 2 11 2 9" xfId="19889" xr:uid="{00000000-0005-0000-0000-0000B44D0000}"/>
    <cellStyle name="Normal 2 11 20" xfId="19890" xr:uid="{00000000-0005-0000-0000-0000B54D0000}"/>
    <cellStyle name="Normal 2 11 21" xfId="19891" xr:uid="{00000000-0005-0000-0000-0000B64D0000}"/>
    <cellStyle name="Normal 2 11 22" xfId="19892" xr:uid="{00000000-0005-0000-0000-0000B74D0000}"/>
    <cellStyle name="Normal 2 11 3" xfId="19893" xr:uid="{00000000-0005-0000-0000-0000B84D0000}"/>
    <cellStyle name="Normal 2 11 3 10" xfId="19894" xr:uid="{00000000-0005-0000-0000-0000B94D0000}"/>
    <cellStyle name="Normal 2 11 3 11" xfId="19895" xr:uid="{00000000-0005-0000-0000-0000BA4D0000}"/>
    <cellStyle name="Normal 2 11 3 2" xfId="19896" xr:uid="{00000000-0005-0000-0000-0000BB4D0000}"/>
    <cellStyle name="Normal 2 11 3 2 2" xfId="19897" xr:uid="{00000000-0005-0000-0000-0000BC4D0000}"/>
    <cellStyle name="Normal 2 11 3 2 2 2" xfId="19898" xr:uid="{00000000-0005-0000-0000-0000BD4D0000}"/>
    <cellStyle name="Normal 2 11 3 2 2 2 2" xfId="19899" xr:uid="{00000000-0005-0000-0000-0000BE4D0000}"/>
    <cellStyle name="Normal 2 11 3 2 2 2 3" xfId="19900" xr:uid="{00000000-0005-0000-0000-0000BF4D0000}"/>
    <cellStyle name="Normal 2 11 3 2 2 3" xfId="19901" xr:uid="{00000000-0005-0000-0000-0000C04D0000}"/>
    <cellStyle name="Normal 2 11 3 2 2 4" xfId="19902" xr:uid="{00000000-0005-0000-0000-0000C14D0000}"/>
    <cellStyle name="Normal 2 11 3 2 2 5" xfId="19903" xr:uid="{00000000-0005-0000-0000-0000C24D0000}"/>
    <cellStyle name="Normal 2 11 3 2 2 6" xfId="19904" xr:uid="{00000000-0005-0000-0000-0000C34D0000}"/>
    <cellStyle name="Normal 2 11 3 2 3" xfId="19905" xr:uid="{00000000-0005-0000-0000-0000C44D0000}"/>
    <cellStyle name="Normal 2 11 3 2 3 2" xfId="19906" xr:uid="{00000000-0005-0000-0000-0000C54D0000}"/>
    <cellStyle name="Normal 2 11 3 2 3 2 2" xfId="19907" xr:uid="{00000000-0005-0000-0000-0000C64D0000}"/>
    <cellStyle name="Normal 2 11 3 2 3 3" xfId="19908" xr:uid="{00000000-0005-0000-0000-0000C74D0000}"/>
    <cellStyle name="Normal 2 11 3 2 3 4" xfId="19909" xr:uid="{00000000-0005-0000-0000-0000C84D0000}"/>
    <cellStyle name="Normal 2 11 3 2 3 5" xfId="19910" xr:uid="{00000000-0005-0000-0000-0000C94D0000}"/>
    <cellStyle name="Normal 2 11 3 2 4" xfId="19911" xr:uid="{00000000-0005-0000-0000-0000CA4D0000}"/>
    <cellStyle name="Normal 2 11 3 2 4 2" xfId="19912" xr:uid="{00000000-0005-0000-0000-0000CB4D0000}"/>
    <cellStyle name="Normal 2 11 3 2 4 3" xfId="19913" xr:uid="{00000000-0005-0000-0000-0000CC4D0000}"/>
    <cellStyle name="Normal 2 11 3 2 4 4" xfId="19914" xr:uid="{00000000-0005-0000-0000-0000CD4D0000}"/>
    <cellStyle name="Normal 2 11 3 2 5" xfId="19915" xr:uid="{00000000-0005-0000-0000-0000CE4D0000}"/>
    <cellStyle name="Normal 2 11 3 2 5 2" xfId="19916" xr:uid="{00000000-0005-0000-0000-0000CF4D0000}"/>
    <cellStyle name="Normal 2 11 3 2 6" xfId="19917" xr:uid="{00000000-0005-0000-0000-0000D04D0000}"/>
    <cellStyle name="Normal 2 11 3 2 7" xfId="19918" xr:uid="{00000000-0005-0000-0000-0000D14D0000}"/>
    <cellStyle name="Normal 2 11 3 2 8" xfId="19919" xr:uid="{00000000-0005-0000-0000-0000D24D0000}"/>
    <cellStyle name="Normal 2 11 3 2 9" xfId="19920" xr:uid="{00000000-0005-0000-0000-0000D34D0000}"/>
    <cellStyle name="Normal 2 11 3 3" xfId="19921" xr:uid="{00000000-0005-0000-0000-0000D44D0000}"/>
    <cellStyle name="Normal 2 11 3 3 2" xfId="19922" xr:uid="{00000000-0005-0000-0000-0000D54D0000}"/>
    <cellStyle name="Normal 2 11 3 3 2 2" xfId="19923" xr:uid="{00000000-0005-0000-0000-0000D64D0000}"/>
    <cellStyle name="Normal 2 11 3 3 2 2 2" xfId="19924" xr:uid="{00000000-0005-0000-0000-0000D74D0000}"/>
    <cellStyle name="Normal 2 11 3 3 2 2 3" xfId="19925" xr:uid="{00000000-0005-0000-0000-0000D84D0000}"/>
    <cellStyle name="Normal 2 11 3 3 2 3" xfId="19926" xr:uid="{00000000-0005-0000-0000-0000D94D0000}"/>
    <cellStyle name="Normal 2 11 3 3 2 4" xfId="19927" xr:uid="{00000000-0005-0000-0000-0000DA4D0000}"/>
    <cellStyle name="Normal 2 11 3 3 2 5" xfId="19928" xr:uid="{00000000-0005-0000-0000-0000DB4D0000}"/>
    <cellStyle name="Normal 2 11 3 3 2 6" xfId="19929" xr:uid="{00000000-0005-0000-0000-0000DC4D0000}"/>
    <cellStyle name="Normal 2 11 3 3 3" xfId="19930" xr:uid="{00000000-0005-0000-0000-0000DD4D0000}"/>
    <cellStyle name="Normal 2 11 3 3 3 2" xfId="19931" xr:uid="{00000000-0005-0000-0000-0000DE4D0000}"/>
    <cellStyle name="Normal 2 11 3 3 3 2 2" xfId="19932" xr:uid="{00000000-0005-0000-0000-0000DF4D0000}"/>
    <cellStyle name="Normal 2 11 3 3 3 3" xfId="19933" xr:uid="{00000000-0005-0000-0000-0000E04D0000}"/>
    <cellStyle name="Normal 2 11 3 3 3 4" xfId="19934" xr:uid="{00000000-0005-0000-0000-0000E14D0000}"/>
    <cellStyle name="Normal 2 11 3 3 3 5" xfId="19935" xr:uid="{00000000-0005-0000-0000-0000E24D0000}"/>
    <cellStyle name="Normal 2 11 3 3 4" xfId="19936" xr:uid="{00000000-0005-0000-0000-0000E34D0000}"/>
    <cellStyle name="Normal 2 11 3 3 4 2" xfId="19937" xr:uid="{00000000-0005-0000-0000-0000E44D0000}"/>
    <cellStyle name="Normal 2 11 3 3 4 3" xfId="19938" xr:uid="{00000000-0005-0000-0000-0000E54D0000}"/>
    <cellStyle name="Normal 2 11 3 3 4 4" xfId="19939" xr:uid="{00000000-0005-0000-0000-0000E64D0000}"/>
    <cellStyle name="Normal 2 11 3 3 5" xfId="19940" xr:uid="{00000000-0005-0000-0000-0000E74D0000}"/>
    <cellStyle name="Normal 2 11 3 3 5 2" xfId="19941" xr:uid="{00000000-0005-0000-0000-0000E84D0000}"/>
    <cellStyle name="Normal 2 11 3 3 6" xfId="19942" xr:uid="{00000000-0005-0000-0000-0000E94D0000}"/>
    <cellStyle name="Normal 2 11 3 3 7" xfId="19943" xr:uid="{00000000-0005-0000-0000-0000EA4D0000}"/>
    <cellStyle name="Normal 2 11 3 3 8" xfId="19944" xr:uid="{00000000-0005-0000-0000-0000EB4D0000}"/>
    <cellStyle name="Normal 2 11 3 3 9" xfId="19945" xr:uid="{00000000-0005-0000-0000-0000EC4D0000}"/>
    <cellStyle name="Normal 2 11 3 4" xfId="19946" xr:uid="{00000000-0005-0000-0000-0000ED4D0000}"/>
    <cellStyle name="Normal 2 11 3 4 2" xfId="19947" xr:uid="{00000000-0005-0000-0000-0000EE4D0000}"/>
    <cellStyle name="Normal 2 11 3 4 2 2" xfId="19948" xr:uid="{00000000-0005-0000-0000-0000EF4D0000}"/>
    <cellStyle name="Normal 2 11 3 4 2 3" xfId="19949" xr:uid="{00000000-0005-0000-0000-0000F04D0000}"/>
    <cellStyle name="Normal 2 11 3 4 3" xfId="19950" xr:uid="{00000000-0005-0000-0000-0000F14D0000}"/>
    <cellStyle name="Normal 2 11 3 4 4" xfId="19951" xr:uid="{00000000-0005-0000-0000-0000F24D0000}"/>
    <cellStyle name="Normal 2 11 3 4 5" xfId="19952" xr:uid="{00000000-0005-0000-0000-0000F34D0000}"/>
    <cellStyle name="Normal 2 11 3 4 6" xfId="19953" xr:uid="{00000000-0005-0000-0000-0000F44D0000}"/>
    <cellStyle name="Normal 2 11 3 5" xfId="19954" xr:uid="{00000000-0005-0000-0000-0000F54D0000}"/>
    <cellStyle name="Normal 2 11 3 5 2" xfId="19955" xr:uid="{00000000-0005-0000-0000-0000F64D0000}"/>
    <cellStyle name="Normal 2 11 3 5 2 2" xfId="19956" xr:uid="{00000000-0005-0000-0000-0000F74D0000}"/>
    <cellStyle name="Normal 2 11 3 5 3" xfId="19957" xr:uid="{00000000-0005-0000-0000-0000F84D0000}"/>
    <cellStyle name="Normal 2 11 3 5 4" xfId="19958" xr:uid="{00000000-0005-0000-0000-0000F94D0000}"/>
    <cellStyle name="Normal 2 11 3 5 5" xfId="19959" xr:uid="{00000000-0005-0000-0000-0000FA4D0000}"/>
    <cellStyle name="Normal 2 11 3 6" xfId="19960" xr:uid="{00000000-0005-0000-0000-0000FB4D0000}"/>
    <cellStyle name="Normal 2 11 3 6 2" xfId="19961" xr:uid="{00000000-0005-0000-0000-0000FC4D0000}"/>
    <cellStyle name="Normal 2 11 3 6 3" xfId="19962" xr:uid="{00000000-0005-0000-0000-0000FD4D0000}"/>
    <cellStyle name="Normal 2 11 3 6 4" xfId="19963" xr:uid="{00000000-0005-0000-0000-0000FE4D0000}"/>
    <cellStyle name="Normal 2 11 3 7" xfId="19964" xr:uid="{00000000-0005-0000-0000-0000FF4D0000}"/>
    <cellStyle name="Normal 2 11 3 7 2" xfId="19965" xr:uid="{00000000-0005-0000-0000-0000004E0000}"/>
    <cellStyle name="Normal 2 11 3 8" xfId="19966" xr:uid="{00000000-0005-0000-0000-0000014E0000}"/>
    <cellStyle name="Normal 2 11 3 9" xfId="19967" xr:uid="{00000000-0005-0000-0000-0000024E0000}"/>
    <cellStyle name="Normal 2 11 4" xfId="19968" xr:uid="{00000000-0005-0000-0000-0000034E0000}"/>
    <cellStyle name="Normal 2 11 4 10" xfId="19969" xr:uid="{00000000-0005-0000-0000-0000044E0000}"/>
    <cellStyle name="Normal 2 11 4 11" xfId="19970" xr:uid="{00000000-0005-0000-0000-0000054E0000}"/>
    <cellStyle name="Normal 2 11 4 2" xfId="19971" xr:uid="{00000000-0005-0000-0000-0000064E0000}"/>
    <cellStyle name="Normal 2 11 4 2 2" xfId="19972" xr:uid="{00000000-0005-0000-0000-0000074E0000}"/>
    <cellStyle name="Normal 2 11 4 2 2 2" xfId="19973" xr:uid="{00000000-0005-0000-0000-0000084E0000}"/>
    <cellStyle name="Normal 2 11 4 2 2 2 2" xfId="19974" xr:uid="{00000000-0005-0000-0000-0000094E0000}"/>
    <cellStyle name="Normal 2 11 4 2 2 2 3" xfId="19975" xr:uid="{00000000-0005-0000-0000-00000A4E0000}"/>
    <cellStyle name="Normal 2 11 4 2 2 3" xfId="19976" xr:uid="{00000000-0005-0000-0000-00000B4E0000}"/>
    <cellStyle name="Normal 2 11 4 2 2 4" xfId="19977" xr:uid="{00000000-0005-0000-0000-00000C4E0000}"/>
    <cellStyle name="Normal 2 11 4 2 2 5" xfId="19978" xr:uid="{00000000-0005-0000-0000-00000D4E0000}"/>
    <cellStyle name="Normal 2 11 4 2 2 6" xfId="19979" xr:uid="{00000000-0005-0000-0000-00000E4E0000}"/>
    <cellStyle name="Normal 2 11 4 2 3" xfId="19980" xr:uid="{00000000-0005-0000-0000-00000F4E0000}"/>
    <cellStyle name="Normal 2 11 4 2 3 2" xfId="19981" xr:uid="{00000000-0005-0000-0000-0000104E0000}"/>
    <cellStyle name="Normal 2 11 4 2 3 2 2" xfId="19982" xr:uid="{00000000-0005-0000-0000-0000114E0000}"/>
    <cellStyle name="Normal 2 11 4 2 3 3" xfId="19983" xr:uid="{00000000-0005-0000-0000-0000124E0000}"/>
    <cellStyle name="Normal 2 11 4 2 3 4" xfId="19984" xr:uid="{00000000-0005-0000-0000-0000134E0000}"/>
    <cellStyle name="Normal 2 11 4 2 3 5" xfId="19985" xr:uid="{00000000-0005-0000-0000-0000144E0000}"/>
    <cellStyle name="Normal 2 11 4 2 4" xfId="19986" xr:uid="{00000000-0005-0000-0000-0000154E0000}"/>
    <cellStyle name="Normal 2 11 4 2 4 2" xfId="19987" xr:uid="{00000000-0005-0000-0000-0000164E0000}"/>
    <cellStyle name="Normal 2 11 4 2 4 3" xfId="19988" xr:uid="{00000000-0005-0000-0000-0000174E0000}"/>
    <cellStyle name="Normal 2 11 4 2 4 4" xfId="19989" xr:uid="{00000000-0005-0000-0000-0000184E0000}"/>
    <cellStyle name="Normal 2 11 4 2 5" xfId="19990" xr:uid="{00000000-0005-0000-0000-0000194E0000}"/>
    <cellStyle name="Normal 2 11 4 2 5 2" xfId="19991" xr:uid="{00000000-0005-0000-0000-00001A4E0000}"/>
    <cellStyle name="Normal 2 11 4 2 6" xfId="19992" xr:uid="{00000000-0005-0000-0000-00001B4E0000}"/>
    <cellStyle name="Normal 2 11 4 2 7" xfId="19993" xr:uid="{00000000-0005-0000-0000-00001C4E0000}"/>
    <cellStyle name="Normal 2 11 4 2 8" xfId="19994" xr:uid="{00000000-0005-0000-0000-00001D4E0000}"/>
    <cellStyle name="Normal 2 11 4 2 9" xfId="19995" xr:uid="{00000000-0005-0000-0000-00001E4E0000}"/>
    <cellStyle name="Normal 2 11 4 3" xfId="19996" xr:uid="{00000000-0005-0000-0000-00001F4E0000}"/>
    <cellStyle name="Normal 2 11 4 3 2" xfId="19997" xr:uid="{00000000-0005-0000-0000-0000204E0000}"/>
    <cellStyle name="Normal 2 11 4 3 2 2" xfId="19998" xr:uid="{00000000-0005-0000-0000-0000214E0000}"/>
    <cellStyle name="Normal 2 11 4 3 2 2 2" xfId="19999" xr:uid="{00000000-0005-0000-0000-0000224E0000}"/>
    <cellStyle name="Normal 2 11 4 3 2 2 3" xfId="20000" xr:uid="{00000000-0005-0000-0000-0000234E0000}"/>
    <cellStyle name="Normal 2 11 4 3 2 3" xfId="20001" xr:uid="{00000000-0005-0000-0000-0000244E0000}"/>
    <cellStyle name="Normal 2 11 4 3 2 4" xfId="20002" xr:uid="{00000000-0005-0000-0000-0000254E0000}"/>
    <cellStyle name="Normal 2 11 4 3 2 5" xfId="20003" xr:uid="{00000000-0005-0000-0000-0000264E0000}"/>
    <cellStyle name="Normal 2 11 4 3 2 6" xfId="20004" xr:uid="{00000000-0005-0000-0000-0000274E0000}"/>
    <cellStyle name="Normal 2 11 4 3 3" xfId="20005" xr:uid="{00000000-0005-0000-0000-0000284E0000}"/>
    <cellStyle name="Normal 2 11 4 3 3 2" xfId="20006" xr:uid="{00000000-0005-0000-0000-0000294E0000}"/>
    <cellStyle name="Normal 2 11 4 3 3 2 2" xfId="20007" xr:uid="{00000000-0005-0000-0000-00002A4E0000}"/>
    <cellStyle name="Normal 2 11 4 3 3 3" xfId="20008" xr:uid="{00000000-0005-0000-0000-00002B4E0000}"/>
    <cellStyle name="Normal 2 11 4 3 3 4" xfId="20009" xr:uid="{00000000-0005-0000-0000-00002C4E0000}"/>
    <cellStyle name="Normal 2 11 4 3 3 5" xfId="20010" xr:uid="{00000000-0005-0000-0000-00002D4E0000}"/>
    <cellStyle name="Normal 2 11 4 3 4" xfId="20011" xr:uid="{00000000-0005-0000-0000-00002E4E0000}"/>
    <cellStyle name="Normal 2 11 4 3 4 2" xfId="20012" xr:uid="{00000000-0005-0000-0000-00002F4E0000}"/>
    <cellStyle name="Normal 2 11 4 3 4 3" xfId="20013" xr:uid="{00000000-0005-0000-0000-0000304E0000}"/>
    <cellStyle name="Normal 2 11 4 3 4 4" xfId="20014" xr:uid="{00000000-0005-0000-0000-0000314E0000}"/>
    <cellStyle name="Normal 2 11 4 3 5" xfId="20015" xr:uid="{00000000-0005-0000-0000-0000324E0000}"/>
    <cellStyle name="Normal 2 11 4 3 5 2" xfId="20016" xr:uid="{00000000-0005-0000-0000-0000334E0000}"/>
    <cellStyle name="Normal 2 11 4 3 6" xfId="20017" xr:uid="{00000000-0005-0000-0000-0000344E0000}"/>
    <cellStyle name="Normal 2 11 4 3 7" xfId="20018" xr:uid="{00000000-0005-0000-0000-0000354E0000}"/>
    <cellStyle name="Normal 2 11 4 3 8" xfId="20019" xr:uid="{00000000-0005-0000-0000-0000364E0000}"/>
    <cellStyle name="Normal 2 11 4 3 9" xfId="20020" xr:uid="{00000000-0005-0000-0000-0000374E0000}"/>
    <cellStyle name="Normal 2 11 4 4" xfId="20021" xr:uid="{00000000-0005-0000-0000-0000384E0000}"/>
    <cellStyle name="Normal 2 11 4 4 2" xfId="20022" xr:uid="{00000000-0005-0000-0000-0000394E0000}"/>
    <cellStyle name="Normal 2 11 4 4 2 2" xfId="20023" xr:uid="{00000000-0005-0000-0000-00003A4E0000}"/>
    <cellStyle name="Normal 2 11 4 4 2 3" xfId="20024" xr:uid="{00000000-0005-0000-0000-00003B4E0000}"/>
    <cellStyle name="Normal 2 11 4 4 3" xfId="20025" xr:uid="{00000000-0005-0000-0000-00003C4E0000}"/>
    <cellStyle name="Normal 2 11 4 4 4" xfId="20026" xr:uid="{00000000-0005-0000-0000-00003D4E0000}"/>
    <cellStyle name="Normal 2 11 4 4 5" xfId="20027" xr:uid="{00000000-0005-0000-0000-00003E4E0000}"/>
    <cellStyle name="Normal 2 11 4 4 6" xfId="20028" xr:uid="{00000000-0005-0000-0000-00003F4E0000}"/>
    <cellStyle name="Normal 2 11 4 5" xfId="20029" xr:uid="{00000000-0005-0000-0000-0000404E0000}"/>
    <cellStyle name="Normal 2 11 4 5 2" xfId="20030" xr:uid="{00000000-0005-0000-0000-0000414E0000}"/>
    <cellStyle name="Normal 2 11 4 5 2 2" xfId="20031" xr:uid="{00000000-0005-0000-0000-0000424E0000}"/>
    <cellStyle name="Normal 2 11 4 5 3" xfId="20032" xr:uid="{00000000-0005-0000-0000-0000434E0000}"/>
    <cellStyle name="Normal 2 11 4 5 4" xfId="20033" xr:uid="{00000000-0005-0000-0000-0000444E0000}"/>
    <cellStyle name="Normal 2 11 4 5 5" xfId="20034" xr:uid="{00000000-0005-0000-0000-0000454E0000}"/>
    <cellStyle name="Normal 2 11 4 6" xfId="20035" xr:uid="{00000000-0005-0000-0000-0000464E0000}"/>
    <cellStyle name="Normal 2 11 4 6 2" xfId="20036" xr:uid="{00000000-0005-0000-0000-0000474E0000}"/>
    <cellStyle name="Normal 2 11 4 6 3" xfId="20037" xr:uid="{00000000-0005-0000-0000-0000484E0000}"/>
    <cellStyle name="Normal 2 11 4 6 4" xfId="20038" xr:uid="{00000000-0005-0000-0000-0000494E0000}"/>
    <cellStyle name="Normal 2 11 4 7" xfId="20039" xr:uid="{00000000-0005-0000-0000-00004A4E0000}"/>
    <cellStyle name="Normal 2 11 4 7 2" xfId="20040" xr:uid="{00000000-0005-0000-0000-00004B4E0000}"/>
    <cellStyle name="Normal 2 11 4 8" xfId="20041" xr:uid="{00000000-0005-0000-0000-00004C4E0000}"/>
    <cellStyle name="Normal 2 11 4 9" xfId="20042" xr:uid="{00000000-0005-0000-0000-00004D4E0000}"/>
    <cellStyle name="Normal 2 11 5" xfId="20043" xr:uid="{00000000-0005-0000-0000-00004E4E0000}"/>
    <cellStyle name="Normal 2 11 5 10" xfId="20044" xr:uid="{00000000-0005-0000-0000-00004F4E0000}"/>
    <cellStyle name="Normal 2 11 5 11" xfId="20045" xr:uid="{00000000-0005-0000-0000-0000504E0000}"/>
    <cellStyle name="Normal 2 11 5 2" xfId="20046" xr:uid="{00000000-0005-0000-0000-0000514E0000}"/>
    <cellStyle name="Normal 2 11 5 2 2" xfId="20047" xr:uid="{00000000-0005-0000-0000-0000524E0000}"/>
    <cellStyle name="Normal 2 11 5 2 2 2" xfId="20048" xr:uid="{00000000-0005-0000-0000-0000534E0000}"/>
    <cellStyle name="Normal 2 11 5 2 2 2 2" xfId="20049" xr:uid="{00000000-0005-0000-0000-0000544E0000}"/>
    <cellStyle name="Normal 2 11 5 2 2 2 3" xfId="20050" xr:uid="{00000000-0005-0000-0000-0000554E0000}"/>
    <cellStyle name="Normal 2 11 5 2 2 3" xfId="20051" xr:uid="{00000000-0005-0000-0000-0000564E0000}"/>
    <cellStyle name="Normal 2 11 5 2 2 4" xfId="20052" xr:uid="{00000000-0005-0000-0000-0000574E0000}"/>
    <cellStyle name="Normal 2 11 5 2 2 5" xfId="20053" xr:uid="{00000000-0005-0000-0000-0000584E0000}"/>
    <cellStyle name="Normal 2 11 5 2 2 6" xfId="20054" xr:uid="{00000000-0005-0000-0000-0000594E0000}"/>
    <cellStyle name="Normal 2 11 5 2 3" xfId="20055" xr:uid="{00000000-0005-0000-0000-00005A4E0000}"/>
    <cellStyle name="Normal 2 11 5 2 3 2" xfId="20056" xr:uid="{00000000-0005-0000-0000-00005B4E0000}"/>
    <cellStyle name="Normal 2 11 5 2 3 2 2" xfId="20057" xr:uid="{00000000-0005-0000-0000-00005C4E0000}"/>
    <cellStyle name="Normal 2 11 5 2 3 3" xfId="20058" xr:uid="{00000000-0005-0000-0000-00005D4E0000}"/>
    <cellStyle name="Normal 2 11 5 2 3 4" xfId="20059" xr:uid="{00000000-0005-0000-0000-00005E4E0000}"/>
    <cellStyle name="Normal 2 11 5 2 3 5" xfId="20060" xr:uid="{00000000-0005-0000-0000-00005F4E0000}"/>
    <cellStyle name="Normal 2 11 5 2 4" xfId="20061" xr:uid="{00000000-0005-0000-0000-0000604E0000}"/>
    <cellStyle name="Normal 2 11 5 2 4 2" xfId="20062" xr:uid="{00000000-0005-0000-0000-0000614E0000}"/>
    <cellStyle name="Normal 2 11 5 2 4 3" xfId="20063" xr:uid="{00000000-0005-0000-0000-0000624E0000}"/>
    <cellStyle name="Normal 2 11 5 2 4 4" xfId="20064" xr:uid="{00000000-0005-0000-0000-0000634E0000}"/>
    <cellStyle name="Normal 2 11 5 2 5" xfId="20065" xr:uid="{00000000-0005-0000-0000-0000644E0000}"/>
    <cellStyle name="Normal 2 11 5 2 5 2" xfId="20066" xr:uid="{00000000-0005-0000-0000-0000654E0000}"/>
    <cellStyle name="Normal 2 11 5 2 6" xfId="20067" xr:uid="{00000000-0005-0000-0000-0000664E0000}"/>
    <cellStyle name="Normal 2 11 5 2 7" xfId="20068" xr:uid="{00000000-0005-0000-0000-0000674E0000}"/>
    <cellStyle name="Normal 2 11 5 2 8" xfId="20069" xr:uid="{00000000-0005-0000-0000-0000684E0000}"/>
    <cellStyle name="Normal 2 11 5 2 9" xfId="20070" xr:uid="{00000000-0005-0000-0000-0000694E0000}"/>
    <cellStyle name="Normal 2 11 5 3" xfId="20071" xr:uid="{00000000-0005-0000-0000-00006A4E0000}"/>
    <cellStyle name="Normal 2 11 5 3 2" xfId="20072" xr:uid="{00000000-0005-0000-0000-00006B4E0000}"/>
    <cellStyle name="Normal 2 11 5 3 2 2" xfId="20073" xr:uid="{00000000-0005-0000-0000-00006C4E0000}"/>
    <cellStyle name="Normal 2 11 5 3 2 2 2" xfId="20074" xr:uid="{00000000-0005-0000-0000-00006D4E0000}"/>
    <cellStyle name="Normal 2 11 5 3 2 2 3" xfId="20075" xr:uid="{00000000-0005-0000-0000-00006E4E0000}"/>
    <cellStyle name="Normal 2 11 5 3 2 3" xfId="20076" xr:uid="{00000000-0005-0000-0000-00006F4E0000}"/>
    <cellStyle name="Normal 2 11 5 3 2 4" xfId="20077" xr:uid="{00000000-0005-0000-0000-0000704E0000}"/>
    <cellStyle name="Normal 2 11 5 3 2 5" xfId="20078" xr:uid="{00000000-0005-0000-0000-0000714E0000}"/>
    <cellStyle name="Normal 2 11 5 3 2 6" xfId="20079" xr:uid="{00000000-0005-0000-0000-0000724E0000}"/>
    <cellStyle name="Normal 2 11 5 3 3" xfId="20080" xr:uid="{00000000-0005-0000-0000-0000734E0000}"/>
    <cellStyle name="Normal 2 11 5 3 3 2" xfId="20081" xr:uid="{00000000-0005-0000-0000-0000744E0000}"/>
    <cellStyle name="Normal 2 11 5 3 3 2 2" xfId="20082" xr:uid="{00000000-0005-0000-0000-0000754E0000}"/>
    <cellStyle name="Normal 2 11 5 3 3 3" xfId="20083" xr:uid="{00000000-0005-0000-0000-0000764E0000}"/>
    <cellStyle name="Normal 2 11 5 3 3 4" xfId="20084" xr:uid="{00000000-0005-0000-0000-0000774E0000}"/>
    <cellStyle name="Normal 2 11 5 3 3 5" xfId="20085" xr:uid="{00000000-0005-0000-0000-0000784E0000}"/>
    <cellStyle name="Normal 2 11 5 3 4" xfId="20086" xr:uid="{00000000-0005-0000-0000-0000794E0000}"/>
    <cellStyle name="Normal 2 11 5 3 4 2" xfId="20087" xr:uid="{00000000-0005-0000-0000-00007A4E0000}"/>
    <cellStyle name="Normal 2 11 5 3 4 3" xfId="20088" xr:uid="{00000000-0005-0000-0000-00007B4E0000}"/>
    <cellStyle name="Normal 2 11 5 3 4 4" xfId="20089" xr:uid="{00000000-0005-0000-0000-00007C4E0000}"/>
    <cellStyle name="Normal 2 11 5 3 5" xfId="20090" xr:uid="{00000000-0005-0000-0000-00007D4E0000}"/>
    <cellStyle name="Normal 2 11 5 3 5 2" xfId="20091" xr:uid="{00000000-0005-0000-0000-00007E4E0000}"/>
    <cellStyle name="Normal 2 11 5 3 6" xfId="20092" xr:uid="{00000000-0005-0000-0000-00007F4E0000}"/>
    <cellStyle name="Normal 2 11 5 3 7" xfId="20093" xr:uid="{00000000-0005-0000-0000-0000804E0000}"/>
    <cellStyle name="Normal 2 11 5 3 8" xfId="20094" xr:uid="{00000000-0005-0000-0000-0000814E0000}"/>
    <cellStyle name="Normal 2 11 5 3 9" xfId="20095" xr:uid="{00000000-0005-0000-0000-0000824E0000}"/>
    <cellStyle name="Normal 2 11 5 4" xfId="20096" xr:uid="{00000000-0005-0000-0000-0000834E0000}"/>
    <cellStyle name="Normal 2 11 5 4 2" xfId="20097" xr:uid="{00000000-0005-0000-0000-0000844E0000}"/>
    <cellStyle name="Normal 2 11 5 4 2 2" xfId="20098" xr:uid="{00000000-0005-0000-0000-0000854E0000}"/>
    <cellStyle name="Normal 2 11 5 4 2 3" xfId="20099" xr:uid="{00000000-0005-0000-0000-0000864E0000}"/>
    <cellStyle name="Normal 2 11 5 4 3" xfId="20100" xr:uid="{00000000-0005-0000-0000-0000874E0000}"/>
    <cellStyle name="Normal 2 11 5 4 4" xfId="20101" xr:uid="{00000000-0005-0000-0000-0000884E0000}"/>
    <cellStyle name="Normal 2 11 5 4 5" xfId="20102" xr:uid="{00000000-0005-0000-0000-0000894E0000}"/>
    <cellStyle name="Normal 2 11 5 4 6" xfId="20103" xr:uid="{00000000-0005-0000-0000-00008A4E0000}"/>
    <cellStyle name="Normal 2 11 5 5" xfId="20104" xr:uid="{00000000-0005-0000-0000-00008B4E0000}"/>
    <cellStyle name="Normal 2 11 5 5 2" xfId="20105" xr:uid="{00000000-0005-0000-0000-00008C4E0000}"/>
    <cellStyle name="Normal 2 11 5 5 2 2" xfId="20106" xr:uid="{00000000-0005-0000-0000-00008D4E0000}"/>
    <cellStyle name="Normal 2 11 5 5 3" xfId="20107" xr:uid="{00000000-0005-0000-0000-00008E4E0000}"/>
    <cellStyle name="Normal 2 11 5 5 4" xfId="20108" xr:uid="{00000000-0005-0000-0000-00008F4E0000}"/>
    <cellStyle name="Normal 2 11 5 5 5" xfId="20109" xr:uid="{00000000-0005-0000-0000-0000904E0000}"/>
    <cellStyle name="Normal 2 11 5 6" xfId="20110" xr:uid="{00000000-0005-0000-0000-0000914E0000}"/>
    <cellStyle name="Normal 2 11 5 6 2" xfId="20111" xr:uid="{00000000-0005-0000-0000-0000924E0000}"/>
    <cellStyle name="Normal 2 11 5 6 3" xfId="20112" xr:uid="{00000000-0005-0000-0000-0000934E0000}"/>
    <cellStyle name="Normal 2 11 5 6 4" xfId="20113" xr:uid="{00000000-0005-0000-0000-0000944E0000}"/>
    <cellStyle name="Normal 2 11 5 7" xfId="20114" xr:uid="{00000000-0005-0000-0000-0000954E0000}"/>
    <cellStyle name="Normal 2 11 5 7 2" xfId="20115" xr:uid="{00000000-0005-0000-0000-0000964E0000}"/>
    <cellStyle name="Normal 2 11 5 8" xfId="20116" xr:uid="{00000000-0005-0000-0000-0000974E0000}"/>
    <cellStyle name="Normal 2 11 5 9" xfId="20117" xr:uid="{00000000-0005-0000-0000-0000984E0000}"/>
    <cellStyle name="Normal 2 11 6" xfId="20118" xr:uid="{00000000-0005-0000-0000-0000994E0000}"/>
    <cellStyle name="Normal 2 11 6 10" xfId="20119" xr:uid="{00000000-0005-0000-0000-00009A4E0000}"/>
    <cellStyle name="Normal 2 11 6 11" xfId="20120" xr:uid="{00000000-0005-0000-0000-00009B4E0000}"/>
    <cellStyle name="Normal 2 11 6 2" xfId="20121" xr:uid="{00000000-0005-0000-0000-00009C4E0000}"/>
    <cellStyle name="Normal 2 11 6 2 2" xfId="20122" xr:uid="{00000000-0005-0000-0000-00009D4E0000}"/>
    <cellStyle name="Normal 2 11 6 2 2 2" xfId="20123" xr:uid="{00000000-0005-0000-0000-00009E4E0000}"/>
    <cellStyle name="Normal 2 11 6 2 2 2 2" xfId="20124" xr:uid="{00000000-0005-0000-0000-00009F4E0000}"/>
    <cellStyle name="Normal 2 11 6 2 2 2 3" xfId="20125" xr:uid="{00000000-0005-0000-0000-0000A04E0000}"/>
    <cellStyle name="Normal 2 11 6 2 2 3" xfId="20126" xr:uid="{00000000-0005-0000-0000-0000A14E0000}"/>
    <cellStyle name="Normal 2 11 6 2 2 4" xfId="20127" xr:uid="{00000000-0005-0000-0000-0000A24E0000}"/>
    <cellStyle name="Normal 2 11 6 2 2 5" xfId="20128" xr:uid="{00000000-0005-0000-0000-0000A34E0000}"/>
    <cellStyle name="Normal 2 11 6 2 2 6" xfId="20129" xr:uid="{00000000-0005-0000-0000-0000A44E0000}"/>
    <cellStyle name="Normal 2 11 6 2 3" xfId="20130" xr:uid="{00000000-0005-0000-0000-0000A54E0000}"/>
    <cellStyle name="Normal 2 11 6 2 3 2" xfId="20131" xr:uid="{00000000-0005-0000-0000-0000A64E0000}"/>
    <cellStyle name="Normal 2 11 6 2 3 2 2" xfId="20132" xr:uid="{00000000-0005-0000-0000-0000A74E0000}"/>
    <cellStyle name="Normal 2 11 6 2 3 3" xfId="20133" xr:uid="{00000000-0005-0000-0000-0000A84E0000}"/>
    <cellStyle name="Normal 2 11 6 2 3 4" xfId="20134" xr:uid="{00000000-0005-0000-0000-0000A94E0000}"/>
    <cellStyle name="Normal 2 11 6 2 3 5" xfId="20135" xr:uid="{00000000-0005-0000-0000-0000AA4E0000}"/>
    <cellStyle name="Normal 2 11 6 2 4" xfId="20136" xr:uid="{00000000-0005-0000-0000-0000AB4E0000}"/>
    <cellStyle name="Normal 2 11 6 2 4 2" xfId="20137" xr:uid="{00000000-0005-0000-0000-0000AC4E0000}"/>
    <cellStyle name="Normal 2 11 6 2 4 3" xfId="20138" xr:uid="{00000000-0005-0000-0000-0000AD4E0000}"/>
    <cellStyle name="Normal 2 11 6 2 4 4" xfId="20139" xr:uid="{00000000-0005-0000-0000-0000AE4E0000}"/>
    <cellStyle name="Normal 2 11 6 2 5" xfId="20140" xr:uid="{00000000-0005-0000-0000-0000AF4E0000}"/>
    <cellStyle name="Normal 2 11 6 2 5 2" xfId="20141" xr:uid="{00000000-0005-0000-0000-0000B04E0000}"/>
    <cellStyle name="Normal 2 11 6 2 6" xfId="20142" xr:uid="{00000000-0005-0000-0000-0000B14E0000}"/>
    <cellStyle name="Normal 2 11 6 2 7" xfId="20143" xr:uid="{00000000-0005-0000-0000-0000B24E0000}"/>
    <cellStyle name="Normal 2 11 6 2 8" xfId="20144" xr:uid="{00000000-0005-0000-0000-0000B34E0000}"/>
    <cellStyle name="Normal 2 11 6 2 9" xfId="20145" xr:uid="{00000000-0005-0000-0000-0000B44E0000}"/>
    <cellStyle name="Normal 2 11 6 3" xfId="20146" xr:uid="{00000000-0005-0000-0000-0000B54E0000}"/>
    <cellStyle name="Normal 2 11 6 3 2" xfId="20147" xr:uid="{00000000-0005-0000-0000-0000B64E0000}"/>
    <cellStyle name="Normal 2 11 6 3 2 2" xfId="20148" xr:uid="{00000000-0005-0000-0000-0000B74E0000}"/>
    <cellStyle name="Normal 2 11 6 3 2 2 2" xfId="20149" xr:uid="{00000000-0005-0000-0000-0000B84E0000}"/>
    <cellStyle name="Normal 2 11 6 3 2 2 3" xfId="20150" xr:uid="{00000000-0005-0000-0000-0000B94E0000}"/>
    <cellStyle name="Normal 2 11 6 3 2 3" xfId="20151" xr:uid="{00000000-0005-0000-0000-0000BA4E0000}"/>
    <cellStyle name="Normal 2 11 6 3 2 4" xfId="20152" xr:uid="{00000000-0005-0000-0000-0000BB4E0000}"/>
    <cellStyle name="Normal 2 11 6 3 2 5" xfId="20153" xr:uid="{00000000-0005-0000-0000-0000BC4E0000}"/>
    <cellStyle name="Normal 2 11 6 3 2 6" xfId="20154" xr:uid="{00000000-0005-0000-0000-0000BD4E0000}"/>
    <cellStyle name="Normal 2 11 6 3 3" xfId="20155" xr:uid="{00000000-0005-0000-0000-0000BE4E0000}"/>
    <cellStyle name="Normal 2 11 6 3 3 2" xfId="20156" xr:uid="{00000000-0005-0000-0000-0000BF4E0000}"/>
    <cellStyle name="Normal 2 11 6 3 3 2 2" xfId="20157" xr:uid="{00000000-0005-0000-0000-0000C04E0000}"/>
    <cellStyle name="Normal 2 11 6 3 3 3" xfId="20158" xr:uid="{00000000-0005-0000-0000-0000C14E0000}"/>
    <cellStyle name="Normal 2 11 6 3 3 4" xfId="20159" xr:uid="{00000000-0005-0000-0000-0000C24E0000}"/>
    <cellStyle name="Normal 2 11 6 3 3 5" xfId="20160" xr:uid="{00000000-0005-0000-0000-0000C34E0000}"/>
    <cellStyle name="Normal 2 11 6 3 4" xfId="20161" xr:uid="{00000000-0005-0000-0000-0000C44E0000}"/>
    <cellStyle name="Normal 2 11 6 3 4 2" xfId="20162" xr:uid="{00000000-0005-0000-0000-0000C54E0000}"/>
    <cellStyle name="Normal 2 11 6 3 4 3" xfId="20163" xr:uid="{00000000-0005-0000-0000-0000C64E0000}"/>
    <cellStyle name="Normal 2 11 6 3 4 4" xfId="20164" xr:uid="{00000000-0005-0000-0000-0000C74E0000}"/>
    <cellStyle name="Normal 2 11 6 3 5" xfId="20165" xr:uid="{00000000-0005-0000-0000-0000C84E0000}"/>
    <cellStyle name="Normal 2 11 6 3 5 2" xfId="20166" xr:uid="{00000000-0005-0000-0000-0000C94E0000}"/>
    <cellStyle name="Normal 2 11 6 3 6" xfId="20167" xr:uid="{00000000-0005-0000-0000-0000CA4E0000}"/>
    <cellStyle name="Normal 2 11 6 3 7" xfId="20168" xr:uid="{00000000-0005-0000-0000-0000CB4E0000}"/>
    <cellStyle name="Normal 2 11 6 3 8" xfId="20169" xr:uid="{00000000-0005-0000-0000-0000CC4E0000}"/>
    <cellStyle name="Normal 2 11 6 3 9" xfId="20170" xr:uid="{00000000-0005-0000-0000-0000CD4E0000}"/>
    <cellStyle name="Normal 2 11 6 4" xfId="20171" xr:uid="{00000000-0005-0000-0000-0000CE4E0000}"/>
    <cellStyle name="Normal 2 11 6 4 2" xfId="20172" xr:uid="{00000000-0005-0000-0000-0000CF4E0000}"/>
    <cellStyle name="Normal 2 11 6 4 2 2" xfId="20173" xr:uid="{00000000-0005-0000-0000-0000D04E0000}"/>
    <cellStyle name="Normal 2 11 6 4 2 3" xfId="20174" xr:uid="{00000000-0005-0000-0000-0000D14E0000}"/>
    <cellStyle name="Normal 2 11 6 4 3" xfId="20175" xr:uid="{00000000-0005-0000-0000-0000D24E0000}"/>
    <cellStyle name="Normal 2 11 6 4 4" xfId="20176" xr:uid="{00000000-0005-0000-0000-0000D34E0000}"/>
    <cellStyle name="Normal 2 11 6 4 5" xfId="20177" xr:uid="{00000000-0005-0000-0000-0000D44E0000}"/>
    <cellStyle name="Normal 2 11 6 4 6" xfId="20178" xr:uid="{00000000-0005-0000-0000-0000D54E0000}"/>
    <cellStyle name="Normal 2 11 6 5" xfId="20179" xr:uid="{00000000-0005-0000-0000-0000D64E0000}"/>
    <cellStyle name="Normal 2 11 6 5 2" xfId="20180" xr:uid="{00000000-0005-0000-0000-0000D74E0000}"/>
    <cellStyle name="Normal 2 11 6 5 2 2" xfId="20181" xr:uid="{00000000-0005-0000-0000-0000D84E0000}"/>
    <cellStyle name="Normal 2 11 6 5 3" xfId="20182" xr:uid="{00000000-0005-0000-0000-0000D94E0000}"/>
    <cellStyle name="Normal 2 11 6 5 4" xfId="20183" xr:uid="{00000000-0005-0000-0000-0000DA4E0000}"/>
    <cellStyle name="Normal 2 11 6 5 5" xfId="20184" xr:uid="{00000000-0005-0000-0000-0000DB4E0000}"/>
    <cellStyle name="Normal 2 11 6 6" xfId="20185" xr:uid="{00000000-0005-0000-0000-0000DC4E0000}"/>
    <cellStyle name="Normal 2 11 6 6 2" xfId="20186" xr:uid="{00000000-0005-0000-0000-0000DD4E0000}"/>
    <cellStyle name="Normal 2 11 6 6 3" xfId="20187" xr:uid="{00000000-0005-0000-0000-0000DE4E0000}"/>
    <cellStyle name="Normal 2 11 6 6 4" xfId="20188" xr:uid="{00000000-0005-0000-0000-0000DF4E0000}"/>
    <cellStyle name="Normal 2 11 6 7" xfId="20189" xr:uid="{00000000-0005-0000-0000-0000E04E0000}"/>
    <cellStyle name="Normal 2 11 6 7 2" xfId="20190" xr:uid="{00000000-0005-0000-0000-0000E14E0000}"/>
    <cellStyle name="Normal 2 11 6 8" xfId="20191" xr:uid="{00000000-0005-0000-0000-0000E24E0000}"/>
    <cellStyle name="Normal 2 11 6 9" xfId="20192" xr:uid="{00000000-0005-0000-0000-0000E34E0000}"/>
    <cellStyle name="Normal 2 11 7" xfId="20193" xr:uid="{00000000-0005-0000-0000-0000E44E0000}"/>
    <cellStyle name="Normal 2 11 7 10" xfId="20194" xr:uid="{00000000-0005-0000-0000-0000E54E0000}"/>
    <cellStyle name="Normal 2 11 7 11" xfId="20195" xr:uid="{00000000-0005-0000-0000-0000E64E0000}"/>
    <cellStyle name="Normal 2 11 7 2" xfId="20196" xr:uid="{00000000-0005-0000-0000-0000E74E0000}"/>
    <cellStyle name="Normal 2 11 7 2 2" xfId="20197" xr:uid="{00000000-0005-0000-0000-0000E84E0000}"/>
    <cellStyle name="Normal 2 11 7 2 2 2" xfId="20198" xr:uid="{00000000-0005-0000-0000-0000E94E0000}"/>
    <cellStyle name="Normal 2 11 7 2 2 2 2" xfId="20199" xr:uid="{00000000-0005-0000-0000-0000EA4E0000}"/>
    <cellStyle name="Normal 2 11 7 2 2 2 3" xfId="20200" xr:uid="{00000000-0005-0000-0000-0000EB4E0000}"/>
    <cellStyle name="Normal 2 11 7 2 2 3" xfId="20201" xr:uid="{00000000-0005-0000-0000-0000EC4E0000}"/>
    <cellStyle name="Normal 2 11 7 2 2 4" xfId="20202" xr:uid="{00000000-0005-0000-0000-0000ED4E0000}"/>
    <cellStyle name="Normal 2 11 7 2 2 5" xfId="20203" xr:uid="{00000000-0005-0000-0000-0000EE4E0000}"/>
    <cellStyle name="Normal 2 11 7 2 2 6" xfId="20204" xr:uid="{00000000-0005-0000-0000-0000EF4E0000}"/>
    <cellStyle name="Normal 2 11 7 2 3" xfId="20205" xr:uid="{00000000-0005-0000-0000-0000F04E0000}"/>
    <cellStyle name="Normal 2 11 7 2 3 2" xfId="20206" xr:uid="{00000000-0005-0000-0000-0000F14E0000}"/>
    <cellStyle name="Normal 2 11 7 2 3 2 2" xfId="20207" xr:uid="{00000000-0005-0000-0000-0000F24E0000}"/>
    <cellStyle name="Normal 2 11 7 2 3 3" xfId="20208" xr:uid="{00000000-0005-0000-0000-0000F34E0000}"/>
    <cellStyle name="Normal 2 11 7 2 3 4" xfId="20209" xr:uid="{00000000-0005-0000-0000-0000F44E0000}"/>
    <cellStyle name="Normal 2 11 7 2 3 5" xfId="20210" xr:uid="{00000000-0005-0000-0000-0000F54E0000}"/>
    <cellStyle name="Normal 2 11 7 2 4" xfId="20211" xr:uid="{00000000-0005-0000-0000-0000F64E0000}"/>
    <cellStyle name="Normal 2 11 7 2 4 2" xfId="20212" xr:uid="{00000000-0005-0000-0000-0000F74E0000}"/>
    <cellStyle name="Normal 2 11 7 2 4 3" xfId="20213" xr:uid="{00000000-0005-0000-0000-0000F84E0000}"/>
    <cellStyle name="Normal 2 11 7 2 4 4" xfId="20214" xr:uid="{00000000-0005-0000-0000-0000F94E0000}"/>
    <cellStyle name="Normal 2 11 7 2 5" xfId="20215" xr:uid="{00000000-0005-0000-0000-0000FA4E0000}"/>
    <cellStyle name="Normal 2 11 7 2 5 2" xfId="20216" xr:uid="{00000000-0005-0000-0000-0000FB4E0000}"/>
    <cellStyle name="Normal 2 11 7 2 6" xfId="20217" xr:uid="{00000000-0005-0000-0000-0000FC4E0000}"/>
    <cellStyle name="Normal 2 11 7 2 7" xfId="20218" xr:uid="{00000000-0005-0000-0000-0000FD4E0000}"/>
    <cellStyle name="Normal 2 11 7 2 8" xfId="20219" xr:uid="{00000000-0005-0000-0000-0000FE4E0000}"/>
    <cellStyle name="Normal 2 11 7 2 9" xfId="20220" xr:uid="{00000000-0005-0000-0000-0000FF4E0000}"/>
    <cellStyle name="Normal 2 11 7 3" xfId="20221" xr:uid="{00000000-0005-0000-0000-0000004F0000}"/>
    <cellStyle name="Normal 2 11 7 3 2" xfId="20222" xr:uid="{00000000-0005-0000-0000-0000014F0000}"/>
    <cellStyle name="Normal 2 11 7 3 2 2" xfId="20223" xr:uid="{00000000-0005-0000-0000-0000024F0000}"/>
    <cellStyle name="Normal 2 11 7 3 2 2 2" xfId="20224" xr:uid="{00000000-0005-0000-0000-0000034F0000}"/>
    <cellStyle name="Normal 2 11 7 3 2 2 3" xfId="20225" xr:uid="{00000000-0005-0000-0000-0000044F0000}"/>
    <cellStyle name="Normal 2 11 7 3 2 3" xfId="20226" xr:uid="{00000000-0005-0000-0000-0000054F0000}"/>
    <cellStyle name="Normal 2 11 7 3 2 4" xfId="20227" xr:uid="{00000000-0005-0000-0000-0000064F0000}"/>
    <cellStyle name="Normal 2 11 7 3 2 5" xfId="20228" xr:uid="{00000000-0005-0000-0000-0000074F0000}"/>
    <cellStyle name="Normal 2 11 7 3 2 6" xfId="20229" xr:uid="{00000000-0005-0000-0000-0000084F0000}"/>
    <cellStyle name="Normal 2 11 7 3 3" xfId="20230" xr:uid="{00000000-0005-0000-0000-0000094F0000}"/>
    <cellStyle name="Normal 2 11 7 3 3 2" xfId="20231" xr:uid="{00000000-0005-0000-0000-00000A4F0000}"/>
    <cellStyle name="Normal 2 11 7 3 3 2 2" xfId="20232" xr:uid="{00000000-0005-0000-0000-00000B4F0000}"/>
    <cellStyle name="Normal 2 11 7 3 3 3" xfId="20233" xr:uid="{00000000-0005-0000-0000-00000C4F0000}"/>
    <cellStyle name="Normal 2 11 7 3 3 4" xfId="20234" xr:uid="{00000000-0005-0000-0000-00000D4F0000}"/>
    <cellStyle name="Normal 2 11 7 3 3 5" xfId="20235" xr:uid="{00000000-0005-0000-0000-00000E4F0000}"/>
    <cellStyle name="Normal 2 11 7 3 4" xfId="20236" xr:uid="{00000000-0005-0000-0000-00000F4F0000}"/>
    <cellStyle name="Normal 2 11 7 3 4 2" xfId="20237" xr:uid="{00000000-0005-0000-0000-0000104F0000}"/>
    <cellStyle name="Normal 2 11 7 3 4 3" xfId="20238" xr:uid="{00000000-0005-0000-0000-0000114F0000}"/>
    <cellStyle name="Normal 2 11 7 3 4 4" xfId="20239" xr:uid="{00000000-0005-0000-0000-0000124F0000}"/>
    <cellStyle name="Normal 2 11 7 3 5" xfId="20240" xr:uid="{00000000-0005-0000-0000-0000134F0000}"/>
    <cellStyle name="Normal 2 11 7 3 5 2" xfId="20241" xr:uid="{00000000-0005-0000-0000-0000144F0000}"/>
    <cellStyle name="Normal 2 11 7 3 6" xfId="20242" xr:uid="{00000000-0005-0000-0000-0000154F0000}"/>
    <cellStyle name="Normal 2 11 7 3 7" xfId="20243" xr:uid="{00000000-0005-0000-0000-0000164F0000}"/>
    <cellStyle name="Normal 2 11 7 3 8" xfId="20244" xr:uid="{00000000-0005-0000-0000-0000174F0000}"/>
    <cellStyle name="Normal 2 11 7 3 9" xfId="20245" xr:uid="{00000000-0005-0000-0000-0000184F0000}"/>
    <cellStyle name="Normal 2 11 7 4" xfId="20246" xr:uid="{00000000-0005-0000-0000-0000194F0000}"/>
    <cellStyle name="Normal 2 11 7 4 2" xfId="20247" xr:uid="{00000000-0005-0000-0000-00001A4F0000}"/>
    <cellStyle name="Normal 2 11 7 4 2 2" xfId="20248" xr:uid="{00000000-0005-0000-0000-00001B4F0000}"/>
    <cellStyle name="Normal 2 11 7 4 2 3" xfId="20249" xr:uid="{00000000-0005-0000-0000-00001C4F0000}"/>
    <cellStyle name="Normal 2 11 7 4 3" xfId="20250" xr:uid="{00000000-0005-0000-0000-00001D4F0000}"/>
    <cellStyle name="Normal 2 11 7 4 4" xfId="20251" xr:uid="{00000000-0005-0000-0000-00001E4F0000}"/>
    <cellStyle name="Normal 2 11 7 4 5" xfId="20252" xr:uid="{00000000-0005-0000-0000-00001F4F0000}"/>
    <cellStyle name="Normal 2 11 7 4 6" xfId="20253" xr:uid="{00000000-0005-0000-0000-0000204F0000}"/>
    <cellStyle name="Normal 2 11 7 5" xfId="20254" xr:uid="{00000000-0005-0000-0000-0000214F0000}"/>
    <cellStyle name="Normal 2 11 7 5 2" xfId="20255" xr:uid="{00000000-0005-0000-0000-0000224F0000}"/>
    <cellStyle name="Normal 2 11 7 5 2 2" xfId="20256" xr:uid="{00000000-0005-0000-0000-0000234F0000}"/>
    <cellStyle name="Normal 2 11 7 5 3" xfId="20257" xr:uid="{00000000-0005-0000-0000-0000244F0000}"/>
    <cellStyle name="Normal 2 11 7 5 4" xfId="20258" xr:uid="{00000000-0005-0000-0000-0000254F0000}"/>
    <cellStyle name="Normal 2 11 7 5 5" xfId="20259" xr:uid="{00000000-0005-0000-0000-0000264F0000}"/>
    <cellStyle name="Normal 2 11 7 6" xfId="20260" xr:uid="{00000000-0005-0000-0000-0000274F0000}"/>
    <cellStyle name="Normal 2 11 7 6 2" xfId="20261" xr:uid="{00000000-0005-0000-0000-0000284F0000}"/>
    <cellStyle name="Normal 2 11 7 6 3" xfId="20262" xr:uid="{00000000-0005-0000-0000-0000294F0000}"/>
    <cellStyle name="Normal 2 11 7 6 4" xfId="20263" xr:uid="{00000000-0005-0000-0000-00002A4F0000}"/>
    <cellStyle name="Normal 2 11 7 7" xfId="20264" xr:uid="{00000000-0005-0000-0000-00002B4F0000}"/>
    <cellStyle name="Normal 2 11 7 7 2" xfId="20265" xr:uid="{00000000-0005-0000-0000-00002C4F0000}"/>
    <cellStyle name="Normal 2 11 7 8" xfId="20266" xr:uid="{00000000-0005-0000-0000-00002D4F0000}"/>
    <cellStyle name="Normal 2 11 7 9" xfId="20267" xr:uid="{00000000-0005-0000-0000-00002E4F0000}"/>
    <cellStyle name="Normal 2 11 8" xfId="20268" xr:uid="{00000000-0005-0000-0000-00002F4F0000}"/>
    <cellStyle name="Normal 2 11 8 10" xfId="20269" xr:uid="{00000000-0005-0000-0000-0000304F0000}"/>
    <cellStyle name="Normal 2 11 8 2" xfId="20270" xr:uid="{00000000-0005-0000-0000-0000314F0000}"/>
    <cellStyle name="Normal 2 11 8 2 2" xfId="20271" xr:uid="{00000000-0005-0000-0000-0000324F0000}"/>
    <cellStyle name="Normal 2 11 8 2 2 2" xfId="20272" xr:uid="{00000000-0005-0000-0000-0000334F0000}"/>
    <cellStyle name="Normal 2 11 8 2 2 3" xfId="20273" xr:uid="{00000000-0005-0000-0000-0000344F0000}"/>
    <cellStyle name="Normal 2 11 8 2 3" xfId="20274" xr:uid="{00000000-0005-0000-0000-0000354F0000}"/>
    <cellStyle name="Normal 2 11 8 2 4" xfId="20275" xr:uid="{00000000-0005-0000-0000-0000364F0000}"/>
    <cellStyle name="Normal 2 11 8 2 5" xfId="20276" xr:uid="{00000000-0005-0000-0000-0000374F0000}"/>
    <cellStyle name="Normal 2 11 8 2 6" xfId="20277" xr:uid="{00000000-0005-0000-0000-0000384F0000}"/>
    <cellStyle name="Normal 2 11 8 3" xfId="20278" xr:uid="{00000000-0005-0000-0000-0000394F0000}"/>
    <cellStyle name="Normal 2 11 8 3 2" xfId="20279" xr:uid="{00000000-0005-0000-0000-00003A4F0000}"/>
    <cellStyle name="Normal 2 11 8 3 2 2" xfId="20280" xr:uid="{00000000-0005-0000-0000-00003B4F0000}"/>
    <cellStyle name="Normal 2 11 8 3 2 3" xfId="20281" xr:uid="{00000000-0005-0000-0000-00003C4F0000}"/>
    <cellStyle name="Normal 2 11 8 3 3" xfId="20282" xr:uid="{00000000-0005-0000-0000-00003D4F0000}"/>
    <cellStyle name="Normal 2 11 8 3 4" xfId="20283" xr:uid="{00000000-0005-0000-0000-00003E4F0000}"/>
    <cellStyle name="Normal 2 11 8 3 5" xfId="20284" xr:uid="{00000000-0005-0000-0000-00003F4F0000}"/>
    <cellStyle name="Normal 2 11 8 3 6" xfId="20285" xr:uid="{00000000-0005-0000-0000-0000404F0000}"/>
    <cellStyle name="Normal 2 11 8 4" xfId="20286" xr:uid="{00000000-0005-0000-0000-0000414F0000}"/>
    <cellStyle name="Normal 2 11 8 4 2" xfId="20287" xr:uid="{00000000-0005-0000-0000-0000424F0000}"/>
    <cellStyle name="Normal 2 11 8 4 2 2" xfId="20288" xr:uid="{00000000-0005-0000-0000-0000434F0000}"/>
    <cellStyle name="Normal 2 11 8 4 3" xfId="20289" xr:uid="{00000000-0005-0000-0000-0000444F0000}"/>
    <cellStyle name="Normal 2 11 8 4 4" xfId="20290" xr:uid="{00000000-0005-0000-0000-0000454F0000}"/>
    <cellStyle name="Normal 2 11 8 4 5" xfId="20291" xr:uid="{00000000-0005-0000-0000-0000464F0000}"/>
    <cellStyle name="Normal 2 11 8 5" xfId="20292" xr:uid="{00000000-0005-0000-0000-0000474F0000}"/>
    <cellStyle name="Normal 2 11 8 5 2" xfId="20293" xr:uid="{00000000-0005-0000-0000-0000484F0000}"/>
    <cellStyle name="Normal 2 11 8 5 3" xfId="20294" xr:uid="{00000000-0005-0000-0000-0000494F0000}"/>
    <cellStyle name="Normal 2 11 8 5 4" xfId="20295" xr:uid="{00000000-0005-0000-0000-00004A4F0000}"/>
    <cellStyle name="Normal 2 11 8 6" xfId="20296" xr:uid="{00000000-0005-0000-0000-00004B4F0000}"/>
    <cellStyle name="Normal 2 11 8 6 2" xfId="20297" xr:uid="{00000000-0005-0000-0000-00004C4F0000}"/>
    <cellStyle name="Normal 2 11 8 7" xfId="20298" xr:uid="{00000000-0005-0000-0000-00004D4F0000}"/>
    <cellStyle name="Normal 2 11 8 8" xfId="20299" xr:uid="{00000000-0005-0000-0000-00004E4F0000}"/>
    <cellStyle name="Normal 2 11 8 9" xfId="20300" xr:uid="{00000000-0005-0000-0000-00004F4F0000}"/>
    <cellStyle name="Normal 2 11 9" xfId="20301" xr:uid="{00000000-0005-0000-0000-0000504F0000}"/>
    <cellStyle name="Normal 2 11 9 10" xfId="20302" xr:uid="{00000000-0005-0000-0000-0000514F0000}"/>
    <cellStyle name="Normal 2 11 9 2" xfId="20303" xr:uid="{00000000-0005-0000-0000-0000524F0000}"/>
    <cellStyle name="Normal 2 11 9 2 2" xfId="20304" xr:uid="{00000000-0005-0000-0000-0000534F0000}"/>
    <cellStyle name="Normal 2 11 9 2 2 2" xfId="20305" xr:uid="{00000000-0005-0000-0000-0000544F0000}"/>
    <cellStyle name="Normal 2 11 9 2 2 3" xfId="20306" xr:uid="{00000000-0005-0000-0000-0000554F0000}"/>
    <cellStyle name="Normal 2 11 9 2 3" xfId="20307" xr:uid="{00000000-0005-0000-0000-0000564F0000}"/>
    <cellStyle name="Normal 2 11 9 2 4" xfId="20308" xr:uid="{00000000-0005-0000-0000-0000574F0000}"/>
    <cellStyle name="Normal 2 11 9 2 5" xfId="20309" xr:uid="{00000000-0005-0000-0000-0000584F0000}"/>
    <cellStyle name="Normal 2 11 9 2 6" xfId="20310" xr:uid="{00000000-0005-0000-0000-0000594F0000}"/>
    <cellStyle name="Normal 2 11 9 3" xfId="20311" xr:uid="{00000000-0005-0000-0000-00005A4F0000}"/>
    <cellStyle name="Normal 2 11 9 3 2" xfId="20312" xr:uid="{00000000-0005-0000-0000-00005B4F0000}"/>
    <cellStyle name="Normal 2 11 9 3 2 2" xfId="20313" xr:uid="{00000000-0005-0000-0000-00005C4F0000}"/>
    <cellStyle name="Normal 2 11 9 3 2 3" xfId="20314" xr:uid="{00000000-0005-0000-0000-00005D4F0000}"/>
    <cellStyle name="Normal 2 11 9 3 3" xfId="20315" xr:uid="{00000000-0005-0000-0000-00005E4F0000}"/>
    <cellStyle name="Normal 2 11 9 3 4" xfId="20316" xr:uid="{00000000-0005-0000-0000-00005F4F0000}"/>
    <cellStyle name="Normal 2 11 9 3 5" xfId="20317" xr:uid="{00000000-0005-0000-0000-0000604F0000}"/>
    <cellStyle name="Normal 2 11 9 3 6" xfId="20318" xr:uid="{00000000-0005-0000-0000-0000614F0000}"/>
    <cellStyle name="Normal 2 11 9 4" xfId="20319" xr:uid="{00000000-0005-0000-0000-0000624F0000}"/>
    <cellStyle name="Normal 2 11 9 4 2" xfId="20320" xr:uid="{00000000-0005-0000-0000-0000634F0000}"/>
    <cellStyle name="Normal 2 11 9 4 2 2" xfId="20321" xr:uid="{00000000-0005-0000-0000-0000644F0000}"/>
    <cellStyle name="Normal 2 11 9 4 3" xfId="20322" xr:uid="{00000000-0005-0000-0000-0000654F0000}"/>
    <cellStyle name="Normal 2 11 9 4 4" xfId="20323" xr:uid="{00000000-0005-0000-0000-0000664F0000}"/>
    <cellStyle name="Normal 2 11 9 4 5" xfId="20324" xr:uid="{00000000-0005-0000-0000-0000674F0000}"/>
    <cellStyle name="Normal 2 11 9 5" xfId="20325" xr:uid="{00000000-0005-0000-0000-0000684F0000}"/>
    <cellStyle name="Normal 2 11 9 5 2" xfId="20326" xr:uid="{00000000-0005-0000-0000-0000694F0000}"/>
    <cellStyle name="Normal 2 11 9 5 3" xfId="20327" xr:uid="{00000000-0005-0000-0000-00006A4F0000}"/>
    <cellStyle name="Normal 2 11 9 5 4" xfId="20328" xr:uid="{00000000-0005-0000-0000-00006B4F0000}"/>
    <cellStyle name="Normal 2 11 9 6" xfId="20329" xr:uid="{00000000-0005-0000-0000-00006C4F0000}"/>
    <cellStyle name="Normal 2 11 9 6 2" xfId="20330" xr:uid="{00000000-0005-0000-0000-00006D4F0000}"/>
    <cellStyle name="Normal 2 11 9 7" xfId="20331" xr:uid="{00000000-0005-0000-0000-00006E4F0000}"/>
    <cellStyle name="Normal 2 11 9 8" xfId="20332" xr:uid="{00000000-0005-0000-0000-00006F4F0000}"/>
    <cellStyle name="Normal 2 11 9 9" xfId="20333" xr:uid="{00000000-0005-0000-0000-0000704F0000}"/>
    <cellStyle name="Normal 2 12" xfId="20334" xr:uid="{00000000-0005-0000-0000-0000714F0000}"/>
    <cellStyle name="Normal 2 12 10" xfId="20335" xr:uid="{00000000-0005-0000-0000-0000724F0000}"/>
    <cellStyle name="Normal 2 12 10 10" xfId="20336" xr:uid="{00000000-0005-0000-0000-0000734F0000}"/>
    <cellStyle name="Normal 2 12 10 2" xfId="20337" xr:uid="{00000000-0005-0000-0000-0000744F0000}"/>
    <cellStyle name="Normal 2 12 10 2 2" xfId="20338" xr:uid="{00000000-0005-0000-0000-0000754F0000}"/>
    <cellStyle name="Normal 2 12 10 2 2 2" xfId="20339" xr:uid="{00000000-0005-0000-0000-0000764F0000}"/>
    <cellStyle name="Normal 2 12 10 2 2 3" xfId="20340" xr:uid="{00000000-0005-0000-0000-0000774F0000}"/>
    <cellStyle name="Normal 2 12 10 2 3" xfId="20341" xr:uid="{00000000-0005-0000-0000-0000784F0000}"/>
    <cellStyle name="Normal 2 12 10 2 4" xfId="20342" xr:uid="{00000000-0005-0000-0000-0000794F0000}"/>
    <cellStyle name="Normal 2 12 10 2 5" xfId="20343" xr:uid="{00000000-0005-0000-0000-00007A4F0000}"/>
    <cellStyle name="Normal 2 12 10 2 6" xfId="20344" xr:uid="{00000000-0005-0000-0000-00007B4F0000}"/>
    <cellStyle name="Normal 2 12 10 3" xfId="20345" xr:uid="{00000000-0005-0000-0000-00007C4F0000}"/>
    <cellStyle name="Normal 2 12 10 3 2" xfId="20346" xr:uid="{00000000-0005-0000-0000-00007D4F0000}"/>
    <cellStyle name="Normal 2 12 10 3 2 2" xfId="20347" xr:uid="{00000000-0005-0000-0000-00007E4F0000}"/>
    <cellStyle name="Normal 2 12 10 3 2 3" xfId="20348" xr:uid="{00000000-0005-0000-0000-00007F4F0000}"/>
    <cellStyle name="Normal 2 12 10 3 3" xfId="20349" xr:uid="{00000000-0005-0000-0000-0000804F0000}"/>
    <cellStyle name="Normal 2 12 10 3 4" xfId="20350" xr:uid="{00000000-0005-0000-0000-0000814F0000}"/>
    <cellStyle name="Normal 2 12 10 3 5" xfId="20351" xr:uid="{00000000-0005-0000-0000-0000824F0000}"/>
    <cellStyle name="Normal 2 12 10 3 6" xfId="20352" xr:uid="{00000000-0005-0000-0000-0000834F0000}"/>
    <cellStyle name="Normal 2 12 10 4" xfId="20353" xr:uid="{00000000-0005-0000-0000-0000844F0000}"/>
    <cellStyle name="Normal 2 12 10 4 2" xfId="20354" xr:uid="{00000000-0005-0000-0000-0000854F0000}"/>
    <cellStyle name="Normal 2 12 10 4 2 2" xfId="20355" xr:uid="{00000000-0005-0000-0000-0000864F0000}"/>
    <cellStyle name="Normal 2 12 10 4 3" xfId="20356" xr:uid="{00000000-0005-0000-0000-0000874F0000}"/>
    <cellStyle name="Normal 2 12 10 4 4" xfId="20357" xr:uid="{00000000-0005-0000-0000-0000884F0000}"/>
    <cellStyle name="Normal 2 12 10 4 5" xfId="20358" xr:uid="{00000000-0005-0000-0000-0000894F0000}"/>
    <cellStyle name="Normal 2 12 10 5" xfId="20359" xr:uid="{00000000-0005-0000-0000-00008A4F0000}"/>
    <cellStyle name="Normal 2 12 10 5 2" xfId="20360" xr:uid="{00000000-0005-0000-0000-00008B4F0000}"/>
    <cellStyle name="Normal 2 12 10 5 3" xfId="20361" xr:uid="{00000000-0005-0000-0000-00008C4F0000}"/>
    <cellStyle name="Normal 2 12 10 5 4" xfId="20362" xr:uid="{00000000-0005-0000-0000-00008D4F0000}"/>
    <cellStyle name="Normal 2 12 10 6" xfId="20363" xr:uid="{00000000-0005-0000-0000-00008E4F0000}"/>
    <cellStyle name="Normal 2 12 10 6 2" xfId="20364" xr:uid="{00000000-0005-0000-0000-00008F4F0000}"/>
    <cellStyle name="Normal 2 12 10 7" xfId="20365" xr:uid="{00000000-0005-0000-0000-0000904F0000}"/>
    <cellStyle name="Normal 2 12 10 8" xfId="20366" xr:uid="{00000000-0005-0000-0000-0000914F0000}"/>
    <cellStyle name="Normal 2 12 10 9" xfId="20367" xr:uid="{00000000-0005-0000-0000-0000924F0000}"/>
    <cellStyle name="Normal 2 12 11" xfId="20368" xr:uid="{00000000-0005-0000-0000-0000934F0000}"/>
    <cellStyle name="Normal 2 12 11 10" xfId="20369" xr:uid="{00000000-0005-0000-0000-0000944F0000}"/>
    <cellStyle name="Normal 2 12 11 2" xfId="20370" xr:uid="{00000000-0005-0000-0000-0000954F0000}"/>
    <cellStyle name="Normal 2 12 11 2 2" xfId="20371" xr:uid="{00000000-0005-0000-0000-0000964F0000}"/>
    <cellStyle name="Normal 2 12 11 2 2 2" xfId="20372" xr:uid="{00000000-0005-0000-0000-0000974F0000}"/>
    <cellStyle name="Normal 2 12 11 2 2 3" xfId="20373" xr:uid="{00000000-0005-0000-0000-0000984F0000}"/>
    <cellStyle name="Normal 2 12 11 2 3" xfId="20374" xr:uid="{00000000-0005-0000-0000-0000994F0000}"/>
    <cellStyle name="Normal 2 12 11 2 4" xfId="20375" xr:uid="{00000000-0005-0000-0000-00009A4F0000}"/>
    <cellStyle name="Normal 2 12 11 2 5" xfId="20376" xr:uid="{00000000-0005-0000-0000-00009B4F0000}"/>
    <cellStyle name="Normal 2 12 11 2 6" xfId="20377" xr:uid="{00000000-0005-0000-0000-00009C4F0000}"/>
    <cellStyle name="Normal 2 12 11 3" xfId="20378" xr:uid="{00000000-0005-0000-0000-00009D4F0000}"/>
    <cellStyle name="Normal 2 12 11 3 2" xfId="20379" xr:uid="{00000000-0005-0000-0000-00009E4F0000}"/>
    <cellStyle name="Normal 2 12 11 3 2 2" xfId="20380" xr:uid="{00000000-0005-0000-0000-00009F4F0000}"/>
    <cellStyle name="Normal 2 12 11 3 2 3" xfId="20381" xr:uid="{00000000-0005-0000-0000-0000A04F0000}"/>
    <cellStyle name="Normal 2 12 11 3 3" xfId="20382" xr:uid="{00000000-0005-0000-0000-0000A14F0000}"/>
    <cellStyle name="Normal 2 12 11 3 4" xfId="20383" xr:uid="{00000000-0005-0000-0000-0000A24F0000}"/>
    <cellStyle name="Normal 2 12 11 3 5" xfId="20384" xr:uid="{00000000-0005-0000-0000-0000A34F0000}"/>
    <cellStyle name="Normal 2 12 11 3 6" xfId="20385" xr:uid="{00000000-0005-0000-0000-0000A44F0000}"/>
    <cellStyle name="Normal 2 12 11 4" xfId="20386" xr:uid="{00000000-0005-0000-0000-0000A54F0000}"/>
    <cellStyle name="Normal 2 12 11 4 2" xfId="20387" xr:uid="{00000000-0005-0000-0000-0000A64F0000}"/>
    <cellStyle name="Normal 2 12 11 4 2 2" xfId="20388" xr:uid="{00000000-0005-0000-0000-0000A74F0000}"/>
    <cellStyle name="Normal 2 12 11 4 3" xfId="20389" xr:uid="{00000000-0005-0000-0000-0000A84F0000}"/>
    <cellStyle name="Normal 2 12 11 4 4" xfId="20390" xr:uid="{00000000-0005-0000-0000-0000A94F0000}"/>
    <cellStyle name="Normal 2 12 11 4 5" xfId="20391" xr:uid="{00000000-0005-0000-0000-0000AA4F0000}"/>
    <cellStyle name="Normal 2 12 11 5" xfId="20392" xr:uid="{00000000-0005-0000-0000-0000AB4F0000}"/>
    <cellStyle name="Normal 2 12 11 5 2" xfId="20393" xr:uid="{00000000-0005-0000-0000-0000AC4F0000}"/>
    <cellStyle name="Normal 2 12 11 5 3" xfId="20394" xr:uid="{00000000-0005-0000-0000-0000AD4F0000}"/>
    <cellStyle name="Normal 2 12 11 5 4" xfId="20395" xr:uid="{00000000-0005-0000-0000-0000AE4F0000}"/>
    <cellStyle name="Normal 2 12 11 6" xfId="20396" xr:uid="{00000000-0005-0000-0000-0000AF4F0000}"/>
    <cellStyle name="Normal 2 12 11 6 2" xfId="20397" xr:uid="{00000000-0005-0000-0000-0000B04F0000}"/>
    <cellStyle name="Normal 2 12 11 7" xfId="20398" xr:uid="{00000000-0005-0000-0000-0000B14F0000}"/>
    <cellStyle name="Normal 2 12 11 8" xfId="20399" xr:uid="{00000000-0005-0000-0000-0000B24F0000}"/>
    <cellStyle name="Normal 2 12 11 9" xfId="20400" xr:uid="{00000000-0005-0000-0000-0000B34F0000}"/>
    <cellStyle name="Normal 2 12 12" xfId="20401" xr:uid="{00000000-0005-0000-0000-0000B44F0000}"/>
    <cellStyle name="Normal 2 12 12 10" xfId="20402" xr:uid="{00000000-0005-0000-0000-0000B54F0000}"/>
    <cellStyle name="Normal 2 12 12 2" xfId="20403" xr:uid="{00000000-0005-0000-0000-0000B64F0000}"/>
    <cellStyle name="Normal 2 12 12 2 2" xfId="20404" xr:uid="{00000000-0005-0000-0000-0000B74F0000}"/>
    <cellStyle name="Normal 2 12 12 2 2 2" xfId="20405" xr:uid="{00000000-0005-0000-0000-0000B84F0000}"/>
    <cellStyle name="Normal 2 12 12 2 2 3" xfId="20406" xr:uid="{00000000-0005-0000-0000-0000B94F0000}"/>
    <cellStyle name="Normal 2 12 12 2 3" xfId="20407" xr:uid="{00000000-0005-0000-0000-0000BA4F0000}"/>
    <cellStyle name="Normal 2 12 12 2 4" xfId="20408" xr:uid="{00000000-0005-0000-0000-0000BB4F0000}"/>
    <cellStyle name="Normal 2 12 12 2 5" xfId="20409" xr:uid="{00000000-0005-0000-0000-0000BC4F0000}"/>
    <cellStyle name="Normal 2 12 12 2 6" xfId="20410" xr:uid="{00000000-0005-0000-0000-0000BD4F0000}"/>
    <cellStyle name="Normal 2 12 12 3" xfId="20411" xr:uid="{00000000-0005-0000-0000-0000BE4F0000}"/>
    <cellStyle name="Normal 2 12 12 3 2" xfId="20412" xr:uid="{00000000-0005-0000-0000-0000BF4F0000}"/>
    <cellStyle name="Normal 2 12 12 3 2 2" xfId="20413" xr:uid="{00000000-0005-0000-0000-0000C04F0000}"/>
    <cellStyle name="Normal 2 12 12 3 2 3" xfId="20414" xr:uid="{00000000-0005-0000-0000-0000C14F0000}"/>
    <cellStyle name="Normal 2 12 12 3 3" xfId="20415" xr:uid="{00000000-0005-0000-0000-0000C24F0000}"/>
    <cellStyle name="Normal 2 12 12 3 4" xfId="20416" xr:uid="{00000000-0005-0000-0000-0000C34F0000}"/>
    <cellStyle name="Normal 2 12 12 3 5" xfId="20417" xr:uid="{00000000-0005-0000-0000-0000C44F0000}"/>
    <cellStyle name="Normal 2 12 12 3 6" xfId="20418" xr:uid="{00000000-0005-0000-0000-0000C54F0000}"/>
    <cellStyle name="Normal 2 12 12 4" xfId="20419" xr:uid="{00000000-0005-0000-0000-0000C64F0000}"/>
    <cellStyle name="Normal 2 12 12 4 2" xfId="20420" xr:uid="{00000000-0005-0000-0000-0000C74F0000}"/>
    <cellStyle name="Normal 2 12 12 4 2 2" xfId="20421" xr:uid="{00000000-0005-0000-0000-0000C84F0000}"/>
    <cellStyle name="Normal 2 12 12 4 3" xfId="20422" xr:uid="{00000000-0005-0000-0000-0000C94F0000}"/>
    <cellStyle name="Normal 2 12 12 4 4" xfId="20423" xr:uid="{00000000-0005-0000-0000-0000CA4F0000}"/>
    <cellStyle name="Normal 2 12 12 4 5" xfId="20424" xr:uid="{00000000-0005-0000-0000-0000CB4F0000}"/>
    <cellStyle name="Normal 2 12 12 5" xfId="20425" xr:uid="{00000000-0005-0000-0000-0000CC4F0000}"/>
    <cellStyle name="Normal 2 12 12 5 2" xfId="20426" xr:uid="{00000000-0005-0000-0000-0000CD4F0000}"/>
    <cellStyle name="Normal 2 12 12 5 3" xfId="20427" xr:uid="{00000000-0005-0000-0000-0000CE4F0000}"/>
    <cellStyle name="Normal 2 12 12 5 4" xfId="20428" xr:uid="{00000000-0005-0000-0000-0000CF4F0000}"/>
    <cellStyle name="Normal 2 12 12 6" xfId="20429" xr:uid="{00000000-0005-0000-0000-0000D04F0000}"/>
    <cellStyle name="Normal 2 12 12 6 2" xfId="20430" xr:uid="{00000000-0005-0000-0000-0000D14F0000}"/>
    <cellStyle name="Normal 2 12 12 7" xfId="20431" xr:uid="{00000000-0005-0000-0000-0000D24F0000}"/>
    <cellStyle name="Normal 2 12 12 8" xfId="20432" xr:uid="{00000000-0005-0000-0000-0000D34F0000}"/>
    <cellStyle name="Normal 2 12 12 9" xfId="20433" xr:uid="{00000000-0005-0000-0000-0000D44F0000}"/>
    <cellStyle name="Normal 2 12 13" xfId="20434" xr:uid="{00000000-0005-0000-0000-0000D54F0000}"/>
    <cellStyle name="Normal 2 12 13 2" xfId="20435" xr:uid="{00000000-0005-0000-0000-0000D64F0000}"/>
    <cellStyle name="Normal 2 12 13 2 2" xfId="20436" xr:uid="{00000000-0005-0000-0000-0000D74F0000}"/>
    <cellStyle name="Normal 2 12 13 2 2 2" xfId="20437" xr:uid="{00000000-0005-0000-0000-0000D84F0000}"/>
    <cellStyle name="Normal 2 12 13 2 2 3" xfId="20438" xr:uid="{00000000-0005-0000-0000-0000D94F0000}"/>
    <cellStyle name="Normal 2 12 13 2 3" xfId="20439" xr:uid="{00000000-0005-0000-0000-0000DA4F0000}"/>
    <cellStyle name="Normal 2 12 13 2 4" xfId="20440" xr:uid="{00000000-0005-0000-0000-0000DB4F0000}"/>
    <cellStyle name="Normal 2 12 13 2 5" xfId="20441" xr:uid="{00000000-0005-0000-0000-0000DC4F0000}"/>
    <cellStyle name="Normal 2 12 13 2 6" xfId="20442" xr:uid="{00000000-0005-0000-0000-0000DD4F0000}"/>
    <cellStyle name="Normal 2 12 13 3" xfId="20443" xr:uid="{00000000-0005-0000-0000-0000DE4F0000}"/>
    <cellStyle name="Normal 2 12 13 3 2" xfId="20444" xr:uid="{00000000-0005-0000-0000-0000DF4F0000}"/>
    <cellStyle name="Normal 2 12 13 3 2 2" xfId="20445" xr:uid="{00000000-0005-0000-0000-0000E04F0000}"/>
    <cellStyle name="Normal 2 12 13 3 3" xfId="20446" xr:uid="{00000000-0005-0000-0000-0000E14F0000}"/>
    <cellStyle name="Normal 2 12 13 3 4" xfId="20447" xr:uid="{00000000-0005-0000-0000-0000E24F0000}"/>
    <cellStyle name="Normal 2 12 13 3 5" xfId="20448" xr:uid="{00000000-0005-0000-0000-0000E34F0000}"/>
    <cellStyle name="Normal 2 12 13 4" xfId="20449" xr:uid="{00000000-0005-0000-0000-0000E44F0000}"/>
    <cellStyle name="Normal 2 12 13 4 2" xfId="20450" xr:uid="{00000000-0005-0000-0000-0000E54F0000}"/>
    <cellStyle name="Normal 2 12 13 4 3" xfId="20451" xr:uid="{00000000-0005-0000-0000-0000E64F0000}"/>
    <cellStyle name="Normal 2 12 13 4 4" xfId="20452" xr:uid="{00000000-0005-0000-0000-0000E74F0000}"/>
    <cellStyle name="Normal 2 12 13 5" xfId="20453" xr:uid="{00000000-0005-0000-0000-0000E84F0000}"/>
    <cellStyle name="Normal 2 12 13 5 2" xfId="20454" xr:uid="{00000000-0005-0000-0000-0000E94F0000}"/>
    <cellStyle name="Normal 2 12 13 6" xfId="20455" xr:uid="{00000000-0005-0000-0000-0000EA4F0000}"/>
    <cellStyle name="Normal 2 12 13 7" xfId="20456" xr:uid="{00000000-0005-0000-0000-0000EB4F0000}"/>
    <cellStyle name="Normal 2 12 13 8" xfId="20457" xr:uid="{00000000-0005-0000-0000-0000EC4F0000}"/>
    <cellStyle name="Normal 2 12 13 9" xfId="20458" xr:uid="{00000000-0005-0000-0000-0000ED4F0000}"/>
    <cellStyle name="Normal 2 12 14" xfId="20459" xr:uid="{00000000-0005-0000-0000-0000EE4F0000}"/>
    <cellStyle name="Normal 2 12 14 2" xfId="20460" xr:uid="{00000000-0005-0000-0000-0000EF4F0000}"/>
    <cellStyle name="Normal 2 12 14 2 2" xfId="20461" xr:uid="{00000000-0005-0000-0000-0000F04F0000}"/>
    <cellStyle name="Normal 2 12 14 2 2 2" xfId="20462" xr:uid="{00000000-0005-0000-0000-0000F14F0000}"/>
    <cellStyle name="Normal 2 12 14 2 2 3" xfId="20463" xr:uid="{00000000-0005-0000-0000-0000F24F0000}"/>
    <cellStyle name="Normal 2 12 14 2 3" xfId="20464" xr:uid="{00000000-0005-0000-0000-0000F34F0000}"/>
    <cellStyle name="Normal 2 12 14 2 4" xfId="20465" xr:uid="{00000000-0005-0000-0000-0000F44F0000}"/>
    <cellStyle name="Normal 2 12 14 2 5" xfId="20466" xr:uid="{00000000-0005-0000-0000-0000F54F0000}"/>
    <cellStyle name="Normal 2 12 14 2 6" xfId="20467" xr:uid="{00000000-0005-0000-0000-0000F64F0000}"/>
    <cellStyle name="Normal 2 12 14 3" xfId="20468" xr:uid="{00000000-0005-0000-0000-0000F74F0000}"/>
    <cellStyle name="Normal 2 12 14 3 2" xfId="20469" xr:uid="{00000000-0005-0000-0000-0000F84F0000}"/>
    <cellStyle name="Normal 2 12 14 3 2 2" xfId="20470" xr:uid="{00000000-0005-0000-0000-0000F94F0000}"/>
    <cellStyle name="Normal 2 12 14 3 3" xfId="20471" xr:uid="{00000000-0005-0000-0000-0000FA4F0000}"/>
    <cellStyle name="Normal 2 12 14 3 4" xfId="20472" xr:uid="{00000000-0005-0000-0000-0000FB4F0000}"/>
    <cellStyle name="Normal 2 12 14 3 5" xfId="20473" xr:uid="{00000000-0005-0000-0000-0000FC4F0000}"/>
    <cellStyle name="Normal 2 12 14 4" xfId="20474" xr:uid="{00000000-0005-0000-0000-0000FD4F0000}"/>
    <cellStyle name="Normal 2 12 14 4 2" xfId="20475" xr:uid="{00000000-0005-0000-0000-0000FE4F0000}"/>
    <cellStyle name="Normal 2 12 14 4 3" xfId="20476" xr:uid="{00000000-0005-0000-0000-0000FF4F0000}"/>
    <cellStyle name="Normal 2 12 14 4 4" xfId="20477" xr:uid="{00000000-0005-0000-0000-000000500000}"/>
    <cellStyle name="Normal 2 12 14 5" xfId="20478" xr:uid="{00000000-0005-0000-0000-000001500000}"/>
    <cellStyle name="Normal 2 12 14 5 2" xfId="20479" xr:uid="{00000000-0005-0000-0000-000002500000}"/>
    <cellStyle name="Normal 2 12 14 6" xfId="20480" xr:uid="{00000000-0005-0000-0000-000003500000}"/>
    <cellStyle name="Normal 2 12 14 7" xfId="20481" xr:uid="{00000000-0005-0000-0000-000004500000}"/>
    <cellStyle name="Normal 2 12 14 8" xfId="20482" xr:uid="{00000000-0005-0000-0000-000005500000}"/>
    <cellStyle name="Normal 2 12 14 9" xfId="20483" xr:uid="{00000000-0005-0000-0000-000006500000}"/>
    <cellStyle name="Normal 2 12 15" xfId="20484" xr:uid="{00000000-0005-0000-0000-000007500000}"/>
    <cellStyle name="Normal 2 12 15 2" xfId="20485" xr:uid="{00000000-0005-0000-0000-000008500000}"/>
    <cellStyle name="Normal 2 12 15 2 2" xfId="20486" xr:uid="{00000000-0005-0000-0000-000009500000}"/>
    <cellStyle name="Normal 2 12 15 2 3" xfId="20487" xr:uid="{00000000-0005-0000-0000-00000A500000}"/>
    <cellStyle name="Normal 2 12 15 3" xfId="20488" xr:uid="{00000000-0005-0000-0000-00000B500000}"/>
    <cellStyle name="Normal 2 12 15 4" xfId="20489" xr:uid="{00000000-0005-0000-0000-00000C500000}"/>
    <cellStyle name="Normal 2 12 15 5" xfId="20490" xr:uid="{00000000-0005-0000-0000-00000D500000}"/>
    <cellStyle name="Normal 2 12 15 6" xfId="20491" xr:uid="{00000000-0005-0000-0000-00000E500000}"/>
    <cellStyle name="Normal 2 12 16" xfId="20492" xr:uid="{00000000-0005-0000-0000-00000F500000}"/>
    <cellStyle name="Normal 2 12 16 2" xfId="20493" xr:uid="{00000000-0005-0000-0000-000010500000}"/>
    <cellStyle name="Normal 2 12 16 2 2" xfId="20494" xr:uid="{00000000-0005-0000-0000-000011500000}"/>
    <cellStyle name="Normal 2 12 16 3" xfId="20495" xr:uid="{00000000-0005-0000-0000-000012500000}"/>
    <cellStyle name="Normal 2 12 16 4" xfId="20496" xr:uid="{00000000-0005-0000-0000-000013500000}"/>
    <cellStyle name="Normal 2 12 16 5" xfId="20497" xr:uid="{00000000-0005-0000-0000-000014500000}"/>
    <cellStyle name="Normal 2 12 17" xfId="20498" xr:uid="{00000000-0005-0000-0000-000015500000}"/>
    <cellStyle name="Normal 2 12 17 2" xfId="20499" xr:uid="{00000000-0005-0000-0000-000016500000}"/>
    <cellStyle name="Normal 2 12 17 2 2" xfId="20500" xr:uid="{00000000-0005-0000-0000-000017500000}"/>
    <cellStyle name="Normal 2 12 17 3" xfId="20501" xr:uid="{00000000-0005-0000-0000-000018500000}"/>
    <cellStyle name="Normal 2 12 17 4" xfId="20502" xr:uid="{00000000-0005-0000-0000-000019500000}"/>
    <cellStyle name="Normal 2 12 17 5" xfId="20503" xr:uid="{00000000-0005-0000-0000-00001A500000}"/>
    <cellStyle name="Normal 2 12 18" xfId="20504" xr:uid="{00000000-0005-0000-0000-00001B500000}"/>
    <cellStyle name="Normal 2 12 18 2" xfId="20505" xr:uid="{00000000-0005-0000-0000-00001C500000}"/>
    <cellStyle name="Normal 2 12 19" xfId="20506" xr:uid="{00000000-0005-0000-0000-00001D500000}"/>
    <cellStyle name="Normal 2 12 2" xfId="20507" xr:uid="{00000000-0005-0000-0000-00001E500000}"/>
    <cellStyle name="Normal 2 12 2 10" xfId="20508" xr:uid="{00000000-0005-0000-0000-00001F500000}"/>
    <cellStyle name="Normal 2 12 2 11" xfId="20509" xr:uid="{00000000-0005-0000-0000-000020500000}"/>
    <cellStyle name="Normal 2 12 2 2" xfId="20510" xr:uid="{00000000-0005-0000-0000-000021500000}"/>
    <cellStyle name="Normal 2 12 2 2 2" xfId="20511" xr:uid="{00000000-0005-0000-0000-000022500000}"/>
    <cellStyle name="Normal 2 12 2 2 2 2" xfId="20512" xr:uid="{00000000-0005-0000-0000-000023500000}"/>
    <cellStyle name="Normal 2 12 2 2 2 2 2" xfId="20513" xr:uid="{00000000-0005-0000-0000-000024500000}"/>
    <cellStyle name="Normal 2 12 2 2 2 2 3" xfId="20514" xr:uid="{00000000-0005-0000-0000-000025500000}"/>
    <cellStyle name="Normal 2 12 2 2 2 3" xfId="20515" xr:uid="{00000000-0005-0000-0000-000026500000}"/>
    <cellStyle name="Normal 2 12 2 2 2 4" xfId="20516" xr:uid="{00000000-0005-0000-0000-000027500000}"/>
    <cellStyle name="Normal 2 12 2 2 2 5" xfId="20517" xr:uid="{00000000-0005-0000-0000-000028500000}"/>
    <cellStyle name="Normal 2 12 2 2 2 6" xfId="20518" xr:uid="{00000000-0005-0000-0000-000029500000}"/>
    <cellStyle name="Normal 2 12 2 2 3" xfId="20519" xr:uid="{00000000-0005-0000-0000-00002A500000}"/>
    <cellStyle name="Normal 2 12 2 2 3 2" xfId="20520" xr:uid="{00000000-0005-0000-0000-00002B500000}"/>
    <cellStyle name="Normal 2 12 2 2 3 2 2" xfId="20521" xr:uid="{00000000-0005-0000-0000-00002C500000}"/>
    <cellStyle name="Normal 2 12 2 2 3 3" xfId="20522" xr:uid="{00000000-0005-0000-0000-00002D500000}"/>
    <cellStyle name="Normal 2 12 2 2 3 4" xfId="20523" xr:uid="{00000000-0005-0000-0000-00002E500000}"/>
    <cellStyle name="Normal 2 12 2 2 3 5" xfId="20524" xr:uid="{00000000-0005-0000-0000-00002F500000}"/>
    <cellStyle name="Normal 2 12 2 2 4" xfId="20525" xr:uid="{00000000-0005-0000-0000-000030500000}"/>
    <cellStyle name="Normal 2 12 2 2 4 2" xfId="20526" xr:uid="{00000000-0005-0000-0000-000031500000}"/>
    <cellStyle name="Normal 2 12 2 2 4 3" xfId="20527" xr:uid="{00000000-0005-0000-0000-000032500000}"/>
    <cellStyle name="Normal 2 12 2 2 4 4" xfId="20528" xr:uid="{00000000-0005-0000-0000-000033500000}"/>
    <cellStyle name="Normal 2 12 2 2 5" xfId="20529" xr:uid="{00000000-0005-0000-0000-000034500000}"/>
    <cellStyle name="Normal 2 12 2 2 5 2" xfId="20530" xr:uid="{00000000-0005-0000-0000-000035500000}"/>
    <cellStyle name="Normal 2 12 2 2 6" xfId="20531" xr:uid="{00000000-0005-0000-0000-000036500000}"/>
    <cellStyle name="Normal 2 12 2 2 7" xfId="20532" xr:uid="{00000000-0005-0000-0000-000037500000}"/>
    <cellStyle name="Normal 2 12 2 2 8" xfId="20533" xr:uid="{00000000-0005-0000-0000-000038500000}"/>
    <cellStyle name="Normal 2 12 2 2 9" xfId="20534" xr:uid="{00000000-0005-0000-0000-000039500000}"/>
    <cellStyle name="Normal 2 12 2 3" xfId="20535" xr:uid="{00000000-0005-0000-0000-00003A500000}"/>
    <cellStyle name="Normal 2 12 2 3 2" xfId="20536" xr:uid="{00000000-0005-0000-0000-00003B500000}"/>
    <cellStyle name="Normal 2 12 2 3 2 2" xfId="20537" xr:uid="{00000000-0005-0000-0000-00003C500000}"/>
    <cellStyle name="Normal 2 12 2 3 2 2 2" xfId="20538" xr:uid="{00000000-0005-0000-0000-00003D500000}"/>
    <cellStyle name="Normal 2 12 2 3 2 2 3" xfId="20539" xr:uid="{00000000-0005-0000-0000-00003E500000}"/>
    <cellStyle name="Normal 2 12 2 3 2 3" xfId="20540" xr:uid="{00000000-0005-0000-0000-00003F500000}"/>
    <cellStyle name="Normal 2 12 2 3 2 4" xfId="20541" xr:uid="{00000000-0005-0000-0000-000040500000}"/>
    <cellStyle name="Normal 2 12 2 3 2 5" xfId="20542" xr:uid="{00000000-0005-0000-0000-000041500000}"/>
    <cellStyle name="Normal 2 12 2 3 2 6" xfId="20543" xr:uid="{00000000-0005-0000-0000-000042500000}"/>
    <cellStyle name="Normal 2 12 2 3 3" xfId="20544" xr:uid="{00000000-0005-0000-0000-000043500000}"/>
    <cellStyle name="Normal 2 12 2 3 3 2" xfId="20545" xr:uid="{00000000-0005-0000-0000-000044500000}"/>
    <cellStyle name="Normal 2 12 2 3 3 2 2" xfId="20546" xr:uid="{00000000-0005-0000-0000-000045500000}"/>
    <cellStyle name="Normal 2 12 2 3 3 3" xfId="20547" xr:uid="{00000000-0005-0000-0000-000046500000}"/>
    <cellStyle name="Normal 2 12 2 3 3 4" xfId="20548" xr:uid="{00000000-0005-0000-0000-000047500000}"/>
    <cellStyle name="Normal 2 12 2 3 3 5" xfId="20549" xr:uid="{00000000-0005-0000-0000-000048500000}"/>
    <cellStyle name="Normal 2 12 2 3 4" xfId="20550" xr:uid="{00000000-0005-0000-0000-000049500000}"/>
    <cellStyle name="Normal 2 12 2 3 4 2" xfId="20551" xr:uid="{00000000-0005-0000-0000-00004A500000}"/>
    <cellStyle name="Normal 2 12 2 3 4 3" xfId="20552" xr:uid="{00000000-0005-0000-0000-00004B500000}"/>
    <cellStyle name="Normal 2 12 2 3 4 4" xfId="20553" xr:uid="{00000000-0005-0000-0000-00004C500000}"/>
    <cellStyle name="Normal 2 12 2 3 5" xfId="20554" xr:uid="{00000000-0005-0000-0000-00004D500000}"/>
    <cellStyle name="Normal 2 12 2 3 5 2" xfId="20555" xr:uid="{00000000-0005-0000-0000-00004E500000}"/>
    <cellStyle name="Normal 2 12 2 3 6" xfId="20556" xr:uid="{00000000-0005-0000-0000-00004F500000}"/>
    <cellStyle name="Normal 2 12 2 3 7" xfId="20557" xr:uid="{00000000-0005-0000-0000-000050500000}"/>
    <cellStyle name="Normal 2 12 2 3 8" xfId="20558" xr:uid="{00000000-0005-0000-0000-000051500000}"/>
    <cellStyle name="Normal 2 12 2 3 9" xfId="20559" xr:uid="{00000000-0005-0000-0000-000052500000}"/>
    <cellStyle name="Normal 2 12 2 4" xfId="20560" xr:uid="{00000000-0005-0000-0000-000053500000}"/>
    <cellStyle name="Normal 2 12 2 4 2" xfId="20561" xr:uid="{00000000-0005-0000-0000-000054500000}"/>
    <cellStyle name="Normal 2 12 2 4 2 2" xfId="20562" xr:uid="{00000000-0005-0000-0000-000055500000}"/>
    <cellStyle name="Normal 2 12 2 4 2 3" xfId="20563" xr:uid="{00000000-0005-0000-0000-000056500000}"/>
    <cellStyle name="Normal 2 12 2 4 3" xfId="20564" xr:uid="{00000000-0005-0000-0000-000057500000}"/>
    <cellStyle name="Normal 2 12 2 4 4" xfId="20565" xr:uid="{00000000-0005-0000-0000-000058500000}"/>
    <cellStyle name="Normal 2 12 2 4 5" xfId="20566" xr:uid="{00000000-0005-0000-0000-000059500000}"/>
    <cellStyle name="Normal 2 12 2 4 6" xfId="20567" xr:uid="{00000000-0005-0000-0000-00005A500000}"/>
    <cellStyle name="Normal 2 12 2 5" xfId="20568" xr:uid="{00000000-0005-0000-0000-00005B500000}"/>
    <cellStyle name="Normal 2 12 2 5 2" xfId="20569" xr:uid="{00000000-0005-0000-0000-00005C500000}"/>
    <cellStyle name="Normal 2 12 2 5 2 2" xfId="20570" xr:uid="{00000000-0005-0000-0000-00005D500000}"/>
    <cellStyle name="Normal 2 12 2 5 3" xfId="20571" xr:uid="{00000000-0005-0000-0000-00005E500000}"/>
    <cellStyle name="Normal 2 12 2 5 4" xfId="20572" xr:uid="{00000000-0005-0000-0000-00005F500000}"/>
    <cellStyle name="Normal 2 12 2 5 5" xfId="20573" xr:uid="{00000000-0005-0000-0000-000060500000}"/>
    <cellStyle name="Normal 2 12 2 6" xfId="20574" xr:uid="{00000000-0005-0000-0000-000061500000}"/>
    <cellStyle name="Normal 2 12 2 6 2" xfId="20575" xr:uid="{00000000-0005-0000-0000-000062500000}"/>
    <cellStyle name="Normal 2 12 2 6 3" xfId="20576" xr:uid="{00000000-0005-0000-0000-000063500000}"/>
    <cellStyle name="Normal 2 12 2 6 4" xfId="20577" xr:uid="{00000000-0005-0000-0000-000064500000}"/>
    <cellStyle name="Normal 2 12 2 7" xfId="20578" xr:uid="{00000000-0005-0000-0000-000065500000}"/>
    <cellStyle name="Normal 2 12 2 7 2" xfId="20579" xr:uid="{00000000-0005-0000-0000-000066500000}"/>
    <cellStyle name="Normal 2 12 2 8" xfId="20580" xr:uid="{00000000-0005-0000-0000-000067500000}"/>
    <cellStyle name="Normal 2 12 2 9" xfId="20581" xr:uid="{00000000-0005-0000-0000-000068500000}"/>
    <cellStyle name="Normal 2 12 20" xfId="20582" xr:uid="{00000000-0005-0000-0000-000069500000}"/>
    <cellStyle name="Normal 2 12 21" xfId="20583" xr:uid="{00000000-0005-0000-0000-00006A500000}"/>
    <cellStyle name="Normal 2 12 22" xfId="20584" xr:uid="{00000000-0005-0000-0000-00006B500000}"/>
    <cellStyle name="Normal 2 12 3" xfId="20585" xr:uid="{00000000-0005-0000-0000-00006C500000}"/>
    <cellStyle name="Normal 2 12 3 10" xfId="20586" xr:uid="{00000000-0005-0000-0000-00006D500000}"/>
    <cellStyle name="Normal 2 12 3 11" xfId="20587" xr:uid="{00000000-0005-0000-0000-00006E500000}"/>
    <cellStyle name="Normal 2 12 3 2" xfId="20588" xr:uid="{00000000-0005-0000-0000-00006F500000}"/>
    <cellStyle name="Normal 2 12 3 2 2" xfId="20589" xr:uid="{00000000-0005-0000-0000-000070500000}"/>
    <cellStyle name="Normal 2 12 3 2 2 2" xfId="20590" xr:uid="{00000000-0005-0000-0000-000071500000}"/>
    <cellStyle name="Normal 2 12 3 2 2 2 2" xfId="20591" xr:uid="{00000000-0005-0000-0000-000072500000}"/>
    <cellStyle name="Normal 2 12 3 2 2 2 3" xfId="20592" xr:uid="{00000000-0005-0000-0000-000073500000}"/>
    <cellStyle name="Normal 2 12 3 2 2 3" xfId="20593" xr:uid="{00000000-0005-0000-0000-000074500000}"/>
    <cellStyle name="Normal 2 12 3 2 2 4" xfId="20594" xr:uid="{00000000-0005-0000-0000-000075500000}"/>
    <cellStyle name="Normal 2 12 3 2 2 5" xfId="20595" xr:uid="{00000000-0005-0000-0000-000076500000}"/>
    <cellStyle name="Normal 2 12 3 2 2 6" xfId="20596" xr:uid="{00000000-0005-0000-0000-000077500000}"/>
    <cellStyle name="Normal 2 12 3 2 3" xfId="20597" xr:uid="{00000000-0005-0000-0000-000078500000}"/>
    <cellStyle name="Normal 2 12 3 2 3 2" xfId="20598" xr:uid="{00000000-0005-0000-0000-000079500000}"/>
    <cellStyle name="Normal 2 12 3 2 3 2 2" xfId="20599" xr:uid="{00000000-0005-0000-0000-00007A500000}"/>
    <cellStyle name="Normal 2 12 3 2 3 3" xfId="20600" xr:uid="{00000000-0005-0000-0000-00007B500000}"/>
    <cellStyle name="Normal 2 12 3 2 3 4" xfId="20601" xr:uid="{00000000-0005-0000-0000-00007C500000}"/>
    <cellStyle name="Normal 2 12 3 2 3 5" xfId="20602" xr:uid="{00000000-0005-0000-0000-00007D500000}"/>
    <cellStyle name="Normal 2 12 3 2 4" xfId="20603" xr:uid="{00000000-0005-0000-0000-00007E500000}"/>
    <cellStyle name="Normal 2 12 3 2 4 2" xfId="20604" xr:uid="{00000000-0005-0000-0000-00007F500000}"/>
    <cellStyle name="Normal 2 12 3 2 4 3" xfId="20605" xr:uid="{00000000-0005-0000-0000-000080500000}"/>
    <cellStyle name="Normal 2 12 3 2 4 4" xfId="20606" xr:uid="{00000000-0005-0000-0000-000081500000}"/>
    <cellStyle name="Normal 2 12 3 2 5" xfId="20607" xr:uid="{00000000-0005-0000-0000-000082500000}"/>
    <cellStyle name="Normal 2 12 3 2 5 2" xfId="20608" xr:uid="{00000000-0005-0000-0000-000083500000}"/>
    <cellStyle name="Normal 2 12 3 2 6" xfId="20609" xr:uid="{00000000-0005-0000-0000-000084500000}"/>
    <cellStyle name="Normal 2 12 3 2 7" xfId="20610" xr:uid="{00000000-0005-0000-0000-000085500000}"/>
    <cellStyle name="Normal 2 12 3 2 8" xfId="20611" xr:uid="{00000000-0005-0000-0000-000086500000}"/>
    <cellStyle name="Normal 2 12 3 2 9" xfId="20612" xr:uid="{00000000-0005-0000-0000-000087500000}"/>
    <cellStyle name="Normal 2 12 3 3" xfId="20613" xr:uid="{00000000-0005-0000-0000-000088500000}"/>
    <cellStyle name="Normal 2 12 3 3 2" xfId="20614" xr:uid="{00000000-0005-0000-0000-000089500000}"/>
    <cellStyle name="Normal 2 12 3 3 2 2" xfId="20615" xr:uid="{00000000-0005-0000-0000-00008A500000}"/>
    <cellStyle name="Normal 2 12 3 3 2 2 2" xfId="20616" xr:uid="{00000000-0005-0000-0000-00008B500000}"/>
    <cellStyle name="Normal 2 12 3 3 2 2 3" xfId="20617" xr:uid="{00000000-0005-0000-0000-00008C500000}"/>
    <cellStyle name="Normal 2 12 3 3 2 3" xfId="20618" xr:uid="{00000000-0005-0000-0000-00008D500000}"/>
    <cellStyle name="Normal 2 12 3 3 2 4" xfId="20619" xr:uid="{00000000-0005-0000-0000-00008E500000}"/>
    <cellStyle name="Normal 2 12 3 3 2 5" xfId="20620" xr:uid="{00000000-0005-0000-0000-00008F500000}"/>
    <cellStyle name="Normal 2 12 3 3 2 6" xfId="20621" xr:uid="{00000000-0005-0000-0000-000090500000}"/>
    <cellStyle name="Normal 2 12 3 3 3" xfId="20622" xr:uid="{00000000-0005-0000-0000-000091500000}"/>
    <cellStyle name="Normal 2 12 3 3 3 2" xfId="20623" xr:uid="{00000000-0005-0000-0000-000092500000}"/>
    <cellStyle name="Normal 2 12 3 3 3 2 2" xfId="20624" xr:uid="{00000000-0005-0000-0000-000093500000}"/>
    <cellStyle name="Normal 2 12 3 3 3 3" xfId="20625" xr:uid="{00000000-0005-0000-0000-000094500000}"/>
    <cellStyle name="Normal 2 12 3 3 3 4" xfId="20626" xr:uid="{00000000-0005-0000-0000-000095500000}"/>
    <cellStyle name="Normal 2 12 3 3 3 5" xfId="20627" xr:uid="{00000000-0005-0000-0000-000096500000}"/>
    <cellStyle name="Normal 2 12 3 3 4" xfId="20628" xr:uid="{00000000-0005-0000-0000-000097500000}"/>
    <cellStyle name="Normal 2 12 3 3 4 2" xfId="20629" xr:uid="{00000000-0005-0000-0000-000098500000}"/>
    <cellStyle name="Normal 2 12 3 3 4 3" xfId="20630" xr:uid="{00000000-0005-0000-0000-000099500000}"/>
    <cellStyle name="Normal 2 12 3 3 4 4" xfId="20631" xr:uid="{00000000-0005-0000-0000-00009A500000}"/>
    <cellStyle name="Normal 2 12 3 3 5" xfId="20632" xr:uid="{00000000-0005-0000-0000-00009B500000}"/>
    <cellStyle name="Normal 2 12 3 3 5 2" xfId="20633" xr:uid="{00000000-0005-0000-0000-00009C500000}"/>
    <cellStyle name="Normal 2 12 3 3 6" xfId="20634" xr:uid="{00000000-0005-0000-0000-00009D500000}"/>
    <cellStyle name="Normal 2 12 3 3 7" xfId="20635" xr:uid="{00000000-0005-0000-0000-00009E500000}"/>
    <cellStyle name="Normal 2 12 3 3 8" xfId="20636" xr:uid="{00000000-0005-0000-0000-00009F500000}"/>
    <cellStyle name="Normal 2 12 3 3 9" xfId="20637" xr:uid="{00000000-0005-0000-0000-0000A0500000}"/>
    <cellStyle name="Normal 2 12 3 4" xfId="20638" xr:uid="{00000000-0005-0000-0000-0000A1500000}"/>
    <cellStyle name="Normal 2 12 3 4 2" xfId="20639" xr:uid="{00000000-0005-0000-0000-0000A2500000}"/>
    <cellStyle name="Normal 2 12 3 4 2 2" xfId="20640" xr:uid="{00000000-0005-0000-0000-0000A3500000}"/>
    <cellStyle name="Normal 2 12 3 4 2 3" xfId="20641" xr:uid="{00000000-0005-0000-0000-0000A4500000}"/>
    <cellStyle name="Normal 2 12 3 4 3" xfId="20642" xr:uid="{00000000-0005-0000-0000-0000A5500000}"/>
    <cellStyle name="Normal 2 12 3 4 4" xfId="20643" xr:uid="{00000000-0005-0000-0000-0000A6500000}"/>
    <cellStyle name="Normal 2 12 3 4 5" xfId="20644" xr:uid="{00000000-0005-0000-0000-0000A7500000}"/>
    <cellStyle name="Normal 2 12 3 4 6" xfId="20645" xr:uid="{00000000-0005-0000-0000-0000A8500000}"/>
    <cellStyle name="Normal 2 12 3 5" xfId="20646" xr:uid="{00000000-0005-0000-0000-0000A9500000}"/>
    <cellStyle name="Normal 2 12 3 5 2" xfId="20647" xr:uid="{00000000-0005-0000-0000-0000AA500000}"/>
    <cellStyle name="Normal 2 12 3 5 2 2" xfId="20648" xr:uid="{00000000-0005-0000-0000-0000AB500000}"/>
    <cellStyle name="Normal 2 12 3 5 3" xfId="20649" xr:uid="{00000000-0005-0000-0000-0000AC500000}"/>
    <cellStyle name="Normal 2 12 3 5 4" xfId="20650" xr:uid="{00000000-0005-0000-0000-0000AD500000}"/>
    <cellStyle name="Normal 2 12 3 5 5" xfId="20651" xr:uid="{00000000-0005-0000-0000-0000AE500000}"/>
    <cellStyle name="Normal 2 12 3 6" xfId="20652" xr:uid="{00000000-0005-0000-0000-0000AF500000}"/>
    <cellStyle name="Normal 2 12 3 6 2" xfId="20653" xr:uid="{00000000-0005-0000-0000-0000B0500000}"/>
    <cellStyle name="Normal 2 12 3 6 3" xfId="20654" xr:uid="{00000000-0005-0000-0000-0000B1500000}"/>
    <cellStyle name="Normal 2 12 3 6 4" xfId="20655" xr:uid="{00000000-0005-0000-0000-0000B2500000}"/>
    <cellStyle name="Normal 2 12 3 7" xfId="20656" xr:uid="{00000000-0005-0000-0000-0000B3500000}"/>
    <cellStyle name="Normal 2 12 3 7 2" xfId="20657" xr:uid="{00000000-0005-0000-0000-0000B4500000}"/>
    <cellStyle name="Normal 2 12 3 8" xfId="20658" xr:uid="{00000000-0005-0000-0000-0000B5500000}"/>
    <cellStyle name="Normal 2 12 3 9" xfId="20659" xr:uid="{00000000-0005-0000-0000-0000B6500000}"/>
    <cellStyle name="Normal 2 12 4" xfId="20660" xr:uid="{00000000-0005-0000-0000-0000B7500000}"/>
    <cellStyle name="Normal 2 12 4 10" xfId="20661" xr:uid="{00000000-0005-0000-0000-0000B8500000}"/>
    <cellStyle name="Normal 2 12 4 11" xfId="20662" xr:uid="{00000000-0005-0000-0000-0000B9500000}"/>
    <cellStyle name="Normal 2 12 4 2" xfId="20663" xr:uid="{00000000-0005-0000-0000-0000BA500000}"/>
    <cellStyle name="Normal 2 12 4 2 2" xfId="20664" xr:uid="{00000000-0005-0000-0000-0000BB500000}"/>
    <cellStyle name="Normal 2 12 4 2 2 2" xfId="20665" xr:uid="{00000000-0005-0000-0000-0000BC500000}"/>
    <cellStyle name="Normal 2 12 4 2 2 2 2" xfId="20666" xr:uid="{00000000-0005-0000-0000-0000BD500000}"/>
    <cellStyle name="Normal 2 12 4 2 2 2 3" xfId="20667" xr:uid="{00000000-0005-0000-0000-0000BE500000}"/>
    <cellStyle name="Normal 2 12 4 2 2 3" xfId="20668" xr:uid="{00000000-0005-0000-0000-0000BF500000}"/>
    <cellStyle name="Normal 2 12 4 2 2 4" xfId="20669" xr:uid="{00000000-0005-0000-0000-0000C0500000}"/>
    <cellStyle name="Normal 2 12 4 2 2 5" xfId="20670" xr:uid="{00000000-0005-0000-0000-0000C1500000}"/>
    <cellStyle name="Normal 2 12 4 2 2 6" xfId="20671" xr:uid="{00000000-0005-0000-0000-0000C2500000}"/>
    <cellStyle name="Normal 2 12 4 2 3" xfId="20672" xr:uid="{00000000-0005-0000-0000-0000C3500000}"/>
    <cellStyle name="Normal 2 12 4 2 3 2" xfId="20673" xr:uid="{00000000-0005-0000-0000-0000C4500000}"/>
    <cellStyle name="Normal 2 12 4 2 3 2 2" xfId="20674" xr:uid="{00000000-0005-0000-0000-0000C5500000}"/>
    <cellStyle name="Normal 2 12 4 2 3 3" xfId="20675" xr:uid="{00000000-0005-0000-0000-0000C6500000}"/>
    <cellStyle name="Normal 2 12 4 2 3 4" xfId="20676" xr:uid="{00000000-0005-0000-0000-0000C7500000}"/>
    <cellStyle name="Normal 2 12 4 2 3 5" xfId="20677" xr:uid="{00000000-0005-0000-0000-0000C8500000}"/>
    <cellStyle name="Normal 2 12 4 2 4" xfId="20678" xr:uid="{00000000-0005-0000-0000-0000C9500000}"/>
    <cellStyle name="Normal 2 12 4 2 4 2" xfId="20679" xr:uid="{00000000-0005-0000-0000-0000CA500000}"/>
    <cellStyle name="Normal 2 12 4 2 4 3" xfId="20680" xr:uid="{00000000-0005-0000-0000-0000CB500000}"/>
    <cellStyle name="Normal 2 12 4 2 4 4" xfId="20681" xr:uid="{00000000-0005-0000-0000-0000CC500000}"/>
    <cellStyle name="Normal 2 12 4 2 5" xfId="20682" xr:uid="{00000000-0005-0000-0000-0000CD500000}"/>
    <cellStyle name="Normal 2 12 4 2 5 2" xfId="20683" xr:uid="{00000000-0005-0000-0000-0000CE500000}"/>
    <cellStyle name="Normal 2 12 4 2 6" xfId="20684" xr:uid="{00000000-0005-0000-0000-0000CF500000}"/>
    <cellStyle name="Normal 2 12 4 2 7" xfId="20685" xr:uid="{00000000-0005-0000-0000-0000D0500000}"/>
    <cellStyle name="Normal 2 12 4 2 8" xfId="20686" xr:uid="{00000000-0005-0000-0000-0000D1500000}"/>
    <cellStyle name="Normal 2 12 4 2 9" xfId="20687" xr:uid="{00000000-0005-0000-0000-0000D2500000}"/>
    <cellStyle name="Normal 2 12 4 3" xfId="20688" xr:uid="{00000000-0005-0000-0000-0000D3500000}"/>
    <cellStyle name="Normal 2 12 4 3 2" xfId="20689" xr:uid="{00000000-0005-0000-0000-0000D4500000}"/>
    <cellStyle name="Normal 2 12 4 3 2 2" xfId="20690" xr:uid="{00000000-0005-0000-0000-0000D5500000}"/>
    <cellStyle name="Normal 2 12 4 3 2 2 2" xfId="20691" xr:uid="{00000000-0005-0000-0000-0000D6500000}"/>
    <cellStyle name="Normal 2 12 4 3 2 2 3" xfId="20692" xr:uid="{00000000-0005-0000-0000-0000D7500000}"/>
    <cellStyle name="Normal 2 12 4 3 2 3" xfId="20693" xr:uid="{00000000-0005-0000-0000-0000D8500000}"/>
    <cellStyle name="Normal 2 12 4 3 2 4" xfId="20694" xr:uid="{00000000-0005-0000-0000-0000D9500000}"/>
    <cellStyle name="Normal 2 12 4 3 2 5" xfId="20695" xr:uid="{00000000-0005-0000-0000-0000DA500000}"/>
    <cellStyle name="Normal 2 12 4 3 2 6" xfId="20696" xr:uid="{00000000-0005-0000-0000-0000DB500000}"/>
    <cellStyle name="Normal 2 12 4 3 3" xfId="20697" xr:uid="{00000000-0005-0000-0000-0000DC500000}"/>
    <cellStyle name="Normal 2 12 4 3 3 2" xfId="20698" xr:uid="{00000000-0005-0000-0000-0000DD500000}"/>
    <cellStyle name="Normal 2 12 4 3 3 2 2" xfId="20699" xr:uid="{00000000-0005-0000-0000-0000DE500000}"/>
    <cellStyle name="Normal 2 12 4 3 3 3" xfId="20700" xr:uid="{00000000-0005-0000-0000-0000DF500000}"/>
    <cellStyle name="Normal 2 12 4 3 3 4" xfId="20701" xr:uid="{00000000-0005-0000-0000-0000E0500000}"/>
    <cellStyle name="Normal 2 12 4 3 3 5" xfId="20702" xr:uid="{00000000-0005-0000-0000-0000E1500000}"/>
    <cellStyle name="Normal 2 12 4 3 4" xfId="20703" xr:uid="{00000000-0005-0000-0000-0000E2500000}"/>
    <cellStyle name="Normal 2 12 4 3 4 2" xfId="20704" xr:uid="{00000000-0005-0000-0000-0000E3500000}"/>
    <cellStyle name="Normal 2 12 4 3 4 3" xfId="20705" xr:uid="{00000000-0005-0000-0000-0000E4500000}"/>
    <cellStyle name="Normal 2 12 4 3 4 4" xfId="20706" xr:uid="{00000000-0005-0000-0000-0000E5500000}"/>
    <cellStyle name="Normal 2 12 4 3 5" xfId="20707" xr:uid="{00000000-0005-0000-0000-0000E6500000}"/>
    <cellStyle name="Normal 2 12 4 3 5 2" xfId="20708" xr:uid="{00000000-0005-0000-0000-0000E7500000}"/>
    <cellStyle name="Normal 2 12 4 3 6" xfId="20709" xr:uid="{00000000-0005-0000-0000-0000E8500000}"/>
    <cellStyle name="Normal 2 12 4 3 7" xfId="20710" xr:uid="{00000000-0005-0000-0000-0000E9500000}"/>
    <cellStyle name="Normal 2 12 4 3 8" xfId="20711" xr:uid="{00000000-0005-0000-0000-0000EA500000}"/>
    <cellStyle name="Normal 2 12 4 3 9" xfId="20712" xr:uid="{00000000-0005-0000-0000-0000EB500000}"/>
    <cellStyle name="Normal 2 12 4 4" xfId="20713" xr:uid="{00000000-0005-0000-0000-0000EC500000}"/>
    <cellStyle name="Normal 2 12 4 4 2" xfId="20714" xr:uid="{00000000-0005-0000-0000-0000ED500000}"/>
    <cellStyle name="Normal 2 12 4 4 2 2" xfId="20715" xr:uid="{00000000-0005-0000-0000-0000EE500000}"/>
    <cellStyle name="Normal 2 12 4 4 2 3" xfId="20716" xr:uid="{00000000-0005-0000-0000-0000EF500000}"/>
    <cellStyle name="Normal 2 12 4 4 3" xfId="20717" xr:uid="{00000000-0005-0000-0000-0000F0500000}"/>
    <cellStyle name="Normal 2 12 4 4 4" xfId="20718" xr:uid="{00000000-0005-0000-0000-0000F1500000}"/>
    <cellStyle name="Normal 2 12 4 4 5" xfId="20719" xr:uid="{00000000-0005-0000-0000-0000F2500000}"/>
    <cellStyle name="Normal 2 12 4 4 6" xfId="20720" xr:uid="{00000000-0005-0000-0000-0000F3500000}"/>
    <cellStyle name="Normal 2 12 4 5" xfId="20721" xr:uid="{00000000-0005-0000-0000-0000F4500000}"/>
    <cellStyle name="Normal 2 12 4 5 2" xfId="20722" xr:uid="{00000000-0005-0000-0000-0000F5500000}"/>
    <cellStyle name="Normal 2 12 4 5 2 2" xfId="20723" xr:uid="{00000000-0005-0000-0000-0000F6500000}"/>
    <cellStyle name="Normal 2 12 4 5 3" xfId="20724" xr:uid="{00000000-0005-0000-0000-0000F7500000}"/>
    <cellStyle name="Normal 2 12 4 5 4" xfId="20725" xr:uid="{00000000-0005-0000-0000-0000F8500000}"/>
    <cellStyle name="Normal 2 12 4 5 5" xfId="20726" xr:uid="{00000000-0005-0000-0000-0000F9500000}"/>
    <cellStyle name="Normal 2 12 4 6" xfId="20727" xr:uid="{00000000-0005-0000-0000-0000FA500000}"/>
    <cellStyle name="Normal 2 12 4 6 2" xfId="20728" xr:uid="{00000000-0005-0000-0000-0000FB500000}"/>
    <cellStyle name="Normal 2 12 4 6 3" xfId="20729" xr:uid="{00000000-0005-0000-0000-0000FC500000}"/>
    <cellStyle name="Normal 2 12 4 6 4" xfId="20730" xr:uid="{00000000-0005-0000-0000-0000FD500000}"/>
    <cellStyle name="Normal 2 12 4 7" xfId="20731" xr:uid="{00000000-0005-0000-0000-0000FE500000}"/>
    <cellStyle name="Normal 2 12 4 7 2" xfId="20732" xr:uid="{00000000-0005-0000-0000-0000FF500000}"/>
    <cellStyle name="Normal 2 12 4 8" xfId="20733" xr:uid="{00000000-0005-0000-0000-000000510000}"/>
    <cellStyle name="Normal 2 12 4 9" xfId="20734" xr:uid="{00000000-0005-0000-0000-000001510000}"/>
    <cellStyle name="Normal 2 12 5" xfId="20735" xr:uid="{00000000-0005-0000-0000-000002510000}"/>
    <cellStyle name="Normal 2 12 5 10" xfId="20736" xr:uid="{00000000-0005-0000-0000-000003510000}"/>
    <cellStyle name="Normal 2 12 5 11" xfId="20737" xr:uid="{00000000-0005-0000-0000-000004510000}"/>
    <cellStyle name="Normal 2 12 5 2" xfId="20738" xr:uid="{00000000-0005-0000-0000-000005510000}"/>
    <cellStyle name="Normal 2 12 5 2 2" xfId="20739" xr:uid="{00000000-0005-0000-0000-000006510000}"/>
    <cellStyle name="Normal 2 12 5 2 2 2" xfId="20740" xr:uid="{00000000-0005-0000-0000-000007510000}"/>
    <cellStyle name="Normal 2 12 5 2 2 2 2" xfId="20741" xr:uid="{00000000-0005-0000-0000-000008510000}"/>
    <cellStyle name="Normal 2 12 5 2 2 2 3" xfId="20742" xr:uid="{00000000-0005-0000-0000-000009510000}"/>
    <cellStyle name="Normal 2 12 5 2 2 3" xfId="20743" xr:uid="{00000000-0005-0000-0000-00000A510000}"/>
    <cellStyle name="Normal 2 12 5 2 2 4" xfId="20744" xr:uid="{00000000-0005-0000-0000-00000B510000}"/>
    <cellStyle name="Normal 2 12 5 2 2 5" xfId="20745" xr:uid="{00000000-0005-0000-0000-00000C510000}"/>
    <cellStyle name="Normal 2 12 5 2 2 6" xfId="20746" xr:uid="{00000000-0005-0000-0000-00000D510000}"/>
    <cellStyle name="Normal 2 12 5 2 3" xfId="20747" xr:uid="{00000000-0005-0000-0000-00000E510000}"/>
    <cellStyle name="Normal 2 12 5 2 3 2" xfId="20748" xr:uid="{00000000-0005-0000-0000-00000F510000}"/>
    <cellStyle name="Normal 2 12 5 2 3 2 2" xfId="20749" xr:uid="{00000000-0005-0000-0000-000010510000}"/>
    <cellStyle name="Normal 2 12 5 2 3 3" xfId="20750" xr:uid="{00000000-0005-0000-0000-000011510000}"/>
    <cellStyle name="Normal 2 12 5 2 3 4" xfId="20751" xr:uid="{00000000-0005-0000-0000-000012510000}"/>
    <cellStyle name="Normal 2 12 5 2 3 5" xfId="20752" xr:uid="{00000000-0005-0000-0000-000013510000}"/>
    <cellStyle name="Normal 2 12 5 2 4" xfId="20753" xr:uid="{00000000-0005-0000-0000-000014510000}"/>
    <cellStyle name="Normal 2 12 5 2 4 2" xfId="20754" xr:uid="{00000000-0005-0000-0000-000015510000}"/>
    <cellStyle name="Normal 2 12 5 2 4 3" xfId="20755" xr:uid="{00000000-0005-0000-0000-000016510000}"/>
    <cellStyle name="Normal 2 12 5 2 4 4" xfId="20756" xr:uid="{00000000-0005-0000-0000-000017510000}"/>
    <cellStyle name="Normal 2 12 5 2 5" xfId="20757" xr:uid="{00000000-0005-0000-0000-000018510000}"/>
    <cellStyle name="Normal 2 12 5 2 5 2" xfId="20758" xr:uid="{00000000-0005-0000-0000-000019510000}"/>
    <cellStyle name="Normal 2 12 5 2 6" xfId="20759" xr:uid="{00000000-0005-0000-0000-00001A510000}"/>
    <cellStyle name="Normal 2 12 5 2 7" xfId="20760" xr:uid="{00000000-0005-0000-0000-00001B510000}"/>
    <cellStyle name="Normal 2 12 5 2 8" xfId="20761" xr:uid="{00000000-0005-0000-0000-00001C510000}"/>
    <cellStyle name="Normal 2 12 5 2 9" xfId="20762" xr:uid="{00000000-0005-0000-0000-00001D510000}"/>
    <cellStyle name="Normal 2 12 5 3" xfId="20763" xr:uid="{00000000-0005-0000-0000-00001E510000}"/>
    <cellStyle name="Normal 2 12 5 3 2" xfId="20764" xr:uid="{00000000-0005-0000-0000-00001F510000}"/>
    <cellStyle name="Normal 2 12 5 3 2 2" xfId="20765" xr:uid="{00000000-0005-0000-0000-000020510000}"/>
    <cellStyle name="Normal 2 12 5 3 2 2 2" xfId="20766" xr:uid="{00000000-0005-0000-0000-000021510000}"/>
    <cellStyle name="Normal 2 12 5 3 2 2 3" xfId="20767" xr:uid="{00000000-0005-0000-0000-000022510000}"/>
    <cellStyle name="Normal 2 12 5 3 2 3" xfId="20768" xr:uid="{00000000-0005-0000-0000-000023510000}"/>
    <cellStyle name="Normal 2 12 5 3 2 4" xfId="20769" xr:uid="{00000000-0005-0000-0000-000024510000}"/>
    <cellStyle name="Normal 2 12 5 3 2 5" xfId="20770" xr:uid="{00000000-0005-0000-0000-000025510000}"/>
    <cellStyle name="Normal 2 12 5 3 2 6" xfId="20771" xr:uid="{00000000-0005-0000-0000-000026510000}"/>
    <cellStyle name="Normal 2 12 5 3 3" xfId="20772" xr:uid="{00000000-0005-0000-0000-000027510000}"/>
    <cellStyle name="Normal 2 12 5 3 3 2" xfId="20773" xr:uid="{00000000-0005-0000-0000-000028510000}"/>
    <cellStyle name="Normal 2 12 5 3 3 2 2" xfId="20774" xr:uid="{00000000-0005-0000-0000-000029510000}"/>
    <cellStyle name="Normal 2 12 5 3 3 3" xfId="20775" xr:uid="{00000000-0005-0000-0000-00002A510000}"/>
    <cellStyle name="Normal 2 12 5 3 3 4" xfId="20776" xr:uid="{00000000-0005-0000-0000-00002B510000}"/>
    <cellStyle name="Normal 2 12 5 3 3 5" xfId="20777" xr:uid="{00000000-0005-0000-0000-00002C510000}"/>
    <cellStyle name="Normal 2 12 5 3 4" xfId="20778" xr:uid="{00000000-0005-0000-0000-00002D510000}"/>
    <cellStyle name="Normal 2 12 5 3 4 2" xfId="20779" xr:uid="{00000000-0005-0000-0000-00002E510000}"/>
    <cellStyle name="Normal 2 12 5 3 4 3" xfId="20780" xr:uid="{00000000-0005-0000-0000-00002F510000}"/>
    <cellStyle name="Normal 2 12 5 3 4 4" xfId="20781" xr:uid="{00000000-0005-0000-0000-000030510000}"/>
    <cellStyle name="Normal 2 12 5 3 5" xfId="20782" xr:uid="{00000000-0005-0000-0000-000031510000}"/>
    <cellStyle name="Normal 2 12 5 3 5 2" xfId="20783" xr:uid="{00000000-0005-0000-0000-000032510000}"/>
    <cellStyle name="Normal 2 12 5 3 6" xfId="20784" xr:uid="{00000000-0005-0000-0000-000033510000}"/>
    <cellStyle name="Normal 2 12 5 3 7" xfId="20785" xr:uid="{00000000-0005-0000-0000-000034510000}"/>
    <cellStyle name="Normal 2 12 5 3 8" xfId="20786" xr:uid="{00000000-0005-0000-0000-000035510000}"/>
    <cellStyle name="Normal 2 12 5 3 9" xfId="20787" xr:uid="{00000000-0005-0000-0000-000036510000}"/>
    <cellStyle name="Normal 2 12 5 4" xfId="20788" xr:uid="{00000000-0005-0000-0000-000037510000}"/>
    <cellStyle name="Normal 2 12 5 4 2" xfId="20789" xr:uid="{00000000-0005-0000-0000-000038510000}"/>
    <cellStyle name="Normal 2 12 5 4 2 2" xfId="20790" xr:uid="{00000000-0005-0000-0000-000039510000}"/>
    <cellStyle name="Normal 2 12 5 4 2 3" xfId="20791" xr:uid="{00000000-0005-0000-0000-00003A510000}"/>
    <cellStyle name="Normal 2 12 5 4 3" xfId="20792" xr:uid="{00000000-0005-0000-0000-00003B510000}"/>
    <cellStyle name="Normal 2 12 5 4 4" xfId="20793" xr:uid="{00000000-0005-0000-0000-00003C510000}"/>
    <cellStyle name="Normal 2 12 5 4 5" xfId="20794" xr:uid="{00000000-0005-0000-0000-00003D510000}"/>
    <cellStyle name="Normal 2 12 5 4 6" xfId="20795" xr:uid="{00000000-0005-0000-0000-00003E510000}"/>
    <cellStyle name="Normal 2 12 5 5" xfId="20796" xr:uid="{00000000-0005-0000-0000-00003F510000}"/>
    <cellStyle name="Normal 2 12 5 5 2" xfId="20797" xr:uid="{00000000-0005-0000-0000-000040510000}"/>
    <cellStyle name="Normal 2 12 5 5 2 2" xfId="20798" xr:uid="{00000000-0005-0000-0000-000041510000}"/>
    <cellStyle name="Normal 2 12 5 5 3" xfId="20799" xr:uid="{00000000-0005-0000-0000-000042510000}"/>
    <cellStyle name="Normal 2 12 5 5 4" xfId="20800" xr:uid="{00000000-0005-0000-0000-000043510000}"/>
    <cellStyle name="Normal 2 12 5 5 5" xfId="20801" xr:uid="{00000000-0005-0000-0000-000044510000}"/>
    <cellStyle name="Normal 2 12 5 6" xfId="20802" xr:uid="{00000000-0005-0000-0000-000045510000}"/>
    <cellStyle name="Normal 2 12 5 6 2" xfId="20803" xr:uid="{00000000-0005-0000-0000-000046510000}"/>
    <cellStyle name="Normal 2 12 5 6 3" xfId="20804" xr:uid="{00000000-0005-0000-0000-000047510000}"/>
    <cellStyle name="Normal 2 12 5 6 4" xfId="20805" xr:uid="{00000000-0005-0000-0000-000048510000}"/>
    <cellStyle name="Normal 2 12 5 7" xfId="20806" xr:uid="{00000000-0005-0000-0000-000049510000}"/>
    <cellStyle name="Normal 2 12 5 7 2" xfId="20807" xr:uid="{00000000-0005-0000-0000-00004A510000}"/>
    <cellStyle name="Normal 2 12 5 8" xfId="20808" xr:uid="{00000000-0005-0000-0000-00004B510000}"/>
    <cellStyle name="Normal 2 12 5 9" xfId="20809" xr:uid="{00000000-0005-0000-0000-00004C510000}"/>
    <cellStyle name="Normal 2 12 6" xfId="20810" xr:uid="{00000000-0005-0000-0000-00004D510000}"/>
    <cellStyle name="Normal 2 12 6 10" xfId="20811" xr:uid="{00000000-0005-0000-0000-00004E510000}"/>
    <cellStyle name="Normal 2 12 6 11" xfId="20812" xr:uid="{00000000-0005-0000-0000-00004F510000}"/>
    <cellStyle name="Normal 2 12 6 2" xfId="20813" xr:uid="{00000000-0005-0000-0000-000050510000}"/>
    <cellStyle name="Normal 2 12 6 2 2" xfId="20814" xr:uid="{00000000-0005-0000-0000-000051510000}"/>
    <cellStyle name="Normal 2 12 6 2 2 2" xfId="20815" xr:uid="{00000000-0005-0000-0000-000052510000}"/>
    <cellStyle name="Normal 2 12 6 2 2 2 2" xfId="20816" xr:uid="{00000000-0005-0000-0000-000053510000}"/>
    <cellStyle name="Normal 2 12 6 2 2 2 3" xfId="20817" xr:uid="{00000000-0005-0000-0000-000054510000}"/>
    <cellStyle name="Normal 2 12 6 2 2 3" xfId="20818" xr:uid="{00000000-0005-0000-0000-000055510000}"/>
    <cellStyle name="Normal 2 12 6 2 2 4" xfId="20819" xr:uid="{00000000-0005-0000-0000-000056510000}"/>
    <cellStyle name="Normal 2 12 6 2 2 5" xfId="20820" xr:uid="{00000000-0005-0000-0000-000057510000}"/>
    <cellStyle name="Normal 2 12 6 2 2 6" xfId="20821" xr:uid="{00000000-0005-0000-0000-000058510000}"/>
    <cellStyle name="Normal 2 12 6 2 3" xfId="20822" xr:uid="{00000000-0005-0000-0000-000059510000}"/>
    <cellStyle name="Normal 2 12 6 2 3 2" xfId="20823" xr:uid="{00000000-0005-0000-0000-00005A510000}"/>
    <cellStyle name="Normal 2 12 6 2 3 2 2" xfId="20824" xr:uid="{00000000-0005-0000-0000-00005B510000}"/>
    <cellStyle name="Normal 2 12 6 2 3 3" xfId="20825" xr:uid="{00000000-0005-0000-0000-00005C510000}"/>
    <cellStyle name="Normal 2 12 6 2 3 4" xfId="20826" xr:uid="{00000000-0005-0000-0000-00005D510000}"/>
    <cellStyle name="Normal 2 12 6 2 3 5" xfId="20827" xr:uid="{00000000-0005-0000-0000-00005E510000}"/>
    <cellStyle name="Normal 2 12 6 2 4" xfId="20828" xr:uid="{00000000-0005-0000-0000-00005F510000}"/>
    <cellStyle name="Normal 2 12 6 2 4 2" xfId="20829" xr:uid="{00000000-0005-0000-0000-000060510000}"/>
    <cellStyle name="Normal 2 12 6 2 4 3" xfId="20830" xr:uid="{00000000-0005-0000-0000-000061510000}"/>
    <cellStyle name="Normal 2 12 6 2 4 4" xfId="20831" xr:uid="{00000000-0005-0000-0000-000062510000}"/>
    <cellStyle name="Normal 2 12 6 2 5" xfId="20832" xr:uid="{00000000-0005-0000-0000-000063510000}"/>
    <cellStyle name="Normal 2 12 6 2 5 2" xfId="20833" xr:uid="{00000000-0005-0000-0000-000064510000}"/>
    <cellStyle name="Normal 2 12 6 2 6" xfId="20834" xr:uid="{00000000-0005-0000-0000-000065510000}"/>
    <cellStyle name="Normal 2 12 6 2 7" xfId="20835" xr:uid="{00000000-0005-0000-0000-000066510000}"/>
    <cellStyle name="Normal 2 12 6 2 8" xfId="20836" xr:uid="{00000000-0005-0000-0000-000067510000}"/>
    <cellStyle name="Normal 2 12 6 2 9" xfId="20837" xr:uid="{00000000-0005-0000-0000-000068510000}"/>
    <cellStyle name="Normal 2 12 6 3" xfId="20838" xr:uid="{00000000-0005-0000-0000-000069510000}"/>
    <cellStyle name="Normal 2 12 6 3 2" xfId="20839" xr:uid="{00000000-0005-0000-0000-00006A510000}"/>
    <cellStyle name="Normal 2 12 6 3 2 2" xfId="20840" xr:uid="{00000000-0005-0000-0000-00006B510000}"/>
    <cellStyle name="Normal 2 12 6 3 2 2 2" xfId="20841" xr:uid="{00000000-0005-0000-0000-00006C510000}"/>
    <cellStyle name="Normal 2 12 6 3 2 2 3" xfId="20842" xr:uid="{00000000-0005-0000-0000-00006D510000}"/>
    <cellStyle name="Normal 2 12 6 3 2 3" xfId="20843" xr:uid="{00000000-0005-0000-0000-00006E510000}"/>
    <cellStyle name="Normal 2 12 6 3 2 4" xfId="20844" xr:uid="{00000000-0005-0000-0000-00006F510000}"/>
    <cellStyle name="Normal 2 12 6 3 2 5" xfId="20845" xr:uid="{00000000-0005-0000-0000-000070510000}"/>
    <cellStyle name="Normal 2 12 6 3 2 6" xfId="20846" xr:uid="{00000000-0005-0000-0000-000071510000}"/>
    <cellStyle name="Normal 2 12 6 3 3" xfId="20847" xr:uid="{00000000-0005-0000-0000-000072510000}"/>
    <cellStyle name="Normal 2 12 6 3 3 2" xfId="20848" xr:uid="{00000000-0005-0000-0000-000073510000}"/>
    <cellStyle name="Normal 2 12 6 3 3 2 2" xfId="20849" xr:uid="{00000000-0005-0000-0000-000074510000}"/>
    <cellStyle name="Normal 2 12 6 3 3 3" xfId="20850" xr:uid="{00000000-0005-0000-0000-000075510000}"/>
    <cellStyle name="Normal 2 12 6 3 3 4" xfId="20851" xr:uid="{00000000-0005-0000-0000-000076510000}"/>
    <cellStyle name="Normal 2 12 6 3 3 5" xfId="20852" xr:uid="{00000000-0005-0000-0000-000077510000}"/>
    <cellStyle name="Normal 2 12 6 3 4" xfId="20853" xr:uid="{00000000-0005-0000-0000-000078510000}"/>
    <cellStyle name="Normal 2 12 6 3 4 2" xfId="20854" xr:uid="{00000000-0005-0000-0000-000079510000}"/>
    <cellStyle name="Normal 2 12 6 3 4 3" xfId="20855" xr:uid="{00000000-0005-0000-0000-00007A510000}"/>
    <cellStyle name="Normal 2 12 6 3 4 4" xfId="20856" xr:uid="{00000000-0005-0000-0000-00007B510000}"/>
    <cellStyle name="Normal 2 12 6 3 5" xfId="20857" xr:uid="{00000000-0005-0000-0000-00007C510000}"/>
    <cellStyle name="Normal 2 12 6 3 5 2" xfId="20858" xr:uid="{00000000-0005-0000-0000-00007D510000}"/>
    <cellStyle name="Normal 2 12 6 3 6" xfId="20859" xr:uid="{00000000-0005-0000-0000-00007E510000}"/>
    <cellStyle name="Normal 2 12 6 3 7" xfId="20860" xr:uid="{00000000-0005-0000-0000-00007F510000}"/>
    <cellStyle name="Normal 2 12 6 3 8" xfId="20861" xr:uid="{00000000-0005-0000-0000-000080510000}"/>
    <cellStyle name="Normal 2 12 6 3 9" xfId="20862" xr:uid="{00000000-0005-0000-0000-000081510000}"/>
    <cellStyle name="Normal 2 12 6 4" xfId="20863" xr:uid="{00000000-0005-0000-0000-000082510000}"/>
    <cellStyle name="Normal 2 12 6 4 2" xfId="20864" xr:uid="{00000000-0005-0000-0000-000083510000}"/>
    <cellStyle name="Normal 2 12 6 4 2 2" xfId="20865" xr:uid="{00000000-0005-0000-0000-000084510000}"/>
    <cellStyle name="Normal 2 12 6 4 2 3" xfId="20866" xr:uid="{00000000-0005-0000-0000-000085510000}"/>
    <cellStyle name="Normal 2 12 6 4 3" xfId="20867" xr:uid="{00000000-0005-0000-0000-000086510000}"/>
    <cellStyle name="Normal 2 12 6 4 4" xfId="20868" xr:uid="{00000000-0005-0000-0000-000087510000}"/>
    <cellStyle name="Normal 2 12 6 4 5" xfId="20869" xr:uid="{00000000-0005-0000-0000-000088510000}"/>
    <cellStyle name="Normal 2 12 6 4 6" xfId="20870" xr:uid="{00000000-0005-0000-0000-000089510000}"/>
    <cellStyle name="Normal 2 12 6 5" xfId="20871" xr:uid="{00000000-0005-0000-0000-00008A510000}"/>
    <cellStyle name="Normal 2 12 6 5 2" xfId="20872" xr:uid="{00000000-0005-0000-0000-00008B510000}"/>
    <cellStyle name="Normal 2 12 6 5 2 2" xfId="20873" xr:uid="{00000000-0005-0000-0000-00008C510000}"/>
    <cellStyle name="Normal 2 12 6 5 3" xfId="20874" xr:uid="{00000000-0005-0000-0000-00008D510000}"/>
    <cellStyle name="Normal 2 12 6 5 4" xfId="20875" xr:uid="{00000000-0005-0000-0000-00008E510000}"/>
    <cellStyle name="Normal 2 12 6 5 5" xfId="20876" xr:uid="{00000000-0005-0000-0000-00008F510000}"/>
    <cellStyle name="Normal 2 12 6 6" xfId="20877" xr:uid="{00000000-0005-0000-0000-000090510000}"/>
    <cellStyle name="Normal 2 12 6 6 2" xfId="20878" xr:uid="{00000000-0005-0000-0000-000091510000}"/>
    <cellStyle name="Normal 2 12 6 6 3" xfId="20879" xr:uid="{00000000-0005-0000-0000-000092510000}"/>
    <cellStyle name="Normal 2 12 6 6 4" xfId="20880" xr:uid="{00000000-0005-0000-0000-000093510000}"/>
    <cellStyle name="Normal 2 12 6 7" xfId="20881" xr:uid="{00000000-0005-0000-0000-000094510000}"/>
    <cellStyle name="Normal 2 12 6 7 2" xfId="20882" xr:uid="{00000000-0005-0000-0000-000095510000}"/>
    <cellStyle name="Normal 2 12 6 8" xfId="20883" xr:uid="{00000000-0005-0000-0000-000096510000}"/>
    <cellStyle name="Normal 2 12 6 9" xfId="20884" xr:uid="{00000000-0005-0000-0000-000097510000}"/>
    <cellStyle name="Normal 2 12 7" xfId="20885" xr:uid="{00000000-0005-0000-0000-000098510000}"/>
    <cellStyle name="Normal 2 12 7 10" xfId="20886" xr:uid="{00000000-0005-0000-0000-000099510000}"/>
    <cellStyle name="Normal 2 12 7 11" xfId="20887" xr:uid="{00000000-0005-0000-0000-00009A510000}"/>
    <cellStyle name="Normal 2 12 7 2" xfId="20888" xr:uid="{00000000-0005-0000-0000-00009B510000}"/>
    <cellStyle name="Normal 2 12 7 2 2" xfId="20889" xr:uid="{00000000-0005-0000-0000-00009C510000}"/>
    <cellStyle name="Normal 2 12 7 2 2 2" xfId="20890" xr:uid="{00000000-0005-0000-0000-00009D510000}"/>
    <cellStyle name="Normal 2 12 7 2 2 2 2" xfId="20891" xr:uid="{00000000-0005-0000-0000-00009E510000}"/>
    <cellStyle name="Normal 2 12 7 2 2 2 3" xfId="20892" xr:uid="{00000000-0005-0000-0000-00009F510000}"/>
    <cellStyle name="Normal 2 12 7 2 2 3" xfId="20893" xr:uid="{00000000-0005-0000-0000-0000A0510000}"/>
    <cellStyle name="Normal 2 12 7 2 2 4" xfId="20894" xr:uid="{00000000-0005-0000-0000-0000A1510000}"/>
    <cellStyle name="Normal 2 12 7 2 2 5" xfId="20895" xr:uid="{00000000-0005-0000-0000-0000A2510000}"/>
    <cellStyle name="Normal 2 12 7 2 2 6" xfId="20896" xr:uid="{00000000-0005-0000-0000-0000A3510000}"/>
    <cellStyle name="Normal 2 12 7 2 3" xfId="20897" xr:uid="{00000000-0005-0000-0000-0000A4510000}"/>
    <cellStyle name="Normal 2 12 7 2 3 2" xfId="20898" xr:uid="{00000000-0005-0000-0000-0000A5510000}"/>
    <cellStyle name="Normal 2 12 7 2 3 2 2" xfId="20899" xr:uid="{00000000-0005-0000-0000-0000A6510000}"/>
    <cellStyle name="Normal 2 12 7 2 3 3" xfId="20900" xr:uid="{00000000-0005-0000-0000-0000A7510000}"/>
    <cellStyle name="Normal 2 12 7 2 3 4" xfId="20901" xr:uid="{00000000-0005-0000-0000-0000A8510000}"/>
    <cellStyle name="Normal 2 12 7 2 3 5" xfId="20902" xr:uid="{00000000-0005-0000-0000-0000A9510000}"/>
    <cellStyle name="Normal 2 12 7 2 4" xfId="20903" xr:uid="{00000000-0005-0000-0000-0000AA510000}"/>
    <cellStyle name="Normal 2 12 7 2 4 2" xfId="20904" xr:uid="{00000000-0005-0000-0000-0000AB510000}"/>
    <cellStyle name="Normal 2 12 7 2 4 3" xfId="20905" xr:uid="{00000000-0005-0000-0000-0000AC510000}"/>
    <cellStyle name="Normal 2 12 7 2 4 4" xfId="20906" xr:uid="{00000000-0005-0000-0000-0000AD510000}"/>
    <cellStyle name="Normal 2 12 7 2 5" xfId="20907" xr:uid="{00000000-0005-0000-0000-0000AE510000}"/>
    <cellStyle name="Normal 2 12 7 2 5 2" xfId="20908" xr:uid="{00000000-0005-0000-0000-0000AF510000}"/>
    <cellStyle name="Normal 2 12 7 2 6" xfId="20909" xr:uid="{00000000-0005-0000-0000-0000B0510000}"/>
    <cellStyle name="Normal 2 12 7 2 7" xfId="20910" xr:uid="{00000000-0005-0000-0000-0000B1510000}"/>
    <cellStyle name="Normal 2 12 7 2 8" xfId="20911" xr:uid="{00000000-0005-0000-0000-0000B2510000}"/>
    <cellStyle name="Normal 2 12 7 2 9" xfId="20912" xr:uid="{00000000-0005-0000-0000-0000B3510000}"/>
    <cellStyle name="Normal 2 12 7 3" xfId="20913" xr:uid="{00000000-0005-0000-0000-0000B4510000}"/>
    <cellStyle name="Normal 2 12 7 3 2" xfId="20914" xr:uid="{00000000-0005-0000-0000-0000B5510000}"/>
    <cellStyle name="Normal 2 12 7 3 2 2" xfId="20915" xr:uid="{00000000-0005-0000-0000-0000B6510000}"/>
    <cellStyle name="Normal 2 12 7 3 2 2 2" xfId="20916" xr:uid="{00000000-0005-0000-0000-0000B7510000}"/>
    <cellStyle name="Normal 2 12 7 3 2 2 3" xfId="20917" xr:uid="{00000000-0005-0000-0000-0000B8510000}"/>
    <cellStyle name="Normal 2 12 7 3 2 3" xfId="20918" xr:uid="{00000000-0005-0000-0000-0000B9510000}"/>
    <cellStyle name="Normal 2 12 7 3 2 4" xfId="20919" xr:uid="{00000000-0005-0000-0000-0000BA510000}"/>
    <cellStyle name="Normal 2 12 7 3 2 5" xfId="20920" xr:uid="{00000000-0005-0000-0000-0000BB510000}"/>
    <cellStyle name="Normal 2 12 7 3 2 6" xfId="20921" xr:uid="{00000000-0005-0000-0000-0000BC510000}"/>
    <cellStyle name="Normal 2 12 7 3 3" xfId="20922" xr:uid="{00000000-0005-0000-0000-0000BD510000}"/>
    <cellStyle name="Normal 2 12 7 3 3 2" xfId="20923" xr:uid="{00000000-0005-0000-0000-0000BE510000}"/>
    <cellStyle name="Normal 2 12 7 3 3 2 2" xfId="20924" xr:uid="{00000000-0005-0000-0000-0000BF510000}"/>
    <cellStyle name="Normal 2 12 7 3 3 3" xfId="20925" xr:uid="{00000000-0005-0000-0000-0000C0510000}"/>
    <cellStyle name="Normal 2 12 7 3 3 4" xfId="20926" xr:uid="{00000000-0005-0000-0000-0000C1510000}"/>
    <cellStyle name="Normal 2 12 7 3 3 5" xfId="20927" xr:uid="{00000000-0005-0000-0000-0000C2510000}"/>
    <cellStyle name="Normal 2 12 7 3 4" xfId="20928" xr:uid="{00000000-0005-0000-0000-0000C3510000}"/>
    <cellStyle name="Normal 2 12 7 3 4 2" xfId="20929" xr:uid="{00000000-0005-0000-0000-0000C4510000}"/>
    <cellStyle name="Normal 2 12 7 3 4 3" xfId="20930" xr:uid="{00000000-0005-0000-0000-0000C5510000}"/>
    <cellStyle name="Normal 2 12 7 3 4 4" xfId="20931" xr:uid="{00000000-0005-0000-0000-0000C6510000}"/>
    <cellStyle name="Normal 2 12 7 3 5" xfId="20932" xr:uid="{00000000-0005-0000-0000-0000C7510000}"/>
    <cellStyle name="Normal 2 12 7 3 5 2" xfId="20933" xr:uid="{00000000-0005-0000-0000-0000C8510000}"/>
    <cellStyle name="Normal 2 12 7 3 6" xfId="20934" xr:uid="{00000000-0005-0000-0000-0000C9510000}"/>
    <cellStyle name="Normal 2 12 7 3 7" xfId="20935" xr:uid="{00000000-0005-0000-0000-0000CA510000}"/>
    <cellStyle name="Normal 2 12 7 3 8" xfId="20936" xr:uid="{00000000-0005-0000-0000-0000CB510000}"/>
    <cellStyle name="Normal 2 12 7 3 9" xfId="20937" xr:uid="{00000000-0005-0000-0000-0000CC510000}"/>
    <cellStyle name="Normal 2 12 7 4" xfId="20938" xr:uid="{00000000-0005-0000-0000-0000CD510000}"/>
    <cellStyle name="Normal 2 12 7 4 2" xfId="20939" xr:uid="{00000000-0005-0000-0000-0000CE510000}"/>
    <cellStyle name="Normal 2 12 7 4 2 2" xfId="20940" xr:uid="{00000000-0005-0000-0000-0000CF510000}"/>
    <cellStyle name="Normal 2 12 7 4 2 3" xfId="20941" xr:uid="{00000000-0005-0000-0000-0000D0510000}"/>
    <cellStyle name="Normal 2 12 7 4 3" xfId="20942" xr:uid="{00000000-0005-0000-0000-0000D1510000}"/>
    <cellStyle name="Normal 2 12 7 4 4" xfId="20943" xr:uid="{00000000-0005-0000-0000-0000D2510000}"/>
    <cellStyle name="Normal 2 12 7 4 5" xfId="20944" xr:uid="{00000000-0005-0000-0000-0000D3510000}"/>
    <cellStyle name="Normal 2 12 7 4 6" xfId="20945" xr:uid="{00000000-0005-0000-0000-0000D4510000}"/>
    <cellStyle name="Normal 2 12 7 5" xfId="20946" xr:uid="{00000000-0005-0000-0000-0000D5510000}"/>
    <cellStyle name="Normal 2 12 7 5 2" xfId="20947" xr:uid="{00000000-0005-0000-0000-0000D6510000}"/>
    <cellStyle name="Normal 2 12 7 5 2 2" xfId="20948" xr:uid="{00000000-0005-0000-0000-0000D7510000}"/>
    <cellStyle name="Normal 2 12 7 5 3" xfId="20949" xr:uid="{00000000-0005-0000-0000-0000D8510000}"/>
    <cellStyle name="Normal 2 12 7 5 4" xfId="20950" xr:uid="{00000000-0005-0000-0000-0000D9510000}"/>
    <cellStyle name="Normal 2 12 7 5 5" xfId="20951" xr:uid="{00000000-0005-0000-0000-0000DA510000}"/>
    <cellStyle name="Normal 2 12 7 6" xfId="20952" xr:uid="{00000000-0005-0000-0000-0000DB510000}"/>
    <cellStyle name="Normal 2 12 7 6 2" xfId="20953" xr:uid="{00000000-0005-0000-0000-0000DC510000}"/>
    <cellStyle name="Normal 2 12 7 6 3" xfId="20954" xr:uid="{00000000-0005-0000-0000-0000DD510000}"/>
    <cellStyle name="Normal 2 12 7 6 4" xfId="20955" xr:uid="{00000000-0005-0000-0000-0000DE510000}"/>
    <cellStyle name="Normal 2 12 7 7" xfId="20956" xr:uid="{00000000-0005-0000-0000-0000DF510000}"/>
    <cellStyle name="Normal 2 12 7 7 2" xfId="20957" xr:uid="{00000000-0005-0000-0000-0000E0510000}"/>
    <cellStyle name="Normal 2 12 7 8" xfId="20958" xr:uid="{00000000-0005-0000-0000-0000E1510000}"/>
    <cellStyle name="Normal 2 12 7 9" xfId="20959" xr:uid="{00000000-0005-0000-0000-0000E2510000}"/>
    <cellStyle name="Normal 2 12 8" xfId="20960" xr:uid="{00000000-0005-0000-0000-0000E3510000}"/>
    <cellStyle name="Normal 2 12 8 10" xfId="20961" xr:uid="{00000000-0005-0000-0000-0000E4510000}"/>
    <cellStyle name="Normal 2 12 8 2" xfId="20962" xr:uid="{00000000-0005-0000-0000-0000E5510000}"/>
    <cellStyle name="Normal 2 12 8 2 2" xfId="20963" xr:uid="{00000000-0005-0000-0000-0000E6510000}"/>
    <cellStyle name="Normal 2 12 8 2 2 2" xfId="20964" xr:uid="{00000000-0005-0000-0000-0000E7510000}"/>
    <cellStyle name="Normal 2 12 8 2 2 3" xfId="20965" xr:uid="{00000000-0005-0000-0000-0000E8510000}"/>
    <cellStyle name="Normal 2 12 8 2 3" xfId="20966" xr:uid="{00000000-0005-0000-0000-0000E9510000}"/>
    <cellStyle name="Normal 2 12 8 2 4" xfId="20967" xr:uid="{00000000-0005-0000-0000-0000EA510000}"/>
    <cellStyle name="Normal 2 12 8 2 5" xfId="20968" xr:uid="{00000000-0005-0000-0000-0000EB510000}"/>
    <cellStyle name="Normal 2 12 8 2 6" xfId="20969" xr:uid="{00000000-0005-0000-0000-0000EC510000}"/>
    <cellStyle name="Normal 2 12 8 3" xfId="20970" xr:uid="{00000000-0005-0000-0000-0000ED510000}"/>
    <cellStyle name="Normal 2 12 8 3 2" xfId="20971" xr:uid="{00000000-0005-0000-0000-0000EE510000}"/>
    <cellStyle name="Normal 2 12 8 3 2 2" xfId="20972" xr:uid="{00000000-0005-0000-0000-0000EF510000}"/>
    <cellStyle name="Normal 2 12 8 3 2 3" xfId="20973" xr:uid="{00000000-0005-0000-0000-0000F0510000}"/>
    <cellStyle name="Normal 2 12 8 3 3" xfId="20974" xr:uid="{00000000-0005-0000-0000-0000F1510000}"/>
    <cellStyle name="Normal 2 12 8 3 4" xfId="20975" xr:uid="{00000000-0005-0000-0000-0000F2510000}"/>
    <cellStyle name="Normal 2 12 8 3 5" xfId="20976" xr:uid="{00000000-0005-0000-0000-0000F3510000}"/>
    <cellStyle name="Normal 2 12 8 3 6" xfId="20977" xr:uid="{00000000-0005-0000-0000-0000F4510000}"/>
    <cellStyle name="Normal 2 12 8 4" xfId="20978" xr:uid="{00000000-0005-0000-0000-0000F5510000}"/>
    <cellStyle name="Normal 2 12 8 4 2" xfId="20979" xr:uid="{00000000-0005-0000-0000-0000F6510000}"/>
    <cellStyle name="Normal 2 12 8 4 2 2" xfId="20980" xr:uid="{00000000-0005-0000-0000-0000F7510000}"/>
    <cellStyle name="Normal 2 12 8 4 3" xfId="20981" xr:uid="{00000000-0005-0000-0000-0000F8510000}"/>
    <cellStyle name="Normal 2 12 8 4 4" xfId="20982" xr:uid="{00000000-0005-0000-0000-0000F9510000}"/>
    <cellStyle name="Normal 2 12 8 4 5" xfId="20983" xr:uid="{00000000-0005-0000-0000-0000FA510000}"/>
    <cellStyle name="Normal 2 12 8 5" xfId="20984" xr:uid="{00000000-0005-0000-0000-0000FB510000}"/>
    <cellStyle name="Normal 2 12 8 5 2" xfId="20985" xr:uid="{00000000-0005-0000-0000-0000FC510000}"/>
    <cellStyle name="Normal 2 12 8 5 3" xfId="20986" xr:uid="{00000000-0005-0000-0000-0000FD510000}"/>
    <cellStyle name="Normal 2 12 8 5 4" xfId="20987" xr:uid="{00000000-0005-0000-0000-0000FE510000}"/>
    <cellStyle name="Normal 2 12 8 6" xfId="20988" xr:uid="{00000000-0005-0000-0000-0000FF510000}"/>
    <cellStyle name="Normal 2 12 8 6 2" xfId="20989" xr:uid="{00000000-0005-0000-0000-000000520000}"/>
    <cellStyle name="Normal 2 12 8 7" xfId="20990" xr:uid="{00000000-0005-0000-0000-000001520000}"/>
    <cellStyle name="Normal 2 12 8 8" xfId="20991" xr:uid="{00000000-0005-0000-0000-000002520000}"/>
    <cellStyle name="Normal 2 12 8 9" xfId="20992" xr:uid="{00000000-0005-0000-0000-000003520000}"/>
    <cellStyle name="Normal 2 12 9" xfId="20993" xr:uid="{00000000-0005-0000-0000-000004520000}"/>
    <cellStyle name="Normal 2 12 9 10" xfId="20994" xr:uid="{00000000-0005-0000-0000-000005520000}"/>
    <cellStyle name="Normal 2 12 9 2" xfId="20995" xr:uid="{00000000-0005-0000-0000-000006520000}"/>
    <cellStyle name="Normal 2 12 9 2 2" xfId="20996" xr:uid="{00000000-0005-0000-0000-000007520000}"/>
    <cellStyle name="Normal 2 12 9 2 2 2" xfId="20997" xr:uid="{00000000-0005-0000-0000-000008520000}"/>
    <cellStyle name="Normal 2 12 9 2 2 3" xfId="20998" xr:uid="{00000000-0005-0000-0000-000009520000}"/>
    <cellStyle name="Normal 2 12 9 2 3" xfId="20999" xr:uid="{00000000-0005-0000-0000-00000A520000}"/>
    <cellStyle name="Normal 2 12 9 2 4" xfId="21000" xr:uid="{00000000-0005-0000-0000-00000B520000}"/>
    <cellStyle name="Normal 2 12 9 2 5" xfId="21001" xr:uid="{00000000-0005-0000-0000-00000C520000}"/>
    <cellStyle name="Normal 2 12 9 2 6" xfId="21002" xr:uid="{00000000-0005-0000-0000-00000D520000}"/>
    <cellStyle name="Normal 2 12 9 3" xfId="21003" xr:uid="{00000000-0005-0000-0000-00000E520000}"/>
    <cellStyle name="Normal 2 12 9 3 2" xfId="21004" xr:uid="{00000000-0005-0000-0000-00000F520000}"/>
    <cellStyle name="Normal 2 12 9 3 2 2" xfId="21005" xr:uid="{00000000-0005-0000-0000-000010520000}"/>
    <cellStyle name="Normal 2 12 9 3 2 3" xfId="21006" xr:uid="{00000000-0005-0000-0000-000011520000}"/>
    <cellStyle name="Normal 2 12 9 3 3" xfId="21007" xr:uid="{00000000-0005-0000-0000-000012520000}"/>
    <cellStyle name="Normal 2 12 9 3 4" xfId="21008" xr:uid="{00000000-0005-0000-0000-000013520000}"/>
    <cellStyle name="Normal 2 12 9 3 5" xfId="21009" xr:uid="{00000000-0005-0000-0000-000014520000}"/>
    <cellStyle name="Normal 2 12 9 3 6" xfId="21010" xr:uid="{00000000-0005-0000-0000-000015520000}"/>
    <cellStyle name="Normal 2 12 9 4" xfId="21011" xr:uid="{00000000-0005-0000-0000-000016520000}"/>
    <cellStyle name="Normal 2 12 9 4 2" xfId="21012" xr:uid="{00000000-0005-0000-0000-000017520000}"/>
    <cellStyle name="Normal 2 12 9 4 2 2" xfId="21013" xr:uid="{00000000-0005-0000-0000-000018520000}"/>
    <cellStyle name="Normal 2 12 9 4 3" xfId="21014" xr:uid="{00000000-0005-0000-0000-000019520000}"/>
    <cellStyle name="Normal 2 12 9 4 4" xfId="21015" xr:uid="{00000000-0005-0000-0000-00001A520000}"/>
    <cellStyle name="Normal 2 12 9 4 5" xfId="21016" xr:uid="{00000000-0005-0000-0000-00001B520000}"/>
    <cellStyle name="Normal 2 12 9 5" xfId="21017" xr:uid="{00000000-0005-0000-0000-00001C520000}"/>
    <cellStyle name="Normal 2 12 9 5 2" xfId="21018" xr:uid="{00000000-0005-0000-0000-00001D520000}"/>
    <cellStyle name="Normal 2 12 9 5 3" xfId="21019" xr:uid="{00000000-0005-0000-0000-00001E520000}"/>
    <cellStyle name="Normal 2 12 9 5 4" xfId="21020" xr:uid="{00000000-0005-0000-0000-00001F520000}"/>
    <cellStyle name="Normal 2 12 9 6" xfId="21021" xr:uid="{00000000-0005-0000-0000-000020520000}"/>
    <cellStyle name="Normal 2 12 9 6 2" xfId="21022" xr:uid="{00000000-0005-0000-0000-000021520000}"/>
    <cellStyle name="Normal 2 12 9 7" xfId="21023" xr:uid="{00000000-0005-0000-0000-000022520000}"/>
    <cellStyle name="Normal 2 12 9 8" xfId="21024" xr:uid="{00000000-0005-0000-0000-000023520000}"/>
    <cellStyle name="Normal 2 12 9 9" xfId="21025" xr:uid="{00000000-0005-0000-0000-000024520000}"/>
    <cellStyle name="Normal 2 13" xfId="21026" xr:uid="{00000000-0005-0000-0000-000025520000}"/>
    <cellStyle name="Normal 2 13 2" xfId="21027" xr:uid="{00000000-0005-0000-0000-000026520000}"/>
    <cellStyle name="Normal 2 13 2 2" xfId="21028" xr:uid="{00000000-0005-0000-0000-000027520000}"/>
    <cellStyle name="Normal 2 13 3" xfId="21029" xr:uid="{00000000-0005-0000-0000-000028520000}"/>
    <cellStyle name="Normal 2 13 3 2" xfId="21030" xr:uid="{00000000-0005-0000-0000-000029520000}"/>
    <cellStyle name="Normal 2 13 4" xfId="21031" xr:uid="{00000000-0005-0000-0000-00002A520000}"/>
    <cellStyle name="Normal 2 13 5" xfId="21032" xr:uid="{00000000-0005-0000-0000-00002B520000}"/>
    <cellStyle name="Normal 2 13 6" xfId="21033" xr:uid="{00000000-0005-0000-0000-00002C520000}"/>
    <cellStyle name="Normal 2 13 7" xfId="21034" xr:uid="{00000000-0005-0000-0000-00002D520000}"/>
    <cellStyle name="Normal 2 13 8" xfId="21035" xr:uid="{00000000-0005-0000-0000-00002E520000}"/>
    <cellStyle name="Normal 2 14" xfId="21036" xr:uid="{00000000-0005-0000-0000-00002F520000}"/>
    <cellStyle name="Normal 2 14 10" xfId="21037" xr:uid="{00000000-0005-0000-0000-000030520000}"/>
    <cellStyle name="Normal 2 14 10 10" xfId="21038" xr:uid="{00000000-0005-0000-0000-000031520000}"/>
    <cellStyle name="Normal 2 14 10 2" xfId="21039" xr:uid="{00000000-0005-0000-0000-000032520000}"/>
    <cellStyle name="Normal 2 14 10 2 2" xfId="21040" xr:uid="{00000000-0005-0000-0000-000033520000}"/>
    <cellStyle name="Normal 2 14 10 2 2 2" xfId="21041" xr:uid="{00000000-0005-0000-0000-000034520000}"/>
    <cellStyle name="Normal 2 14 10 2 2 3" xfId="21042" xr:uid="{00000000-0005-0000-0000-000035520000}"/>
    <cellStyle name="Normal 2 14 10 2 3" xfId="21043" xr:uid="{00000000-0005-0000-0000-000036520000}"/>
    <cellStyle name="Normal 2 14 10 2 4" xfId="21044" xr:uid="{00000000-0005-0000-0000-000037520000}"/>
    <cellStyle name="Normal 2 14 10 2 5" xfId="21045" xr:uid="{00000000-0005-0000-0000-000038520000}"/>
    <cellStyle name="Normal 2 14 10 2 6" xfId="21046" xr:uid="{00000000-0005-0000-0000-000039520000}"/>
    <cellStyle name="Normal 2 14 10 3" xfId="21047" xr:uid="{00000000-0005-0000-0000-00003A520000}"/>
    <cellStyle name="Normal 2 14 10 3 2" xfId="21048" xr:uid="{00000000-0005-0000-0000-00003B520000}"/>
    <cellStyle name="Normal 2 14 10 3 2 2" xfId="21049" xr:uid="{00000000-0005-0000-0000-00003C520000}"/>
    <cellStyle name="Normal 2 14 10 3 2 3" xfId="21050" xr:uid="{00000000-0005-0000-0000-00003D520000}"/>
    <cellStyle name="Normal 2 14 10 3 3" xfId="21051" xr:uid="{00000000-0005-0000-0000-00003E520000}"/>
    <cellStyle name="Normal 2 14 10 3 4" xfId="21052" xr:uid="{00000000-0005-0000-0000-00003F520000}"/>
    <cellStyle name="Normal 2 14 10 3 5" xfId="21053" xr:uid="{00000000-0005-0000-0000-000040520000}"/>
    <cellStyle name="Normal 2 14 10 3 6" xfId="21054" xr:uid="{00000000-0005-0000-0000-000041520000}"/>
    <cellStyle name="Normal 2 14 10 4" xfId="21055" xr:uid="{00000000-0005-0000-0000-000042520000}"/>
    <cellStyle name="Normal 2 14 10 4 2" xfId="21056" xr:uid="{00000000-0005-0000-0000-000043520000}"/>
    <cellStyle name="Normal 2 14 10 4 2 2" xfId="21057" xr:uid="{00000000-0005-0000-0000-000044520000}"/>
    <cellStyle name="Normal 2 14 10 4 3" xfId="21058" xr:uid="{00000000-0005-0000-0000-000045520000}"/>
    <cellStyle name="Normal 2 14 10 4 4" xfId="21059" xr:uid="{00000000-0005-0000-0000-000046520000}"/>
    <cellStyle name="Normal 2 14 10 4 5" xfId="21060" xr:uid="{00000000-0005-0000-0000-000047520000}"/>
    <cellStyle name="Normal 2 14 10 5" xfId="21061" xr:uid="{00000000-0005-0000-0000-000048520000}"/>
    <cellStyle name="Normal 2 14 10 5 2" xfId="21062" xr:uid="{00000000-0005-0000-0000-000049520000}"/>
    <cellStyle name="Normal 2 14 10 5 3" xfId="21063" xr:uid="{00000000-0005-0000-0000-00004A520000}"/>
    <cellStyle name="Normal 2 14 10 5 4" xfId="21064" xr:uid="{00000000-0005-0000-0000-00004B520000}"/>
    <cellStyle name="Normal 2 14 10 6" xfId="21065" xr:uid="{00000000-0005-0000-0000-00004C520000}"/>
    <cellStyle name="Normal 2 14 10 6 2" xfId="21066" xr:uid="{00000000-0005-0000-0000-00004D520000}"/>
    <cellStyle name="Normal 2 14 10 7" xfId="21067" xr:uid="{00000000-0005-0000-0000-00004E520000}"/>
    <cellStyle name="Normal 2 14 10 8" xfId="21068" xr:uid="{00000000-0005-0000-0000-00004F520000}"/>
    <cellStyle name="Normal 2 14 10 9" xfId="21069" xr:uid="{00000000-0005-0000-0000-000050520000}"/>
    <cellStyle name="Normal 2 14 11" xfId="21070" xr:uid="{00000000-0005-0000-0000-000051520000}"/>
    <cellStyle name="Normal 2 14 11 10" xfId="21071" xr:uid="{00000000-0005-0000-0000-000052520000}"/>
    <cellStyle name="Normal 2 14 11 2" xfId="21072" xr:uid="{00000000-0005-0000-0000-000053520000}"/>
    <cellStyle name="Normal 2 14 11 2 2" xfId="21073" xr:uid="{00000000-0005-0000-0000-000054520000}"/>
    <cellStyle name="Normal 2 14 11 2 2 2" xfId="21074" xr:uid="{00000000-0005-0000-0000-000055520000}"/>
    <cellStyle name="Normal 2 14 11 2 2 3" xfId="21075" xr:uid="{00000000-0005-0000-0000-000056520000}"/>
    <cellStyle name="Normal 2 14 11 2 3" xfId="21076" xr:uid="{00000000-0005-0000-0000-000057520000}"/>
    <cellStyle name="Normal 2 14 11 2 4" xfId="21077" xr:uid="{00000000-0005-0000-0000-000058520000}"/>
    <cellStyle name="Normal 2 14 11 2 5" xfId="21078" xr:uid="{00000000-0005-0000-0000-000059520000}"/>
    <cellStyle name="Normal 2 14 11 2 6" xfId="21079" xr:uid="{00000000-0005-0000-0000-00005A520000}"/>
    <cellStyle name="Normal 2 14 11 3" xfId="21080" xr:uid="{00000000-0005-0000-0000-00005B520000}"/>
    <cellStyle name="Normal 2 14 11 3 2" xfId="21081" xr:uid="{00000000-0005-0000-0000-00005C520000}"/>
    <cellStyle name="Normal 2 14 11 3 2 2" xfId="21082" xr:uid="{00000000-0005-0000-0000-00005D520000}"/>
    <cellStyle name="Normal 2 14 11 3 2 3" xfId="21083" xr:uid="{00000000-0005-0000-0000-00005E520000}"/>
    <cellStyle name="Normal 2 14 11 3 3" xfId="21084" xr:uid="{00000000-0005-0000-0000-00005F520000}"/>
    <cellStyle name="Normal 2 14 11 3 4" xfId="21085" xr:uid="{00000000-0005-0000-0000-000060520000}"/>
    <cellStyle name="Normal 2 14 11 3 5" xfId="21086" xr:uid="{00000000-0005-0000-0000-000061520000}"/>
    <cellStyle name="Normal 2 14 11 3 6" xfId="21087" xr:uid="{00000000-0005-0000-0000-000062520000}"/>
    <cellStyle name="Normal 2 14 11 4" xfId="21088" xr:uid="{00000000-0005-0000-0000-000063520000}"/>
    <cellStyle name="Normal 2 14 11 4 2" xfId="21089" xr:uid="{00000000-0005-0000-0000-000064520000}"/>
    <cellStyle name="Normal 2 14 11 4 2 2" xfId="21090" xr:uid="{00000000-0005-0000-0000-000065520000}"/>
    <cellStyle name="Normal 2 14 11 4 3" xfId="21091" xr:uid="{00000000-0005-0000-0000-000066520000}"/>
    <cellStyle name="Normal 2 14 11 4 4" xfId="21092" xr:uid="{00000000-0005-0000-0000-000067520000}"/>
    <cellStyle name="Normal 2 14 11 4 5" xfId="21093" xr:uid="{00000000-0005-0000-0000-000068520000}"/>
    <cellStyle name="Normal 2 14 11 5" xfId="21094" xr:uid="{00000000-0005-0000-0000-000069520000}"/>
    <cellStyle name="Normal 2 14 11 5 2" xfId="21095" xr:uid="{00000000-0005-0000-0000-00006A520000}"/>
    <cellStyle name="Normal 2 14 11 5 3" xfId="21096" xr:uid="{00000000-0005-0000-0000-00006B520000}"/>
    <cellStyle name="Normal 2 14 11 5 4" xfId="21097" xr:uid="{00000000-0005-0000-0000-00006C520000}"/>
    <cellStyle name="Normal 2 14 11 6" xfId="21098" xr:uid="{00000000-0005-0000-0000-00006D520000}"/>
    <cellStyle name="Normal 2 14 11 6 2" xfId="21099" xr:uid="{00000000-0005-0000-0000-00006E520000}"/>
    <cellStyle name="Normal 2 14 11 7" xfId="21100" xr:uid="{00000000-0005-0000-0000-00006F520000}"/>
    <cellStyle name="Normal 2 14 11 8" xfId="21101" xr:uid="{00000000-0005-0000-0000-000070520000}"/>
    <cellStyle name="Normal 2 14 11 9" xfId="21102" xr:uid="{00000000-0005-0000-0000-000071520000}"/>
    <cellStyle name="Normal 2 14 12" xfId="21103" xr:uid="{00000000-0005-0000-0000-000072520000}"/>
    <cellStyle name="Normal 2 14 12 10" xfId="21104" xr:uid="{00000000-0005-0000-0000-000073520000}"/>
    <cellStyle name="Normal 2 14 12 2" xfId="21105" xr:uid="{00000000-0005-0000-0000-000074520000}"/>
    <cellStyle name="Normal 2 14 12 2 2" xfId="21106" xr:uid="{00000000-0005-0000-0000-000075520000}"/>
    <cellStyle name="Normal 2 14 12 2 2 2" xfId="21107" xr:uid="{00000000-0005-0000-0000-000076520000}"/>
    <cellStyle name="Normal 2 14 12 2 2 3" xfId="21108" xr:uid="{00000000-0005-0000-0000-000077520000}"/>
    <cellStyle name="Normal 2 14 12 2 3" xfId="21109" xr:uid="{00000000-0005-0000-0000-000078520000}"/>
    <cellStyle name="Normal 2 14 12 2 4" xfId="21110" xr:uid="{00000000-0005-0000-0000-000079520000}"/>
    <cellStyle name="Normal 2 14 12 2 5" xfId="21111" xr:uid="{00000000-0005-0000-0000-00007A520000}"/>
    <cellStyle name="Normal 2 14 12 2 6" xfId="21112" xr:uid="{00000000-0005-0000-0000-00007B520000}"/>
    <cellStyle name="Normal 2 14 12 3" xfId="21113" xr:uid="{00000000-0005-0000-0000-00007C520000}"/>
    <cellStyle name="Normal 2 14 12 3 2" xfId="21114" xr:uid="{00000000-0005-0000-0000-00007D520000}"/>
    <cellStyle name="Normal 2 14 12 3 2 2" xfId="21115" xr:uid="{00000000-0005-0000-0000-00007E520000}"/>
    <cellStyle name="Normal 2 14 12 3 2 3" xfId="21116" xr:uid="{00000000-0005-0000-0000-00007F520000}"/>
    <cellStyle name="Normal 2 14 12 3 3" xfId="21117" xr:uid="{00000000-0005-0000-0000-000080520000}"/>
    <cellStyle name="Normal 2 14 12 3 4" xfId="21118" xr:uid="{00000000-0005-0000-0000-000081520000}"/>
    <cellStyle name="Normal 2 14 12 3 5" xfId="21119" xr:uid="{00000000-0005-0000-0000-000082520000}"/>
    <cellStyle name="Normal 2 14 12 3 6" xfId="21120" xr:uid="{00000000-0005-0000-0000-000083520000}"/>
    <cellStyle name="Normal 2 14 12 4" xfId="21121" xr:uid="{00000000-0005-0000-0000-000084520000}"/>
    <cellStyle name="Normal 2 14 12 4 2" xfId="21122" xr:uid="{00000000-0005-0000-0000-000085520000}"/>
    <cellStyle name="Normal 2 14 12 4 2 2" xfId="21123" xr:uid="{00000000-0005-0000-0000-000086520000}"/>
    <cellStyle name="Normal 2 14 12 4 3" xfId="21124" xr:uid="{00000000-0005-0000-0000-000087520000}"/>
    <cellStyle name="Normal 2 14 12 4 4" xfId="21125" xr:uid="{00000000-0005-0000-0000-000088520000}"/>
    <cellStyle name="Normal 2 14 12 4 5" xfId="21126" xr:uid="{00000000-0005-0000-0000-000089520000}"/>
    <cellStyle name="Normal 2 14 12 5" xfId="21127" xr:uid="{00000000-0005-0000-0000-00008A520000}"/>
    <cellStyle name="Normal 2 14 12 5 2" xfId="21128" xr:uid="{00000000-0005-0000-0000-00008B520000}"/>
    <cellStyle name="Normal 2 14 12 5 3" xfId="21129" xr:uid="{00000000-0005-0000-0000-00008C520000}"/>
    <cellStyle name="Normal 2 14 12 5 4" xfId="21130" xr:uid="{00000000-0005-0000-0000-00008D520000}"/>
    <cellStyle name="Normal 2 14 12 6" xfId="21131" xr:uid="{00000000-0005-0000-0000-00008E520000}"/>
    <cellStyle name="Normal 2 14 12 6 2" xfId="21132" xr:uid="{00000000-0005-0000-0000-00008F520000}"/>
    <cellStyle name="Normal 2 14 12 7" xfId="21133" xr:uid="{00000000-0005-0000-0000-000090520000}"/>
    <cellStyle name="Normal 2 14 12 8" xfId="21134" xr:uid="{00000000-0005-0000-0000-000091520000}"/>
    <cellStyle name="Normal 2 14 12 9" xfId="21135" xr:uid="{00000000-0005-0000-0000-000092520000}"/>
    <cellStyle name="Normal 2 14 13" xfId="21136" xr:uid="{00000000-0005-0000-0000-000093520000}"/>
    <cellStyle name="Normal 2 14 13 2" xfId="21137" xr:uid="{00000000-0005-0000-0000-000094520000}"/>
    <cellStyle name="Normal 2 14 13 2 2" xfId="21138" xr:uid="{00000000-0005-0000-0000-000095520000}"/>
    <cellStyle name="Normal 2 14 13 2 2 2" xfId="21139" xr:uid="{00000000-0005-0000-0000-000096520000}"/>
    <cellStyle name="Normal 2 14 13 2 2 3" xfId="21140" xr:uid="{00000000-0005-0000-0000-000097520000}"/>
    <cellStyle name="Normal 2 14 13 2 3" xfId="21141" xr:uid="{00000000-0005-0000-0000-000098520000}"/>
    <cellStyle name="Normal 2 14 13 2 4" xfId="21142" xr:uid="{00000000-0005-0000-0000-000099520000}"/>
    <cellStyle name="Normal 2 14 13 2 5" xfId="21143" xr:uid="{00000000-0005-0000-0000-00009A520000}"/>
    <cellStyle name="Normal 2 14 13 2 6" xfId="21144" xr:uid="{00000000-0005-0000-0000-00009B520000}"/>
    <cellStyle name="Normal 2 14 13 3" xfId="21145" xr:uid="{00000000-0005-0000-0000-00009C520000}"/>
    <cellStyle name="Normal 2 14 13 3 2" xfId="21146" xr:uid="{00000000-0005-0000-0000-00009D520000}"/>
    <cellStyle name="Normal 2 14 13 3 2 2" xfId="21147" xr:uid="{00000000-0005-0000-0000-00009E520000}"/>
    <cellStyle name="Normal 2 14 13 3 3" xfId="21148" xr:uid="{00000000-0005-0000-0000-00009F520000}"/>
    <cellStyle name="Normal 2 14 13 3 4" xfId="21149" xr:uid="{00000000-0005-0000-0000-0000A0520000}"/>
    <cellStyle name="Normal 2 14 13 3 5" xfId="21150" xr:uid="{00000000-0005-0000-0000-0000A1520000}"/>
    <cellStyle name="Normal 2 14 13 4" xfId="21151" xr:uid="{00000000-0005-0000-0000-0000A2520000}"/>
    <cellStyle name="Normal 2 14 13 4 2" xfId="21152" xr:uid="{00000000-0005-0000-0000-0000A3520000}"/>
    <cellStyle name="Normal 2 14 13 4 3" xfId="21153" xr:uid="{00000000-0005-0000-0000-0000A4520000}"/>
    <cellStyle name="Normal 2 14 13 4 4" xfId="21154" xr:uid="{00000000-0005-0000-0000-0000A5520000}"/>
    <cellStyle name="Normal 2 14 13 5" xfId="21155" xr:uid="{00000000-0005-0000-0000-0000A6520000}"/>
    <cellStyle name="Normal 2 14 13 5 2" xfId="21156" xr:uid="{00000000-0005-0000-0000-0000A7520000}"/>
    <cellStyle name="Normal 2 14 13 6" xfId="21157" xr:uid="{00000000-0005-0000-0000-0000A8520000}"/>
    <cellStyle name="Normal 2 14 13 7" xfId="21158" xr:uid="{00000000-0005-0000-0000-0000A9520000}"/>
    <cellStyle name="Normal 2 14 13 8" xfId="21159" xr:uid="{00000000-0005-0000-0000-0000AA520000}"/>
    <cellStyle name="Normal 2 14 13 9" xfId="21160" xr:uid="{00000000-0005-0000-0000-0000AB520000}"/>
    <cellStyle name="Normal 2 14 14" xfId="21161" xr:uid="{00000000-0005-0000-0000-0000AC520000}"/>
    <cellStyle name="Normal 2 14 14 2" xfId="21162" xr:uid="{00000000-0005-0000-0000-0000AD520000}"/>
    <cellStyle name="Normal 2 14 14 2 2" xfId="21163" xr:uid="{00000000-0005-0000-0000-0000AE520000}"/>
    <cellStyle name="Normal 2 14 14 2 2 2" xfId="21164" xr:uid="{00000000-0005-0000-0000-0000AF520000}"/>
    <cellStyle name="Normal 2 14 14 2 2 3" xfId="21165" xr:uid="{00000000-0005-0000-0000-0000B0520000}"/>
    <cellStyle name="Normal 2 14 14 2 3" xfId="21166" xr:uid="{00000000-0005-0000-0000-0000B1520000}"/>
    <cellStyle name="Normal 2 14 14 2 4" xfId="21167" xr:uid="{00000000-0005-0000-0000-0000B2520000}"/>
    <cellStyle name="Normal 2 14 14 2 5" xfId="21168" xr:uid="{00000000-0005-0000-0000-0000B3520000}"/>
    <cellStyle name="Normal 2 14 14 2 6" xfId="21169" xr:uid="{00000000-0005-0000-0000-0000B4520000}"/>
    <cellStyle name="Normal 2 14 14 3" xfId="21170" xr:uid="{00000000-0005-0000-0000-0000B5520000}"/>
    <cellStyle name="Normal 2 14 14 3 2" xfId="21171" xr:uid="{00000000-0005-0000-0000-0000B6520000}"/>
    <cellStyle name="Normal 2 14 14 3 2 2" xfId="21172" xr:uid="{00000000-0005-0000-0000-0000B7520000}"/>
    <cellStyle name="Normal 2 14 14 3 3" xfId="21173" xr:uid="{00000000-0005-0000-0000-0000B8520000}"/>
    <cellStyle name="Normal 2 14 14 3 4" xfId="21174" xr:uid="{00000000-0005-0000-0000-0000B9520000}"/>
    <cellStyle name="Normal 2 14 14 3 5" xfId="21175" xr:uid="{00000000-0005-0000-0000-0000BA520000}"/>
    <cellStyle name="Normal 2 14 14 4" xfId="21176" xr:uid="{00000000-0005-0000-0000-0000BB520000}"/>
    <cellStyle name="Normal 2 14 14 4 2" xfId="21177" xr:uid="{00000000-0005-0000-0000-0000BC520000}"/>
    <cellStyle name="Normal 2 14 14 4 3" xfId="21178" xr:uid="{00000000-0005-0000-0000-0000BD520000}"/>
    <cellStyle name="Normal 2 14 14 4 4" xfId="21179" xr:uid="{00000000-0005-0000-0000-0000BE520000}"/>
    <cellStyle name="Normal 2 14 14 5" xfId="21180" xr:uid="{00000000-0005-0000-0000-0000BF520000}"/>
    <cellStyle name="Normal 2 14 14 5 2" xfId="21181" xr:uid="{00000000-0005-0000-0000-0000C0520000}"/>
    <cellStyle name="Normal 2 14 14 6" xfId="21182" xr:uid="{00000000-0005-0000-0000-0000C1520000}"/>
    <cellStyle name="Normal 2 14 14 7" xfId="21183" xr:uid="{00000000-0005-0000-0000-0000C2520000}"/>
    <cellStyle name="Normal 2 14 14 8" xfId="21184" xr:uid="{00000000-0005-0000-0000-0000C3520000}"/>
    <cellStyle name="Normal 2 14 14 9" xfId="21185" xr:uid="{00000000-0005-0000-0000-0000C4520000}"/>
    <cellStyle name="Normal 2 14 15" xfId="21186" xr:uid="{00000000-0005-0000-0000-0000C5520000}"/>
    <cellStyle name="Normal 2 14 15 2" xfId="21187" xr:uid="{00000000-0005-0000-0000-0000C6520000}"/>
    <cellStyle name="Normal 2 14 15 2 2" xfId="21188" xr:uid="{00000000-0005-0000-0000-0000C7520000}"/>
    <cellStyle name="Normal 2 14 15 2 3" xfId="21189" xr:uid="{00000000-0005-0000-0000-0000C8520000}"/>
    <cellStyle name="Normal 2 14 15 3" xfId="21190" xr:uid="{00000000-0005-0000-0000-0000C9520000}"/>
    <cellStyle name="Normal 2 14 15 4" xfId="21191" xr:uid="{00000000-0005-0000-0000-0000CA520000}"/>
    <cellStyle name="Normal 2 14 15 5" xfId="21192" xr:uid="{00000000-0005-0000-0000-0000CB520000}"/>
    <cellStyle name="Normal 2 14 15 6" xfId="21193" xr:uid="{00000000-0005-0000-0000-0000CC520000}"/>
    <cellStyle name="Normal 2 14 16" xfId="21194" xr:uid="{00000000-0005-0000-0000-0000CD520000}"/>
    <cellStyle name="Normal 2 14 16 2" xfId="21195" xr:uid="{00000000-0005-0000-0000-0000CE520000}"/>
    <cellStyle name="Normal 2 14 16 2 2" xfId="21196" xr:uid="{00000000-0005-0000-0000-0000CF520000}"/>
    <cellStyle name="Normal 2 14 16 3" xfId="21197" xr:uid="{00000000-0005-0000-0000-0000D0520000}"/>
    <cellStyle name="Normal 2 14 16 4" xfId="21198" xr:uid="{00000000-0005-0000-0000-0000D1520000}"/>
    <cellStyle name="Normal 2 14 16 5" xfId="21199" xr:uid="{00000000-0005-0000-0000-0000D2520000}"/>
    <cellStyle name="Normal 2 14 16 6" xfId="21200" xr:uid="{00000000-0005-0000-0000-0000D3520000}"/>
    <cellStyle name="Normal 2 14 17" xfId="21201" xr:uid="{00000000-0005-0000-0000-0000D4520000}"/>
    <cellStyle name="Normal 2 14 17 2" xfId="21202" xr:uid="{00000000-0005-0000-0000-0000D5520000}"/>
    <cellStyle name="Normal 2 14 17 2 2" xfId="21203" xr:uid="{00000000-0005-0000-0000-0000D6520000}"/>
    <cellStyle name="Normal 2 14 17 3" xfId="21204" xr:uid="{00000000-0005-0000-0000-0000D7520000}"/>
    <cellStyle name="Normal 2 14 17 4" xfId="21205" xr:uid="{00000000-0005-0000-0000-0000D8520000}"/>
    <cellStyle name="Normal 2 14 17 5" xfId="21206" xr:uid="{00000000-0005-0000-0000-0000D9520000}"/>
    <cellStyle name="Normal 2 14 17 6" xfId="21207" xr:uid="{00000000-0005-0000-0000-0000DA520000}"/>
    <cellStyle name="Normal 2 14 18" xfId="21208" xr:uid="{00000000-0005-0000-0000-0000DB520000}"/>
    <cellStyle name="Normal 2 14 18 2" xfId="21209" xr:uid="{00000000-0005-0000-0000-0000DC520000}"/>
    <cellStyle name="Normal 2 14 18 3" xfId="21210" xr:uid="{00000000-0005-0000-0000-0000DD520000}"/>
    <cellStyle name="Normal 2 14 19" xfId="21211" xr:uid="{00000000-0005-0000-0000-0000DE520000}"/>
    <cellStyle name="Normal 2 14 19 2" xfId="21212" xr:uid="{00000000-0005-0000-0000-0000DF520000}"/>
    <cellStyle name="Normal 2 14 19 3" xfId="21213" xr:uid="{00000000-0005-0000-0000-0000E0520000}"/>
    <cellStyle name="Normal 2 14 2" xfId="21214" xr:uid="{00000000-0005-0000-0000-0000E1520000}"/>
    <cellStyle name="Normal 2 14 2 10" xfId="21215" xr:uid="{00000000-0005-0000-0000-0000E2520000}"/>
    <cellStyle name="Normal 2 14 2 11" xfId="21216" xr:uid="{00000000-0005-0000-0000-0000E3520000}"/>
    <cellStyle name="Normal 2 14 2 2" xfId="21217" xr:uid="{00000000-0005-0000-0000-0000E4520000}"/>
    <cellStyle name="Normal 2 14 2 2 2" xfId="21218" xr:uid="{00000000-0005-0000-0000-0000E5520000}"/>
    <cellStyle name="Normal 2 14 2 2 2 2" xfId="21219" xr:uid="{00000000-0005-0000-0000-0000E6520000}"/>
    <cellStyle name="Normal 2 14 2 2 2 2 2" xfId="21220" xr:uid="{00000000-0005-0000-0000-0000E7520000}"/>
    <cellStyle name="Normal 2 14 2 2 2 2 3" xfId="21221" xr:uid="{00000000-0005-0000-0000-0000E8520000}"/>
    <cellStyle name="Normal 2 14 2 2 2 3" xfId="21222" xr:uid="{00000000-0005-0000-0000-0000E9520000}"/>
    <cellStyle name="Normal 2 14 2 2 2 4" xfId="21223" xr:uid="{00000000-0005-0000-0000-0000EA520000}"/>
    <cellStyle name="Normal 2 14 2 2 2 5" xfId="21224" xr:uid="{00000000-0005-0000-0000-0000EB520000}"/>
    <cellStyle name="Normal 2 14 2 2 2 6" xfId="21225" xr:uid="{00000000-0005-0000-0000-0000EC520000}"/>
    <cellStyle name="Normal 2 14 2 2 3" xfId="21226" xr:uid="{00000000-0005-0000-0000-0000ED520000}"/>
    <cellStyle name="Normal 2 14 2 2 3 2" xfId="21227" xr:uid="{00000000-0005-0000-0000-0000EE520000}"/>
    <cellStyle name="Normal 2 14 2 2 3 2 2" xfId="21228" xr:uid="{00000000-0005-0000-0000-0000EF520000}"/>
    <cellStyle name="Normal 2 14 2 2 3 3" xfId="21229" xr:uid="{00000000-0005-0000-0000-0000F0520000}"/>
    <cellStyle name="Normal 2 14 2 2 3 4" xfId="21230" xr:uid="{00000000-0005-0000-0000-0000F1520000}"/>
    <cellStyle name="Normal 2 14 2 2 3 5" xfId="21231" xr:uid="{00000000-0005-0000-0000-0000F2520000}"/>
    <cellStyle name="Normal 2 14 2 2 4" xfId="21232" xr:uid="{00000000-0005-0000-0000-0000F3520000}"/>
    <cellStyle name="Normal 2 14 2 2 4 2" xfId="21233" xr:uid="{00000000-0005-0000-0000-0000F4520000}"/>
    <cellStyle name="Normal 2 14 2 2 4 3" xfId="21234" xr:uid="{00000000-0005-0000-0000-0000F5520000}"/>
    <cellStyle name="Normal 2 14 2 2 4 4" xfId="21235" xr:uid="{00000000-0005-0000-0000-0000F6520000}"/>
    <cellStyle name="Normal 2 14 2 2 5" xfId="21236" xr:uid="{00000000-0005-0000-0000-0000F7520000}"/>
    <cellStyle name="Normal 2 14 2 2 5 2" xfId="21237" xr:uid="{00000000-0005-0000-0000-0000F8520000}"/>
    <cellStyle name="Normal 2 14 2 2 6" xfId="21238" xr:uid="{00000000-0005-0000-0000-0000F9520000}"/>
    <cellStyle name="Normal 2 14 2 2 7" xfId="21239" xr:uid="{00000000-0005-0000-0000-0000FA520000}"/>
    <cellStyle name="Normal 2 14 2 2 8" xfId="21240" xr:uid="{00000000-0005-0000-0000-0000FB520000}"/>
    <cellStyle name="Normal 2 14 2 2 9" xfId="21241" xr:uid="{00000000-0005-0000-0000-0000FC520000}"/>
    <cellStyle name="Normal 2 14 2 3" xfId="21242" xr:uid="{00000000-0005-0000-0000-0000FD520000}"/>
    <cellStyle name="Normal 2 14 2 3 2" xfId="21243" xr:uid="{00000000-0005-0000-0000-0000FE520000}"/>
    <cellStyle name="Normal 2 14 2 3 2 2" xfId="21244" xr:uid="{00000000-0005-0000-0000-0000FF520000}"/>
    <cellStyle name="Normal 2 14 2 3 2 2 2" xfId="21245" xr:uid="{00000000-0005-0000-0000-000000530000}"/>
    <cellStyle name="Normal 2 14 2 3 2 2 3" xfId="21246" xr:uid="{00000000-0005-0000-0000-000001530000}"/>
    <cellStyle name="Normal 2 14 2 3 2 3" xfId="21247" xr:uid="{00000000-0005-0000-0000-000002530000}"/>
    <cellStyle name="Normal 2 14 2 3 2 4" xfId="21248" xr:uid="{00000000-0005-0000-0000-000003530000}"/>
    <cellStyle name="Normal 2 14 2 3 2 5" xfId="21249" xr:uid="{00000000-0005-0000-0000-000004530000}"/>
    <cellStyle name="Normal 2 14 2 3 2 6" xfId="21250" xr:uid="{00000000-0005-0000-0000-000005530000}"/>
    <cellStyle name="Normal 2 14 2 3 3" xfId="21251" xr:uid="{00000000-0005-0000-0000-000006530000}"/>
    <cellStyle name="Normal 2 14 2 3 3 2" xfId="21252" xr:uid="{00000000-0005-0000-0000-000007530000}"/>
    <cellStyle name="Normal 2 14 2 3 3 2 2" xfId="21253" xr:uid="{00000000-0005-0000-0000-000008530000}"/>
    <cellStyle name="Normal 2 14 2 3 3 3" xfId="21254" xr:uid="{00000000-0005-0000-0000-000009530000}"/>
    <cellStyle name="Normal 2 14 2 3 3 4" xfId="21255" xr:uid="{00000000-0005-0000-0000-00000A530000}"/>
    <cellStyle name="Normal 2 14 2 3 3 5" xfId="21256" xr:uid="{00000000-0005-0000-0000-00000B530000}"/>
    <cellStyle name="Normal 2 14 2 3 4" xfId="21257" xr:uid="{00000000-0005-0000-0000-00000C530000}"/>
    <cellStyle name="Normal 2 14 2 3 4 2" xfId="21258" xr:uid="{00000000-0005-0000-0000-00000D530000}"/>
    <cellStyle name="Normal 2 14 2 3 4 3" xfId="21259" xr:uid="{00000000-0005-0000-0000-00000E530000}"/>
    <cellStyle name="Normal 2 14 2 3 4 4" xfId="21260" xr:uid="{00000000-0005-0000-0000-00000F530000}"/>
    <cellStyle name="Normal 2 14 2 3 5" xfId="21261" xr:uid="{00000000-0005-0000-0000-000010530000}"/>
    <cellStyle name="Normal 2 14 2 3 5 2" xfId="21262" xr:uid="{00000000-0005-0000-0000-000011530000}"/>
    <cellStyle name="Normal 2 14 2 3 6" xfId="21263" xr:uid="{00000000-0005-0000-0000-000012530000}"/>
    <cellStyle name="Normal 2 14 2 3 7" xfId="21264" xr:uid="{00000000-0005-0000-0000-000013530000}"/>
    <cellStyle name="Normal 2 14 2 3 8" xfId="21265" xr:uid="{00000000-0005-0000-0000-000014530000}"/>
    <cellStyle name="Normal 2 14 2 3 9" xfId="21266" xr:uid="{00000000-0005-0000-0000-000015530000}"/>
    <cellStyle name="Normal 2 14 2 4" xfId="21267" xr:uid="{00000000-0005-0000-0000-000016530000}"/>
    <cellStyle name="Normal 2 14 2 4 2" xfId="21268" xr:uid="{00000000-0005-0000-0000-000017530000}"/>
    <cellStyle name="Normal 2 14 2 4 2 2" xfId="21269" xr:uid="{00000000-0005-0000-0000-000018530000}"/>
    <cellStyle name="Normal 2 14 2 4 2 3" xfId="21270" xr:uid="{00000000-0005-0000-0000-000019530000}"/>
    <cellStyle name="Normal 2 14 2 4 3" xfId="21271" xr:uid="{00000000-0005-0000-0000-00001A530000}"/>
    <cellStyle name="Normal 2 14 2 4 4" xfId="21272" xr:uid="{00000000-0005-0000-0000-00001B530000}"/>
    <cellStyle name="Normal 2 14 2 4 5" xfId="21273" xr:uid="{00000000-0005-0000-0000-00001C530000}"/>
    <cellStyle name="Normal 2 14 2 4 6" xfId="21274" xr:uid="{00000000-0005-0000-0000-00001D530000}"/>
    <cellStyle name="Normal 2 14 2 5" xfId="21275" xr:uid="{00000000-0005-0000-0000-00001E530000}"/>
    <cellStyle name="Normal 2 14 2 5 2" xfId="21276" xr:uid="{00000000-0005-0000-0000-00001F530000}"/>
    <cellStyle name="Normal 2 14 2 5 2 2" xfId="21277" xr:uid="{00000000-0005-0000-0000-000020530000}"/>
    <cellStyle name="Normal 2 14 2 5 3" xfId="21278" xr:uid="{00000000-0005-0000-0000-000021530000}"/>
    <cellStyle name="Normal 2 14 2 5 4" xfId="21279" xr:uid="{00000000-0005-0000-0000-000022530000}"/>
    <cellStyle name="Normal 2 14 2 5 5" xfId="21280" xr:uid="{00000000-0005-0000-0000-000023530000}"/>
    <cellStyle name="Normal 2 14 2 6" xfId="21281" xr:uid="{00000000-0005-0000-0000-000024530000}"/>
    <cellStyle name="Normal 2 14 2 6 2" xfId="21282" xr:uid="{00000000-0005-0000-0000-000025530000}"/>
    <cellStyle name="Normal 2 14 2 6 3" xfId="21283" xr:uid="{00000000-0005-0000-0000-000026530000}"/>
    <cellStyle name="Normal 2 14 2 6 4" xfId="21284" xr:uid="{00000000-0005-0000-0000-000027530000}"/>
    <cellStyle name="Normal 2 14 2 7" xfId="21285" xr:uid="{00000000-0005-0000-0000-000028530000}"/>
    <cellStyle name="Normal 2 14 2 7 2" xfId="21286" xr:uid="{00000000-0005-0000-0000-000029530000}"/>
    <cellStyle name="Normal 2 14 2 8" xfId="21287" xr:uid="{00000000-0005-0000-0000-00002A530000}"/>
    <cellStyle name="Normal 2 14 2 9" xfId="21288" xr:uid="{00000000-0005-0000-0000-00002B530000}"/>
    <cellStyle name="Normal 2 14 20" xfId="21289" xr:uid="{00000000-0005-0000-0000-00002C530000}"/>
    <cellStyle name="Normal 2 14 21" xfId="21290" xr:uid="{00000000-0005-0000-0000-00002D530000}"/>
    <cellStyle name="Normal 2 14 22" xfId="21291" xr:uid="{00000000-0005-0000-0000-00002E530000}"/>
    <cellStyle name="Normal 2 14 23" xfId="21292" xr:uid="{00000000-0005-0000-0000-00002F530000}"/>
    <cellStyle name="Normal 2 14 24" xfId="21293" xr:uid="{00000000-0005-0000-0000-000030530000}"/>
    <cellStyle name="Normal 2 14 25" xfId="21294" xr:uid="{00000000-0005-0000-0000-000031530000}"/>
    <cellStyle name="Normal 2 14 26" xfId="21295" xr:uid="{00000000-0005-0000-0000-000032530000}"/>
    <cellStyle name="Normal 2 14 27" xfId="21296" xr:uid="{00000000-0005-0000-0000-000033530000}"/>
    <cellStyle name="Normal 2 14 28" xfId="21297" xr:uid="{00000000-0005-0000-0000-000034530000}"/>
    <cellStyle name="Normal 2 14 29" xfId="21298" xr:uid="{00000000-0005-0000-0000-000035530000}"/>
    <cellStyle name="Normal 2 14 3" xfId="21299" xr:uid="{00000000-0005-0000-0000-000036530000}"/>
    <cellStyle name="Normal 2 14 3 10" xfId="21300" xr:uid="{00000000-0005-0000-0000-000037530000}"/>
    <cellStyle name="Normal 2 14 3 11" xfId="21301" xr:uid="{00000000-0005-0000-0000-000038530000}"/>
    <cellStyle name="Normal 2 14 3 2" xfId="21302" xr:uid="{00000000-0005-0000-0000-000039530000}"/>
    <cellStyle name="Normal 2 14 3 2 2" xfId="21303" xr:uid="{00000000-0005-0000-0000-00003A530000}"/>
    <cellStyle name="Normal 2 14 3 2 2 2" xfId="21304" xr:uid="{00000000-0005-0000-0000-00003B530000}"/>
    <cellStyle name="Normal 2 14 3 2 2 2 2" xfId="21305" xr:uid="{00000000-0005-0000-0000-00003C530000}"/>
    <cellStyle name="Normal 2 14 3 2 2 2 3" xfId="21306" xr:uid="{00000000-0005-0000-0000-00003D530000}"/>
    <cellStyle name="Normal 2 14 3 2 2 3" xfId="21307" xr:uid="{00000000-0005-0000-0000-00003E530000}"/>
    <cellStyle name="Normal 2 14 3 2 2 4" xfId="21308" xr:uid="{00000000-0005-0000-0000-00003F530000}"/>
    <cellStyle name="Normal 2 14 3 2 2 5" xfId="21309" xr:uid="{00000000-0005-0000-0000-000040530000}"/>
    <cellStyle name="Normal 2 14 3 2 2 6" xfId="21310" xr:uid="{00000000-0005-0000-0000-000041530000}"/>
    <cellStyle name="Normal 2 14 3 2 3" xfId="21311" xr:uid="{00000000-0005-0000-0000-000042530000}"/>
    <cellStyle name="Normal 2 14 3 2 3 2" xfId="21312" xr:uid="{00000000-0005-0000-0000-000043530000}"/>
    <cellStyle name="Normal 2 14 3 2 3 2 2" xfId="21313" xr:uid="{00000000-0005-0000-0000-000044530000}"/>
    <cellStyle name="Normal 2 14 3 2 3 3" xfId="21314" xr:uid="{00000000-0005-0000-0000-000045530000}"/>
    <cellStyle name="Normal 2 14 3 2 3 4" xfId="21315" xr:uid="{00000000-0005-0000-0000-000046530000}"/>
    <cellStyle name="Normal 2 14 3 2 3 5" xfId="21316" xr:uid="{00000000-0005-0000-0000-000047530000}"/>
    <cellStyle name="Normal 2 14 3 2 4" xfId="21317" xr:uid="{00000000-0005-0000-0000-000048530000}"/>
    <cellStyle name="Normal 2 14 3 2 4 2" xfId="21318" xr:uid="{00000000-0005-0000-0000-000049530000}"/>
    <cellStyle name="Normal 2 14 3 2 4 3" xfId="21319" xr:uid="{00000000-0005-0000-0000-00004A530000}"/>
    <cellStyle name="Normal 2 14 3 2 4 4" xfId="21320" xr:uid="{00000000-0005-0000-0000-00004B530000}"/>
    <cellStyle name="Normal 2 14 3 2 5" xfId="21321" xr:uid="{00000000-0005-0000-0000-00004C530000}"/>
    <cellStyle name="Normal 2 14 3 2 5 2" xfId="21322" xr:uid="{00000000-0005-0000-0000-00004D530000}"/>
    <cellStyle name="Normal 2 14 3 2 6" xfId="21323" xr:uid="{00000000-0005-0000-0000-00004E530000}"/>
    <cellStyle name="Normal 2 14 3 2 7" xfId="21324" xr:uid="{00000000-0005-0000-0000-00004F530000}"/>
    <cellStyle name="Normal 2 14 3 2 8" xfId="21325" xr:uid="{00000000-0005-0000-0000-000050530000}"/>
    <cellStyle name="Normal 2 14 3 2 9" xfId="21326" xr:uid="{00000000-0005-0000-0000-000051530000}"/>
    <cellStyle name="Normal 2 14 3 3" xfId="21327" xr:uid="{00000000-0005-0000-0000-000052530000}"/>
    <cellStyle name="Normal 2 14 3 3 2" xfId="21328" xr:uid="{00000000-0005-0000-0000-000053530000}"/>
    <cellStyle name="Normal 2 14 3 3 2 2" xfId="21329" xr:uid="{00000000-0005-0000-0000-000054530000}"/>
    <cellStyle name="Normal 2 14 3 3 2 2 2" xfId="21330" xr:uid="{00000000-0005-0000-0000-000055530000}"/>
    <cellStyle name="Normal 2 14 3 3 2 2 3" xfId="21331" xr:uid="{00000000-0005-0000-0000-000056530000}"/>
    <cellStyle name="Normal 2 14 3 3 2 3" xfId="21332" xr:uid="{00000000-0005-0000-0000-000057530000}"/>
    <cellStyle name="Normal 2 14 3 3 2 4" xfId="21333" xr:uid="{00000000-0005-0000-0000-000058530000}"/>
    <cellStyle name="Normal 2 14 3 3 2 5" xfId="21334" xr:uid="{00000000-0005-0000-0000-000059530000}"/>
    <cellStyle name="Normal 2 14 3 3 2 6" xfId="21335" xr:uid="{00000000-0005-0000-0000-00005A530000}"/>
    <cellStyle name="Normal 2 14 3 3 3" xfId="21336" xr:uid="{00000000-0005-0000-0000-00005B530000}"/>
    <cellStyle name="Normal 2 14 3 3 3 2" xfId="21337" xr:uid="{00000000-0005-0000-0000-00005C530000}"/>
    <cellStyle name="Normal 2 14 3 3 3 2 2" xfId="21338" xr:uid="{00000000-0005-0000-0000-00005D530000}"/>
    <cellStyle name="Normal 2 14 3 3 3 3" xfId="21339" xr:uid="{00000000-0005-0000-0000-00005E530000}"/>
    <cellStyle name="Normal 2 14 3 3 3 4" xfId="21340" xr:uid="{00000000-0005-0000-0000-00005F530000}"/>
    <cellStyle name="Normal 2 14 3 3 3 5" xfId="21341" xr:uid="{00000000-0005-0000-0000-000060530000}"/>
    <cellStyle name="Normal 2 14 3 3 4" xfId="21342" xr:uid="{00000000-0005-0000-0000-000061530000}"/>
    <cellStyle name="Normal 2 14 3 3 4 2" xfId="21343" xr:uid="{00000000-0005-0000-0000-000062530000}"/>
    <cellStyle name="Normal 2 14 3 3 4 3" xfId="21344" xr:uid="{00000000-0005-0000-0000-000063530000}"/>
    <cellStyle name="Normal 2 14 3 3 4 4" xfId="21345" xr:uid="{00000000-0005-0000-0000-000064530000}"/>
    <cellStyle name="Normal 2 14 3 3 5" xfId="21346" xr:uid="{00000000-0005-0000-0000-000065530000}"/>
    <cellStyle name="Normal 2 14 3 3 5 2" xfId="21347" xr:uid="{00000000-0005-0000-0000-000066530000}"/>
    <cellStyle name="Normal 2 14 3 3 6" xfId="21348" xr:uid="{00000000-0005-0000-0000-000067530000}"/>
    <cellStyle name="Normal 2 14 3 3 7" xfId="21349" xr:uid="{00000000-0005-0000-0000-000068530000}"/>
    <cellStyle name="Normal 2 14 3 3 8" xfId="21350" xr:uid="{00000000-0005-0000-0000-000069530000}"/>
    <cellStyle name="Normal 2 14 3 3 9" xfId="21351" xr:uid="{00000000-0005-0000-0000-00006A530000}"/>
    <cellStyle name="Normal 2 14 3 4" xfId="21352" xr:uid="{00000000-0005-0000-0000-00006B530000}"/>
    <cellStyle name="Normal 2 14 3 4 2" xfId="21353" xr:uid="{00000000-0005-0000-0000-00006C530000}"/>
    <cellStyle name="Normal 2 14 3 4 2 2" xfId="21354" xr:uid="{00000000-0005-0000-0000-00006D530000}"/>
    <cellStyle name="Normal 2 14 3 4 2 3" xfId="21355" xr:uid="{00000000-0005-0000-0000-00006E530000}"/>
    <cellStyle name="Normal 2 14 3 4 3" xfId="21356" xr:uid="{00000000-0005-0000-0000-00006F530000}"/>
    <cellStyle name="Normal 2 14 3 4 4" xfId="21357" xr:uid="{00000000-0005-0000-0000-000070530000}"/>
    <cellStyle name="Normal 2 14 3 4 5" xfId="21358" xr:uid="{00000000-0005-0000-0000-000071530000}"/>
    <cellStyle name="Normal 2 14 3 4 6" xfId="21359" xr:uid="{00000000-0005-0000-0000-000072530000}"/>
    <cellStyle name="Normal 2 14 3 5" xfId="21360" xr:uid="{00000000-0005-0000-0000-000073530000}"/>
    <cellStyle name="Normal 2 14 3 5 2" xfId="21361" xr:uid="{00000000-0005-0000-0000-000074530000}"/>
    <cellStyle name="Normal 2 14 3 5 2 2" xfId="21362" xr:uid="{00000000-0005-0000-0000-000075530000}"/>
    <cellStyle name="Normal 2 14 3 5 3" xfId="21363" xr:uid="{00000000-0005-0000-0000-000076530000}"/>
    <cellStyle name="Normal 2 14 3 5 4" xfId="21364" xr:uid="{00000000-0005-0000-0000-000077530000}"/>
    <cellStyle name="Normal 2 14 3 5 5" xfId="21365" xr:uid="{00000000-0005-0000-0000-000078530000}"/>
    <cellStyle name="Normal 2 14 3 6" xfId="21366" xr:uid="{00000000-0005-0000-0000-000079530000}"/>
    <cellStyle name="Normal 2 14 3 6 2" xfId="21367" xr:uid="{00000000-0005-0000-0000-00007A530000}"/>
    <cellStyle name="Normal 2 14 3 6 3" xfId="21368" xr:uid="{00000000-0005-0000-0000-00007B530000}"/>
    <cellStyle name="Normal 2 14 3 6 4" xfId="21369" xr:uid="{00000000-0005-0000-0000-00007C530000}"/>
    <cellStyle name="Normal 2 14 3 7" xfId="21370" xr:uid="{00000000-0005-0000-0000-00007D530000}"/>
    <cellStyle name="Normal 2 14 3 7 2" xfId="21371" xr:uid="{00000000-0005-0000-0000-00007E530000}"/>
    <cellStyle name="Normal 2 14 3 8" xfId="21372" xr:uid="{00000000-0005-0000-0000-00007F530000}"/>
    <cellStyle name="Normal 2 14 3 9" xfId="21373" xr:uid="{00000000-0005-0000-0000-000080530000}"/>
    <cellStyle name="Normal 2 14 30" xfId="21374" xr:uid="{00000000-0005-0000-0000-000081530000}"/>
    <cellStyle name="Normal 2 14 31" xfId="21375" xr:uid="{00000000-0005-0000-0000-000082530000}"/>
    <cellStyle name="Normal 2 14 32" xfId="21376" xr:uid="{00000000-0005-0000-0000-000083530000}"/>
    <cellStyle name="Normal 2 14 33" xfId="21377" xr:uid="{00000000-0005-0000-0000-000084530000}"/>
    <cellStyle name="Normal 2 14 34" xfId="21378" xr:uid="{00000000-0005-0000-0000-000085530000}"/>
    <cellStyle name="Normal 2 14 35" xfId="21379" xr:uid="{00000000-0005-0000-0000-000086530000}"/>
    <cellStyle name="Normal 2 14 36" xfId="21380" xr:uid="{00000000-0005-0000-0000-000087530000}"/>
    <cellStyle name="Normal 2 14 37" xfId="21381" xr:uid="{00000000-0005-0000-0000-000088530000}"/>
    <cellStyle name="Normal 2 14 37 2" xfId="21382" xr:uid="{00000000-0005-0000-0000-000089530000}"/>
    <cellStyle name="Normal 2 14 38" xfId="21383" xr:uid="{00000000-0005-0000-0000-00008A530000}"/>
    <cellStyle name="Normal 2 14 39" xfId="21384" xr:uid="{00000000-0005-0000-0000-00008B530000}"/>
    <cellStyle name="Normal 2 14 4" xfId="21385" xr:uid="{00000000-0005-0000-0000-00008C530000}"/>
    <cellStyle name="Normal 2 14 4 10" xfId="21386" xr:uid="{00000000-0005-0000-0000-00008D530000}"/>
    <cellStyle name="Normal 2 14 4 11" xfId="21387" xr:uid="{00000000-0005-0000-0000-00008E530000}"/>
    <cellStyle name="Normal 2 14 4 2" xfId="21388" xr:uid="{00000000-0005-0000-0000-00008F530000}"/>
    <cellStyle name="Normal 2 14 4 2 2" xfId="21389" xr:uid="{00000000-0005-0000-0000-000090530000}"/>
    <cellStyle name="Normal 2 14 4 2 2 2" xfId="21390" xr:uid="{00000000-0005-0000-0000-000091530000}"/>
    <cellStyle name="Normal 2 14 4 2 2 2 2" xfId="21391" xr:uid="{00000000-0005-0000-0000-000092530000}"/>
    <cellStyle name="Normal 2 14 4 2 2 2 3" xfId="21392" xr:uid="{00000000-0005-0000-0000-000093530000}"/>
    <cellStyle name="Normal 2 14 4 2 2 3" xfId="21393" xr:uid="{00000000-0005-0000-0000-000094530000}"/>
    <cellStyle name="Normal 2 14 4 2 2 4" xfId="21394" xr:uid="{00000000-0005-0000-0000-000095530000}"/>
    <cellStyle name="Normal 2 14 4 2 2 5" xfId="21395" xr:uid="{00000000-0005-0000-0000-000096530000}"/>
    <cellStyle name="Normal 2 14 4 2 2 6" xfId="21396" xr:uid="{00000000-0005-0000-0000-000097530000}"/>
    <cellStyle name="Normal 2 14 4 2 3" xfId="21397" xr:uid="{00000000-0005-0000-0000-000098530000}"/>
    <cellStyle name="Normal 2 14 4 2 3 2" xfId="21398" xr:uid="{00000000-0005-0000-0000-000099530000}"/>
    <cellStyle name="Normal 2 14 4 2 3 2 2" xfId="21399" xr:uid="{00000000-0005-0000-0000-00009A530000}"/>
    <cellStyle name="Normal 2 14 4 2 3 3" xfId="21400" xr:uid="{00000000-0005-0000-0000-00009B530000}"/>
    <cellStyle name="Normal 2 14 4 2 3 4" xfId="21401" xr:uid="{00000000-0005-0000-0000-00009C530000}"/>
    <cellStyle name="Normal 2 14 4 2 3 5" xfId="21402" xr:uid="{00000000-0005-0000-0000-00009D530000}"/>
    <cellStyle name="Normal 2 14 4 2 4" xfId="21403" xr:uid="{00000000-0005-0000-0000-00009E530000}"/>
    <cellStyle name="Normal 2 14 4 2 4 2" xfId="21404" xr:uid="{00000000-0005-0000-0000-00009F530000}"/>
    <cellStyle name="Normal 2 14 4 2 4 3" xfId="21405" xr:uid="{00000000-0005-0000-0000-0000A0530000}"/>
    <cellStyle name="Normal 2 14 4 2 4 4" xfId="21406" xr:uid="{00000000-0005-0000-0000-0000A1530000}"/>
    <cellStyle name="Normal 2 14 4 2 5" xfId="21407" xr:uid="{00000000-0005-0000-0000-0000A2530000}"/>
    <cellStyle name="Normal 2 14 4 2 5 2" xfId="21408" xr:uid="{00000000-0005-0000-0000-0000A3530000}"/>
    <cellStyle name="Normal 2 14 4 2 6" xfId="21409" xr:uid="{00000000-0005-0000-0000-0000A4530000}"/>
    <cellStyle name="Normal 2 14 4 2 7" xfId="21410" xr:uid="{00000000-0005-0000-0000-0000A5530000}"/>
    <cellStyle name="Normal 2 14 4 2 8" xfId="21411" xr:uid="{00000000-0005-0000-0000-0000A6530000}"/>
    <cellStyle name="Normal 2 14 4 2 9" xfId="21412" xr:uid="{00000000-0005-0000-0000-0000A7530000}"/>
    <cellStyle name="Normal 2 14 4 3" xfId="21413" xr:uid="{00000000-0005-0000-0000-0000A8530000}"/>
    <cellStyle name="Normal 2 14 4 3 2" xfId="21414" xr:uid="{00000000-0005-0000-0000-0000A9530000}"/>
    <cellStyle name="Normal 2 14 4 3 2 2" xfId="21415" xr:uid="{00000000-0005-0000-0000-0000AA530000}"/>
    <cellStyle name="Normal 2 14 4 3 2 2 2" xfId="21416" xr:uid="{00000000-0005-0000-0000-0000AB530000}"/>
    <cellStyle name="Normal 2 14 4 3 2 2 3" xfId="21417" xr:uid="{00000000-0005-0000-0000-0000AC530000}"/>
    <cellStyle name="Normal 2 14 4 3 2 3" xfId="21418" xr:uid="{00000000-0005-0000-0000-0000AD530000}"/>
    <cellStyle name="Normal 2 14 4 3 2 4" xfId="21419" xr:uid="{00000000-0005-0000-0000-0000AE530000}"/>
    <cellStyle name="Normal 2 14 4 3 2 5" xfId="21420" xr:uid="{00000000-0005-0000-0000-0000AF530000}"/>
    <cellStyle name="Normal 2 14 4 3 2 6" xfId="21421" xr:uid="{00000000-0005-0000-0000-0000B0530000}"/>
    <cellStyle name="Normal 2 14 4 3 3" xfId="21422" xr:uid="{00000000-0005-0000-0000-0000B1530000}"/>
    <cellStyle name="Normal 2 14 4 3 3 2" xfId="21423" xr:uid="{00000000-0005-0000-0000-0000B2530000}"/>
    <cellStyle name="Normal 2 14 4 3 3 2 2" xfId="21424" xr:uid="{00000000-0005-0000-0000-0000B3530000}"/>
    <cellStyle name="Normal 2 14 4 3 3 3" xfId="21425" xr:uid="{00000000-0005-0000-0000-0000B4530000}"/>
    <cellStyle name="Normal 2 14 4 3 3 4" xfId="21426" xr:uid="{00000000-0005-0000-0000-0000B5530000}"/>
    <cellStyle name="Normal 2 14 4 3 3 5" xfId="21427" xr:uid="{00000000-0005-0000-0000-0000B6530000}"/>
    <cellStyle name="Normal 2 14 4 3 4" xfId="21428" xr:uid="{00000000-0005-0000-0000-0000B7530000}"/>
    <cellStyle name="Normal 2 14 4 3 4 2" xfId="21429" xr:uid="{00000000-0005-0000-0000-0000B8530000}"/>
    <cellStyle name="Normal 2 14 4 3 4 3" xfId="21430" xr:uid="{00000000-0005-0000-0000-0000B9530000}"/>
    <cellStyle name="Normal 2 14 4 3 4 4" xfId="21431" xr:uid="{00000000-0005-0000-0000-0000BA530000}"/>
    <cellStyle name="Normal 2 14 4 3 5" xfId="21432" xr:uid="{00000000-0005-0000-0000-0000BB530000}"/>
    <cellStyle name="Normal 2 14 4 3 5 2" xfId="21433" xr:uid="{00000000-0005-0000-0000-0000BC530000}"/>
    <cellStyle name="Normal 2 14 4 3 6" xfId="21434" xr:uid="{00000000-0005-0000-0000-0000BD530000}"/>
    <cellStyle name="Normal 2 14 4 3 7" xfId="21435" xr:uid="{00000000-0005-0000-0000-0000BE530000}"/>
    <cellStyle name="Normal 2 14 4 3 8" xfId="21436" xr:uid="{00000000-0005-0000-0000-0000BF530000}"/>
    <cellStyle name="Normal 2 14 4 3 9" xfId="21437" xr:uid="{00000000-0005-0000-0000-0000C0530000}"/>
    <cellStyle name="Normal 2 14 4 4" xfId="21438" xr:uid="{00000000-0005-0000-0000-0000C1530000}"/>
    <cellStyle name="Normal 2 14 4 4 2" xfId="21439" xr:uid="{00000000-0005-0000-0000-0000C2530000}"/>
    <cellStyle name="Normal 2 14 4 4 2 2" xfId="21440" xr:uid="{00000000-0005-0000-0000-0000C3530000}"/>
    <cellStyle name="Normal 2 14 4 4 2 3" xfId="21441" xr:uid="{00000000-0005-0000-0000-0000C4530000}"/>
    <cellStyle name="Normal 2 14 4 4 3" xfId="21442" xr:uid="{00000000-0005-0000-0000-0000C5530000}"/>
    <cellStyle name="Normal 2 14 4 4 4" xfId="21443" xr:uid="{00000000-0005-0000-0000-0000C6530000}"/>
    <cellStyle name="Normal 2 14 4 4 5" xfId="21444" xr:uid="{00000000-0005-0000-0000-0000C7530000}"/>
    <cellStyle name="Normal 2 14 4 4 6" xfId="21445" xr:uid="{00000000-0005-0000-0000-0000C8530000}"/>
    <cellStyle name="Normal 2 14 4 5" xfId="21446" xr:uid="{00000000-0005-0000-0000-0000C9530000}"/>
    <cellStyle name="Normal 2 14 4 5 2" xfId="21447" xr:uid="{00000000-0005-0000-0000-0000CA530000}"/>
    <cellStyle name="Normal 2 14 4 5 2 2" xfId="21448" xr:uid="{00000000-0005-0000-0000-0000CB530000}"/>
    <cellStyle name="Normal 2 14 4 5 3" xfId="21449" xr:uid="{00000000-0005-0000-0000-0000CC530000}"/>
    <cellStyle name="Normal 2 14 4 5 4" xfId="21450" xr:uid="{00000000-0005-0000-0000-0000CD530000}"/>
    <cellStyle name="Normal 2 14 4 5 5" xfId="21451" xr:uid="{00000000-0005-0000-0000-0000CE530000}"/>
    <cellStyle name="Normal 2 14 4 6" xfId="21452" xr:uid="{00000000-0005-0000-0000-0000CF530000}"/>
    <cellStyle name="Normal 2 14 4 6 2" xfId="21453" xr:uid="{00000000-0005-0000-0000-0000D0530000}"/>
    <cellStyle name="Normal 2 14 4 6 3" xfId="21454" xr:uid="{00000000-0005-0000-0000-0000D1530000}"/>
    <cellStyle name="Normal 2 14 4 6 4" xfId="21455" xr:uid="{00000000-0005-0000-0000-0000D2530000}"/>
    <cellStyle name="Normal 2 14 4 7" xfId="21456" xr:uid="{00000000-0005-0000-0000-0000D3530000}"/>
    <cellStyle name="Normal 2 14 4 7 2" xfId="21457" xr:uid="{00000000-0005-0000-0000-0000D4530000}"/>
    <cellStyle name="Normal 2 14 4 8" xfId="21458" xr:uid="{00000000-0005-0000-0000-0000D5530000}"/>
    <cellStyle name="Normal 2 14 4 9" xfId="21459" xr:uid="{00000000-0005-0000-0000-0000D6530000}"/>
    <cellStyle name="Normal 2 14 40" xfId="21460" xr:uid="{00000000-0005-0000-0000-0000D7530000}"/>
    <cellStyle name="Normal 2 14 5" xfId="21461" xr:uid="{00000000-0005-0000-0000-0000D8530000}"/>
    <cellStyle name="Normal 2 14 5 10" xfId="21462" xr:uid="{00000000-0005-0000-0000-0000D9530000}"/>
    <cellStyle name="Normal 2 14 5 11" xfId="21463" xr:uid="{00000000-0005-0000-0000-0000DA530000}"/>
    <cellStyle name="Normal 2 14 5 2" xfId="21464" xr:uid="{00000000-0005-0000-0000-0000DB530000}"/>
    <cellStyle name="Normal 2 14 5 2 2" xfId="21465" xr:uid="{00000000-0005-0000-0000-0000DC530000}"/>
    <cellStyle name="Normal 2 14 5 2 2 2" xfId="21466" xr:uid="{00000000-0005-0000-0000-0000DD530000}"/>
    <cellStyle name="Normal 2 14 5 2 2 2 2" xfId="21467" xr:uid="{00000000-0005-0000-0000-0000DE530000}"/>
    <cellStyle name="Normal 2 14 5 2 2 2 3" xfId="21468" xr:uid="{00000000-0005-0000-0000-0000DF530000}"/>
    <cellStyle name="Normal 2 14 5 2 2 3" xfId="21469" xr:uid="{00000000-0005-0000-0000-0000E0530000}"/>
    <cellStyle name="Normal 2 14 5 2 2 4" xfId="21470" xr:uid="{00000000-0005-0000-0000-0000E1530000}"/>
    <cellStyle name="Normal 2 14 5 2 2 5" xfId="21471" xr:uid="{00000000-0005-0000-0000-0000E2530000}"/>
    <cellStyle name="Normal 2 14 5 2 2 6" xfId="21472" xr:uid="{00000000-0005-0000-0000-0000E3530000}"/>
    <cellStyle name="Normal 2 14 5 2 3" xfId="21473" xr:uid="{00000000-0005-0000-0000-0000E4530000}"/>
    <cellStyle name="Normal 2 14 5 2 3 2" xfId="21474" xr:uid="{00000000-0005-0000-0000-0000E5530000}"/>
    <cellStyle name="Normal 2 14 5 2 3 2 2" xfId="21475" xr:uid="{00000000-0005-0000-0000-0000E6530000}"/>
    <cellStyle name="Normal 2 14 5 2 3 3" xfId="21476" xr:uid="{00000000-0005-0000-0000-0000E7530000}"/>
    <cellStyle name="Normal 2 14 5 2 3 4" xfId="21477" xr:uid="{00000000-0005-0000-0000-0000E8530000}"/>
    <cellStyle name="Normal 2 14 5 2 3 5" xfId="21478" xr:uid="{00000000-0005-0000-0000-0000E9530000}"/>
    <cellStyle name="Normal 2 14 5 2 4" xfId="21479" xr:uid="{00000000-0005-0000-0000-0000EA530000}"/>
    <cellStyle name="Normal 2 14 5 2 4 2" xfId="21480" xr:uid="{00000000-0005-0000-0000-0000EB530000}"/>
    <cellStyle name="Normal 2 14 5 2 4 3" xfId="21481" xr:uid="{00000000-0005-0000-0000-0000EC530000}"/>
    <cellStyle name="Normal 2 14 5 2 4 4" xfId="21482" xr:uid="{00000000-0005-0000-0000-0000ED530000}"/>
    <cellStyle name="Normal 2 14 5 2 5" xfId="21483" xr:uid="{00000000-0005-0000-0000-0000EE530000}"/>
    <cellStyle name="Normal 2 14 5 2 5 2" xfId="21484" xr:uid="{00000000-0005-0000-0000-0000EF530000}"/>
    <cellStyle name="Normal 2 14 5 2 6" xfId="21485" xr:uid="{00000000-0005-0000-0000-0000F0530000}"/>
    <cellStyle name="Normal 2 14 5 2 7" xfId="21486" xr:uid="{00000000-0005-0000-0000-0000F1530000}"/>
    <cellStyle name="Normal 2 14 5 2 8" xfId="21487" xr:uid="{00000000-0005-0000-0000-0000F2530000}"/>
    <cellStyle name="Normal 2 14 5 2 9" xfId="21488" xr:uid="{00000000-0005-0000-0000-0000F3530000}"/>
    <cellStyle name="Normal 2 14 5 3" xfId="21489" xr:uid="{00000000-0005-0000-0000-0000F4530000}"/>
    <cellStyle name="Normal 2 14 5 3 2" xfId="21490" xr:uid="{00000000-0005-0000-0000-0000F5530000}"/>
    <cellStyle name="Normal 2 14 5 3 2 2" xfId="21491" xr:uid="{00000000-0005-0000-0000-0000F6530000}"/>
    <cellStyle name="Normal 2 14 5 3 2 2 2" xfId="21492" xr:uid="{00000000-0005-0000-0000-0000F7530000}"/>
    <cellStyle name="Normal 2 14 5 3 2 2 3" xfId="21493" xr:uid="{00000000-0005-0000-0000-0000F8530000}"/>
    <cellStyle name="Normal 2 14 5 3 2 3" xfId="21494" xr:uid="{00000000-0005-0000-0000-0000F9530000}"/>
    <cellStyle name="Normal 2 14 5 3 2 4" xfId="21495" xr:uid="{00000000-0005-0000-0000-0000FA530000}"/>
    <cellStyle name="Normal 2 14 5 3 2 5" xfId="21496" xr:uid="{00000000-0005-0000-0000-0000FB530000}"/>
    <cellStyle name="Normal 2 14 5 3 2 6" xfId="21497" xr:uid="{00000000-0005-0000-0000-0000FC530000}"/>
    <cellStyle name="Normal 2 14 5 3 3" xfId="21498" xr:uid="{00000000-0005-0000-0000-0000FD530000}"/>
    <cellStyle name="Normal 2 14 5 3 3 2" xfId="21499" xr:uid="{00000000-0005-0000-0000-0000FE530000}"/>
    <cellStyle name="Normal 2 14 5 3 3 2 2" xfId="21500" xr:uid="{00000000-0005-0000-0000-0000FF530000}"/>
    <cellStyle name="Normal 2 14 5 3 3 3" xfId="21501" xr:uid="{00000000-0005-0000-0000-000000540000}"/>
    <cellStyle name="Normal 2 14 5 3 3 4" xfId="21502" xr:uid="{00000000-0005-0000-0000-000001540000}"/>
    <cellStyle name="Normal 2 14 5 3 3 5" xfId="21503" xr:uid="{00000000-0005-0000-0000-000002540000}"/>
    <cellStyle name="Normal 2 14 5 3 4" xfId="21504" xr:uid="{00000000-0005-0000-0000-000003540000}"/>
    <cellStyle name="Normal 2 14 5 3 4 2" xfId="21505" xr:uid="{00000000-0005-0000-0000-000004540000}"/>
    <cellStyle name="Normal 2 14 5 3 4 3" xfId="21506" xr:uid="{00000000-0005-0000-0000-000005540000}"/>
    <cellStyle name="Normal 2 14 5 3 4 4" xfId="21507" xr:uid="{00000000-0005-0000-0000-000006540000}"/>
    <cellStyle name="Normal 2 14 5 3 5" xfId="21508" xr:uid="{00000000-0005-0000-0000-000007540000}"/>
    <cellStyle name="Normal 2 14 5 3 5 2" xfId="21509" xr:uid="{00000000-0005-0000-0000-000008540000}"/>
    <cellStyle name="Normal 2 14 5 3 6" xfId="21510" xr:uid="{00000000-0005-0000-0000-000009540000}"/>
    <cellStyle name="Normal 2 14 5 3 7" xfId="21511" xr:uid="{00000000-0005-0000-0000-00000A540000}"/>
    <cellStyle name="Normal 2 14 5 3 8" xfId="21512" xr:uid="{00000000-0005-0000-0000-00000B540000}"/>
    <cellStyle name="Normal 2 14 5 3 9" xfId="21513" xr:uid="{00000000-0005-0000-0000-00000C540000}"/>
    <cellStyle name="Normal 2 14 5 4" xfId="21514" xr:uid="{00000000-0005-0000-0000-00000D540000}"/>
    <cellStyle name="Normal 2 14 5 4 2" xfId="21515" xr:uid="{00000000-0005-0000-0000-00000E540000}"/>
    <cellStyle name="Normal 2 14 5 4 2 2" xfId="21516" xr:uid="{00000000-0005-0000-0000-00000F540000}"/>
    <cellStyle name="Normal 2 14 5 4 2 3" xfId="21517" xr:uid="{00000000-0005-0000-0000-000010540000}"/>
    <cellStyle name="Normal 2 14 5 4 3" xfId="21518" xr:uid="{00000000-0005-0000-0000-000011540000}"/>
    <cellStyle name="Normal 2 14 5 4 4" xfId="21519" xr:uid="{00000000-0005-0000-0000-000012540000}"/>
    <cellStyle name="Normal 2 14 5 4 5" xfId="21520" xr:uid="{00000000-0005-0000-0000-000013540000}"/>
    <cellStyle name="Normal 2 14 5 4 6" xfId="21521" xr:uid="{00000000-0005-0000-0000-000014540000}"/>
    <cellStyle name="Normal 2 14 5 5" xfId="21522" xr:uid="{00000000-0005-0000-0000-000015540000}"/>
    <cellStyle name="Normal 2 14 5 5 2" xfId="21523" xr:uid="{00000000-0005-0000-0000-000016540000}"/>
    <cellStyle name="Normal 2 14 5 5 2 2" xfId="21524" xr:uid="{00000000-0005-0000-0000-000017540000}"/>
    <cellStyle name="Normal 2 14 5 5 3" xfId="21525" xr:uid="{00000000-0005-0000-0000-000018540000}"/>
    <cellStyle name="Normal 2 14 5 5 4" xfId="21526" xr:uid="{00000000-0005-0000-0000-000019540000}"/>
    <cellStyle name="Normal 2 14 5 5 5" xfId="21527" xr:uid="{00000000-0005-0000-0000-00001A540000}"/>
    <cellStyle name="Normal 2 14 5 6" xfId="21528" xr:uid="{00000000-0005-0000-0000-00001B540000}"/>
    <cellStyle name="Normal 2 14 5 6 2" xfId="21529" xr:uid="{00000000-0005-0000-0000-00001C540000}"/>
    <cellStyle name="Normal 2 14 5 6 3" xfId="21530" xr:uid="{00000000-0005-0000-0000-00001D540000}"/>
    <cellStyle name="Normal 2 14 5 6 4" xfId="21531" xr:uid="{00000000-0005-0000-0000-00001E540000}"/>
    <cellStyle name="Normal 2 14 5 7" xfId="21532" xr:uid="{00000000-0005-0000-0000-00001F540000}"/>
    <cellStyle name="Normal 2 14 5 7 2" xfId="21533" xr:uid="{00000000-0005-0000-0000-000020540000}"/>
    <cellStyle name="Normal 2 14 5 8" xfId="21534" xr:uid="{00000000-0005-0000-0000-000021540000}"/>
    <cellStyle name="Normal 2 14 5 9" xfId="21535" xr:uid="{00000000-0005-0000-0000-000022540000}"/>
    <cellStyle name="Normal 2 14 6" xfId="21536" xr:uid="{00000000-0005-0000-0000-000023540000}"/>
    <cellStyle name="Normal 2 14 6 10" xfId="21537" xr:uid="{00000000-0005-0000-0000-000024540000}"/>
    <cellStyle name="Normal 2 14 6 11" xfId="21538" xr:uid="{00000000-0005-0000-0000-000025540000}"/>
    <cellStyle name="Normal 2 14 6 2" xfId="21539" xr:uid="{00000000-0005-0000-0000-000026540000}"/>
    <cellStyle name="Normal 2 14 6 2 2" xfId="21540" xr:uid="{00000000-0005-0000-0000-000027540000}"/>
    <cellStyle name="Normal 2 14 6 2 2 2" xfId="21541" xr:uid="{00000000-0005-0000-0000-000028540000}"/>
    <cellStyle name="Normal 2 14 6 2 2 2 2" xfId="21542" xr:uid="{00000000-0005-0000-0000-000029540000}"/>
    <cellStyle name="Normal 2 14 6 2 2 2 3" xfId="21543" xr:uid="{00000000-0005-0000-0000-00002A540000}"/>
    <cellStyle name="Normal 2 14 6 2 2 3" xfId="21544" xr:uid="{00000000-0005-0000-0000-00002B540000}"/>
    <cellStyle name="Normal 2 14 6 2 2 4" xfId="21545" xr:uid="{00000000-0005-0000-0000-00002C540000}"/>
    <cellStyle name="Normal 2 14 6 2 2 5" xfId="21546" xr:uid="{00000000-0005-0000-0000-00002D540000}"/>
    <cellStyle name="Normal 2 14 6 2 2 6" xfId="21547" xr:uid="{00000000-0005-0000-0000-00002E540000}"/>
    <cellStyle name="Normal 2 14 6 2 3" xfId="21548" xr:uid="{00000000-0005-0000-0000-00002F540000}"/>
    <cellStyle name="Normal 2 14 6 2 3 2" xfId="21549" xr:uid="{00000000-0005-0000-0000-000030540000}"/>
    <cellStyle name="Normal 2 14 6 2 3 2 2" xfId="21550" xr:uid="{00000000-0005-0000-0000-000031540000}"/>
    <cellStyle name="Normal 2 14 6 2 3 3" xfId="21551" xr:uid="{00000000-0005-0000-0000-000032540000}"/>
    <cellStyle name="Normal 2 14 6 2 3 4" xfId="21552" xr:uid="{00000000-0005-0000-0000-000033540000}"/>
    <cellStyle name="Normal 2 14 6 2 3 5" xfId="21553" xr:uid="{00000000-0005-0000-0000-000034540000}"/>
    <cellStyle name="Normal 2 14 6 2 4" xfId="21554" xr:uid="{00000000-0005-0000-0000-000035540000}"/>
    <cellStyle name="Normal 2 14 6 2 4 2" xfId="21555" xr:uid="{00000000-0005-0000-0000-000036540000}"/>
    <cellStyle name="Normal 2 14 6 2 4 3" xfId="21556" xr:uid="{00000000-0005-0000-0000-000037540000}"/>
    <cellStyle name="Normal 2 14 6 2 4 4" xfId="21557" xr:uid="{00000000-0005-0000-0000-000038540000}"/>
    <cellStyle name="Normal 2 14 6 2 5" xfId="21558" xr:uid="{00000000-0005-0000-0000-000039540000}"/>
    <cellStyle name="Normal 2 14 6 2 5 2" xfId="21559" xr:uid="{00000000-0005-0000-0000-00003A540000}"/>
    <cellStyle name="Normal 2 14 6 2 6" xfId="21560" xr:uid="{00000000-0005-0000-0000-00003B540000}"/>
    <cellStyle name="Normal 2 14 6 2 7" xfId="21561" xr:uid="{00000000-0005-0000-0000-00003C540000}"/>
    <cellStyle name="Normal 2 14 6 2 8" xfId="21562" xr:uid="{00000000-0005-0000-0000-00003D540000}"/>
    <cellStyle name="Normal 2 14 6 2 9" xfId="21563" xr:uid="{00000000-0005-0000-0000-00003E540000}"/>
    <cellStyle name="Normal 2 14 6 3" xfId="21564" xr:uid="{00000000-0005-0000-0000-00003F540000}"/>
    <cellStyle name="Normal 2 14 6 3 2" xfId="21565" xr:uid="{00000000-0005-0000-0000-000040540000}"/>
    <cellStyle name="Normal 2 14 6 3 2 2" xfId="21566" xr:uid="{00000000-0005-0000-0000-000041540000}"/>
    <cellStyle name="Normal 2 14 6 3 2 2 2" xfId="21567" xr:uid="{00000000-0005-0000-0000-000042540000}"/>
    <cellStyle name="Normal 2 14 6 3 2 2 3" xfId="21568" xr:uid="{00000000-0005-0000-0000-000043540000}"/>
    <cellStyle name="Normal 2 14 6 3 2 3" xfId="21569" xr:uid="{00000000-0005-0000-0000-000044540000}"/>
    <cellStyle name="Normal 2 14 6 3 2 4" xfId="21570" xr:uid="{00000000-0005-0000-0000-000045540000}"/>
    <cellStyle name="Normal 2 14 6 3 2 5" xfId="21571" xr:uid="{00000000-0005-0000-0000-000046540000}"/>
    <cellStyle name="Normal 2 14 6 3 2 6" xfId="21572" xr:uid="{00000000-0005-0000-0000-000047540000}"/>
    <cellStyle name="Normal 2 14 6 3 3" xfId="21573" xr:uid="{00000000-0005-0000-0000-000048540000}"/>
    <cellStyle name="Normal 2 14 6 3 3 2" xfId="21574" xr:uid="{00000000-0005-0000-0000-000049540000}"/>
    <cellStyle name="Normal 2 14 6 3 3 2 2" xfId="21575" xr:uid="{00000000-0005-0000-0000-00004A540000}"/>
    <cellStyle name="Normal 2 14 6 3 3 3" xfId="21576" xr:uid="{00000000-0005-0000-0000-00004B540000}"/>
    <cellStyle name="Normal 2 14 6 3 3 4" xfId="21577" xr:uid="{00000000-0005-0000-0000-00004C540000}"/>
    <cellStyle name="Normal 2 14 6 3 3 5" xfId="21578" xr:uid="{00000000-0005-0000-0000-00004D540000}"/>
    <cellStyle name="Normal 2 14 6 3 4" xfId="21579" xr:uid="{00000000-0005-0000-0000-00004E540000}"/>
    <cellStyle name="Normal 2 14 6 3 4 2" xfId="21580" xr:uid="{00000000-0005-0000-0000-00004F540000}"/>
    <cellStyle name="Normal 2 14 6 3 4 3" xfId="21581" xr:uid="{00000000-0005-0000-0000-000050540000}"/>
    <cellStyle name="Normal 2 14 6 3 4 4" xfId="21582" xr:uid="{00000000-0005-0000-0000-000051540000}"/>
    <cellStyle name="Normal 2 14 6 3 5" xfId="21583" xr:uid="{00000000-0005-0000-0000-000052540000}"/>
    <cellStyle name="Normal 2 14 6 3 5 2" xfId="21584" xr:uid="{00000000-0005-0000-0000-000053540000}"/>
    <cellStyle name="Normal 2 14 6 3 6" xfId="21585" xr:uid="{00000000-0005-0000-0000-000054540000}"/>
    <cellStyle name="Normal 2 14 6 3 7" xfId="21586" xr:uid="{00000000-0005-0000-0000-000055540000}"/>
    <cellStyle name="Normal 2 14 6 3 8" xfId="21587" xr:uid="{00000000-0005-0000-0000-000056540000}"/>
    <cellStyle name="Normal 2 14 6 3 9" xfId="21588" xr:uid="{00000000-0005-0000-0000-000057540000}"/>
    <cellStyle name="Normal 2 14 6 4" xfId="21589" xr:uid="{00000000-0005-0000-0000-000058540000}"/>
    <cellStyle name="Normal 2 14 6 4 2" xfId="21590" xr:uid="{00000000-0005-0000-0000-000059540000}"/>
    <cellStyle name="Normal 2 14 6 4 2 2" xfId="21591" xr:uid="{00000000-0005-0000-0000-00005A540000}"/>
    <cellStyle name="Normal 2 14 6 4 2 3" xfId="21592" xr:uid="{00000000-0005-0000-0000-00005B540000}"/>
    <cellStyle name="Normal 2 14 6 4 3" xfId="21593" xr:uid="{00000000-0005-0000-0000-00005C540000}"/>
    <cellStyle name="Normal 2 14 6 4 4" xfId="21594" xr:uid="{00000000-0005-0000-0000-00005D540000}"/>
    <cellStyle name="Normal 2 14 6 4 5" xfId="21595" xr:uid="{00000000-0005-0000-0000-00005E540000}"/>
    <cellStyle name="Normal 2 14 6 4 6" xfId="21596" xr:uid="{00000000-0005-0000-0000-00005F540000}"/>
    <cellStyle name="Normal 2 14 6 5" xfId="21597" xr:uid="{00000000-0005-0000-0000-000060540000}"/>
    <cellStyle name="Normal 2 14 6 5 2" xfId="21598" xr:uid="{00000000-0005-0000-0000-000061540000}"/>
    <cellStyle name="Normal 2 14 6 5 2 2" xfId="21599" xr:uid="{00000000-0005-0000-0000-000062540000}"/>
    <cellStyle name="Normal 2 14 6 5 3" xfId="21600" xr:uid="{00000000-0005-0000-0000-000063540000}"/>
    <cellStyle name="Normal 2 14 6 5 4" xfId="21601" xr:uid="{00000000-0005-0000-0000-000064540000}"/>
    <cellStyle name="Normal 2 14 6 5 5" xfId="21602" xr:uid="{00000000-0005-0000-0000-000065540000}"/>
    <cellStyle name="Normal 2 14 6 6" xfId="21603" xr:uid="{00000000-0005-0000-0000-000066540000}"/>
    <cellStyle name="Normal 2 14 6 6 2" xfId="21604" xr:uid="{00000000-0005-0000-0000-000067540000}"/>
    <cellStyle name="Normal 2 14 6 6 3" xfId="21605" xr:uid="{00000000-0005-0000-0000-000068540000}"/>
    <cellStyle name="Normal 2 14 6 6 4" xfId="21606" xr:uid="{00000000-0005-0000-0000-000069540000}"/>
    <cellStyle name="Normal 2 14 6 7" xfId="21607" xr:uid="{00000000-0005-0000-0000-00006A540000}"/>
    <cellStyle name="Normal 2 14 6 7 2" xfId="21608" xr:uid="{00000000-0005-0000-0000-00006B540000}"/>
    <cellStyle name="Normal 2 14 6 8" xfId="21609" xr:uid="{00000000-0005-0000-0000-00006C540000}"/>
    <cellStyle name="Normal 2 14 6 9" xfId="21610" xr:uid="{00000000-0005-0000-0000-00006D540000}"/>
    <cellStyle name="Normal 2 14 7" xfId="21611" xr:uid="{00000000-0005-0000-0000-00006E540000}"/>
    <cellStyle name="Normal 2 14 7 10" xfId="21612" xr:uid="{00000000-0005-0000-0000-00006F540000}"/>
    <cellStyle name="Normal 2 14 7 11" xfId="21613" xr:uid="{00000000-0005-0000-0000-000070540000}"/>
    <cellStyle name="Normal 2 14 7 2" xfId="21614" xr:uid="{00000000-0005-0000-0000-000071540000}"/>
    <cellStyle name="Normal 2 14 7 2 2" xfId="21615" xr:uid="{00000000-0005-0000-0000-000072540000}"/>
    <cellStyle name="Normal 2 14 7 2 2 2" xfId="21616" xr:uid="{00000000-0005-0000-0000-000073540000}"/>
    <cellStyle name="Normal 2 14 7 2 2 2 2" xfId="21617" xr:uid="{00000000-0005-0000-0000-000074540000}"/>
    <cellStyle name="Normal 2 14 7 2 2 2 3" xfId="21618" xr:uid="{00000000-0005-0000-0000-000075540000}"/>
    <cellStyle name="Normal 2 14 7 2 2 3" xfId="21619" xr:uid="{00000000-0005-0000-0000-000076540000}"/>
    <cellStyle name="Normal 2 14 7 2 2 4" xfId="21620" xr:uid="{00000000-0005-0000-0000-000077540000}"/>
    <cellStyle name="Normal 2 14 7 2 2 5" xfId="21621" xr:uid="{00000000-0005-0000-0000-000078540000}"/>
    <cellStyle name="Normal 2 14 7 2 2 6" xfId="21622" xr:uid="{00000000-0005-0000-0000-000079540000}"/>
    <cellStyle name="Normal 2 14 7 2 3" xfId="21623" xr:uid="{00000000-0005-0000-0000-00007A540000}"/>
    <cellStyle name="Normal 2 14 7 2 3 2" xfId="21624" xr:uid="{00000000-0005-0000-0000-00007B540000}"/>
    <cellStyle name="Normal 2 14 7 2 3 2 2" xfId="21625" xr:uid="{00000000-0005-0000-0000-00007C540000}"/>
    <cellStyle name="Normal 2 14 7 2 3 3" xfId="21626" xr:uid="{00000000-0005-0000-0000-00007D540000}"/>
    <cellStyle name="Normal 2 14 7 2 3 4" xfId="21627" xr:uid="{00000000-0005-0000-0000-00007E540000}"/>
    <cellStyle name="Normal 2 14 7 2 3 5" xfId="21628" xr:uid="{00000000-0005-0000-0000-00007F540000}"/>
    <cellStyle name="Normal 2 14 7 2 4" xfId="21629" xr:uid="{00000000-0005-0000-0000-000080540000}"/>
    <cellStyle name="Normal 2 14 7 2 4 2" xfId="21630" xr:uid="{00000000-0005-0000-0000-000081540000}"/>
    <cellStyle name="Normal 2 14 7 2 4 3" xfId="21631" xr:uid="{00000000-0005-0000-0000-000082540000}"/>
    <cellStyle name="Normal 2 14 7 2 4 4" xfId="21632" xr:uid="{00000000-0005-0000-0000-000083540000}"/>
    <cellStyle name="Normal 2 14 7 2 5" xfId="21633" xr:uid="{00000000-0005-0000-0000-000084540000}"/>
    <cellStyle name="Normal 2 14 7 2 5 2" xfId="21634" xr:uid="{00000000-0005-0000-0000-000085540000}"/>
    <cellStyle name="Normal 2 14 7 2 6" xfId="21635" xr:uid="{00000000-0005-0000-0000-000086540000}"/>
    <cellStyle name="Normal 2 14 7 2 7" xfId="21636" xr:uid="{00000000-0005-0000-0000-000087540000}"/>
    <cellStyle name="Normal 2 14 7 2 8" xfId="21637" xr:uid="{00000000-0005-0000-0000-000088540000}"/>
    <cellStyle name="Normal 2 14 7 2 9" xfId="21638" xr:uid="{00000000-0005-0000-0000-000089540000}"/>
    <cellStyle name="Normal 2 14 7 3" xfId="21639" xr:uid="{00000000-0005-0000-0000-00008A540000}"/>
    <cellStyle name="Normal 2 14 7 3 2" xfId="21640" xr:uid="{00000000-0005-0000-0000-00008B540000}"/>
    <cellStyle name="Normal 2 14 7 3 2 2" xfId="21641" xr:uid="{00000000-0005-0000-0000-00008C540000}"/>
    <cellStyle name="Normal 2 14 7 3 2 2 2" xfId="21642" xr:uid="{00000000-0005-0000-0000-00008D540000}"/>
    <cellStyle name="Normal 2 14 7 3 2 2 3" xfId="21643" xr:uid="{00000000-0005-0000-0000-00008E540000}"/>
    <cellStyle name="Normal 2 14 7 3 2 3" xfId="21644" xr:uid="{00000000-0005-0000-0000-00008F540000}"/>
    <cellStyle name="Normal 2 14 7 3 2 4" xfId="21645" xr:uid="{00000000-0005-0000-0000-000090540000}"/>
    <cellStyle name="Normal 2 14 7 3 2 5" xfId="21646" xr:uid="{00000000-0005-0000-0000-000091540000}"/>
    <cellStyle name="Normal 2 14 7 3 2 6" xfId="21647" xr:uid="{00000000-0005-0000-0000-000092540000}"/>
    <cellStyle name="Normal 2 14 7 3 3" xfId="21648" xr:uid="{00000000-0005-0000-0000-000093540000}"/>
    <cellStyle name="Normal 2 14 7 3 3 2" xfId="21649" xr:uid="{00000000-0005-0000-0000-000094540000}"/>
    <cellStyle name="Normal 2 14 7 3 3 2 2" xfId="21650" xr:uid="{00000000-0005-0000-0000-000095540000}"/>
    <cellStyle name="Normal 2 14 7 3 3 3" xfId="21651" xr:uid="{00000000-0005-0000-0000-000096540000}"/>
    <cellStyle name="Normal 2 14 7 3 3 4" xfId="21652" xr:uid="{00000000-0005-0000-0000-000097540000}"/>
    <cellStyle name="Normal 2 14 7 3 3 5" xfId="21653" xr:uid="{00000000-0005-0000-0000-000098540000}"/>
    <cellStyle name="Normal 2 14 7 3 4" xfId="21654" xr:uid="{00000000-0005-0000-0000-000099540000}"/>
    <cellStyle name="Normal 2 14 7 3 4 2" xfId="21655" xr:uid="{00000000-0005-0000-0000-00009A540000}"/>
    <cellStyle name="Normal 2 14 7 3 4 3" xfId="21656" xr:uid="{00000000-0005-0000-0000-00009B540000}"/>
    <cellStyle name="Normal 2 14 7 3 4 4" xfId="21657" xr:uid="{00000000-0005-0000-0000-00009C540000}"/>
    <cellStyle name="Normal 2 14 7 3 5" xfId="21658" xr:uid="{00000000-0005-0000-0000-00009D540000}"/>
    <cellStyle name="Normal 2 14 7 3 5 2" xfId="21659" xr:uid="{00000000-0005-0000-0000-00009E540000}"/>
    <cellStyle name="Normal 2 14 7 3 6" xfId="21660" xr:uid="{00000000-0005-0000-0000-00009F540000}"/>
    <cellStyle name="Normal 2 14 7 3 7" xfId="21661" xr:uid="{00000000-0005-0000-0000-0000A0540000}"/>
    <cellStyle name="Normal 2 14 7 3 8" xfId="21662" xr:uid="{00000000-0005-0000-0000-0000A1540000}"/>
    <cellStyle name="Normal 2 14 7 3 9" xfId="21663" xr:uid="{00000000-0005-0000-0000-0000A2540000}"/>
    <cellStyle name="Normal 2 14 7 4" xfId="21664" xr:uid="{00000000-0005-0000-0000-0000A3540000}"/>
    <cellStyle name="Normal 2 14 7 4 2" xfId="21665" xr:uid="{00000000-0005-0000-0000-0000A4540000}"/>
    <cellStyle name="Normal 2 14 7 4 2 2" xfId="21666" xr:uid="{00000000-0005-0000-0000-0000A5540000}"/>
    <cellStyle name="Normal 2 14 7 4 2 3" xfId="21667" xr:uid="{00000000-0005-0000-0000-0000A6540000}"/>
    <cellStyle name="Normal 2 14 7 4 3" xfId="21668" xr:uid="{00000000-0005-0000-0000-0000A7540000}"/>
    <cellStyle name="Normal 2 14 7 4 4" xfId="21669" xr:uid="{00000000-0005-0000-0000-0000A8540000}"/>
    <cellStyle name="Normal 2 14 7 4 5" xfId="21670" xr:uid="{00000000-0005-0000-0000-0000A9540000}"/>
    <cellStyle name="Normal 2 14 7 4 6" xfId="21671" xr:uid="{00000000-0005-0000-0000-0000AA540000}"/>
    <cellStyle name="Normal 2 14 7 5" xfId="21672" xr:uid="{00000000-0005-0000-0000-0000AB540000}"/>
    <cellStyle name="Normal 2 14 7 5 2" xfId="21673" xr:uid="{00000000-0005-0000-0000-0000AC540000}"/>
    <cellStyle name="Normal 2 14 7 5 2 2" xfId="21674" xr:uid="{00000000-0005-0000-0000-0000AD540000}"/>
    <cellStyle name="Normal 2 14 7 5 3" xfId="21675" xr:uid="{00000000-0005-0000-0000-0000AE540000}"/>
    <cellStyle name="Normal 2 14 7 5 4" xfId="21676" xr:uid="{00000000-0005-0000-0000-0000AF540000}"/>
    <cellStyle name="Normal 2 14 7 5 5" xfId="21677" xr:uid="{00000000-0005-0000-0000-0000B0540000}"/>
    <cellStyle name="Normal 2 14 7 6" xfId="21678" xr:uid="{00000000-0005-0000-0000-0000B1540000}"/>
    <cellStyle name="Normal 2 14 7 6 2" xfId="21679" xr:uid="{00000000-0005-0000-0000-0000B2540000}"/>
    <cellStyle name="Normal 2 14 7 6 3" xfId="21680" xr:uid="{00000000-0005-0000-0000-0000B3540000}"/>
    <cellStyle name="Normal 2 14 7 6 4" xfId="21681" xr:uid="{00000000-0005-0000-0000-0000B4540000}"/>
    <cellStyle name="Normal 2 14 7 7" xfId="21682" xr:uid="{00000000-0005-0000-0000-0000B5540000}"/>
    <cellStyle name="Normal 2 14 7 7 2" xfId="21683" xr:uid="{00000000-0005-0000-0000-0000B6540000}"/>
    <cellStyle name="Normal 2 14 7 8" xfId="21684" xr:uid="{00000000-0005-0000-0000-0000B7540000}"/>
    <cellStyle name="Normal 2 14 7 9" xfId="21685" xr:uid="{00000000-0005-0000-0000-0000B8540000}"/>
    <cellStyle name="Normal 2 14 8" xfId="21686" xr:uid="{00000000-0005-0000-0000-0000B9540000}"/>
    <cellStyle name="Normal 2 14 8 10" xfId="21687" xr:uid="{00000000-0005-0000-0000-0000BA540000}"/>
    <cellStyle name="Normal 2 14 8 2" xfId="21688" xr:uid="{00000000-0005-0000-0000-0000BB540000}"/>
    <cellStyle name="Normal 2 14 8 2 2" xfId="21689" xr:uid="{00000000-0005-0000-0000-0000BC540000}"/>
    <cellStyle name="Normal 2 14 8 2 2 2" xfId="21690" xr:uid="{00000000-0005-0000-0000-0000BD540000}"/>
    <cellStyle name="Normal 2 14 8 2 2 3" xfId="21691" xr:uid="{00000000-0005-0000-0000-0000BE540000}"/>
    <cellStyle name="Normal 2 14 8 2 3" xfId="21692" xr:uid="{00000000-0005-0000-0000-0000BF540000}"/>
    <cellStyle name="Normal 2 14 8 2 4" xfId="21693" xr:uid="{00000000-0005-0000-0000-0000C0540000}"/>
    <cellStyle name="Normal 2 14 8 2 5" xfId="21694" xr:uid="{00000000-0005-0000-0000-0000C1540000}"/>
    <cellStyle name="Normal 2 14 8 2 6" xfId="21695" xr:uid="{00000000-0005-0000-0000-0000C2540000}"/>
    <cellStyle name="Normal 2 14 8 3" xfId="21696" xr:uid="{00000000-0005-0000-0000-0000C3540000}"/>
    <cellStyle name="Normal 2 14 8 3 2" xfId="21697" xr:uid="{00000000-0005-0000-0000-0000C4540000}"/>
    <cellStyle name="Normal 2 14 8 3 2 2" xfId="21698" xr:uid="{00000000-0005-0000-0000-0000C5540000}"/>
    <cellStyle name="Normal 2 14 8 3 2 3" xfId="21699" xr:uid="{00000000-0005-0000-0000-0000C6540000}"/>
    <cellStyle name="Normal 2 14 8 3 3" xfId="21700" xr:uid="{00000000-0005-0000-0000-0000C7540000}"/>
    <cellStyle name="Normal 2 14 8 3 4" xfId="21701" xr:uid="{00000000-0005-0000-0000-0000C8540000}"/>
    <cellStyle name="Normal 2 14 8 3 5" xfId="21702" xr:uid="{00000000-0005-0000-0000-0000C9540000}"/>
    <cellStyle name="Normal 2 14 8 3 6" xfId="21703" xr:uid="{00000000-0005-0000-0000-0000CA540000}"/>
    <cellStyle name="Normal 2 14 8 4" xfId="21704" xr:uid="{00000000-0005-0000-0000-0000CB540000}"/>
    <cellStyle name="Normal 2 14 8 4 2" xfId="21705" xr:uid="{00000000-0005-0000-0000-0000CC540000}"/>
    <cellStyle name="Normal 2 14 8 4 2 2" xfId="21706" xr:uid="{00000000-0005-0000-0000-0000CD540000}"/>
    <cellStyle name="Normal 2 14 8 4 3" xfId="21707" xr:uid="{00000000-0005-0000-0000-0000CE540000}"/>
    <cellStyle name="Normal 2 14 8 4 4" xfId="21708" xr:uid="{00000000-0005-0000-0000-0000CF540000}"/>
    <cellStyle name="Normal 2 14 8 4 5" xfId="21709" xr:uid="{00000000-0005-0000-0000-0000D0540000}"/>
    <cellStyle name="Normal 2 14 8 5" xfId="21710" xr:uid="{00000000-0005-0000-0000-0000D1540000}"/>
    <cellStyle name="Normal 2 14 8 5 2" xfId="21711" xr:uid="{00000000-0005-0000-0000-0000D2540000}"/>
    <cellStyle name="Normal 2 14 8 5 3" xfId="21712" xr:uid="{00000000-0005-0000-0000-0000D3540000}"/>
    <cellStyle name="Normal 2 14 8 5 4" xfId="21713" xr:uid="{00000000-0005-0000-0000-0000D4540000}"/>
    <cellStyle name="Normal 2 14 8 6" xfId="21714" xr:uid="{00000000-0005-0000-0000-0000D5540000}"/>
    <cellStyle name="Normal 2 14 8 6 2" xfId="21715" xr:uid="{00000000-0005-0000-0000-0000D6540000}"/>
    <cellStyle name="Normal 2 14 8 7" xfId="21716" xr:uid="{00000000-0005-0000-0000-0000D7540000}"/>
    <cellStyle name="Normal 2 14 8 8" xfId="21717" xr:uid="{00000000-0005-0000-0000-0000D8540000}"/>
    <cellStyle name="Normal 2 14 8 9" xfId="21718" xr:uid="{00000000-0005-0000-0000-0000D9540000}"/>
    <cellStyle name="Normal 2 14 9" xfId="21719" xr:uid="{00000000-0005-0000-0000-0000DA540000}"/>
    <cellStyle name="Normal 2 14 9 10" xfId="21720" xr:uid="{00000000-0005-0000-0000-0000DB540000}"/>
    <cellStyle name="Normal 2 14 9 2" xfId="21721" xr:uid="{00000000-0005-0000-0000-0000DC540000}"/>
    <cellStyle name="Normal 2 14 9 2 2" xfId="21722" xr:uid="{00000000-0005-0000-0000-0000DD540000}"/>
    <cellStyle name="Normal 2 14 9 2 2 2" xfId="21723" xr:uid="{00000000-0005-0000-0000-0000DE540000}"/>
    <cellStyle name="Normal 2 14 9 2 2 3" xfId="21724" xr:uid="{00000000-0005-0000-0000-0000DF540000}"/>
    <cellStyle name="Normal 2 14 9 2 3" xfId="21725" xr:uid="{00000000-0005-0000-0000-0000E0540000}"/>
    <cellStyle name="Normal 2 14 9 2 4" xfId="21726" xr:uid="{00000000-0005-0000-0000-0000E1540000}"/>
    <cellStyle name="Normal 2 14 9 2 5" xfId="21727" xr:uid="{00000000-0005-0000-0000-0000E2540000}"/>
    <cellStyle name="Normal 2 14 9 2 6" xfId="21728" xr:uid="{00000000-0005-0000-0000-0000E3540000}"/>
    <cellStyle name="Normal 2 14 9 3" xfId="21729" xr:uid="{00000000-0005-0000-0000-0000E4540000}"/>
    <cellStyle name="Normal 2 14 9 3 2" xfId="21730" xr:uid="{00000000-0005-0000-0000-0000E5540000}"/>
    <cellStyle name="Normal 2 14 9 3 2 2" xfId="21731" xr:uid="{00000000-0005-0000-0000-0000E6540000}"/>
    <cellStyle name="Normal 2 14 9 3 2 3" xfId="21732" xr:uid="{00000000-0005-0000-0000-0000E7540000}"/>
    <cellStyle name="Normal 2 14 9 3 3" xfId="21733" xr:uid="{00000000-0005-0000-0000-0000E8540000}"/>
    <cellStyle name="Normal 2 14 9 3 4" xfId="21734" xr:uid="{00000000-0005-0000-0000-0000E9540000}"/>
    <cellStyle name="Normal 2 14 9 3 5" xfId="21735" xr:uid="{00000000-0005-0000-0000-0000EA540000}"/>
    <cellStyle name="Normal 2 14 9 3 6" xfId="21736" xr:uid="{00000000-0005-0000-0000-0000EB540000}"/>
    <cellStyle name="Normal 2 14 9 4" xfId="21737" xr:uid="{00000000-0005-0000-0000-0000EC540000}"/>
    <cellStyle name="Normal 2 14 9 4 2" xfId="21738" xr:uid="{00000000-0005-0000-0000-0000ED540000}"/>
    <cellStyle name="Normal 2 14 9 4 2 2" xfId="21739" xr:uid="{00000000-0005-0000-0000-0000EE540000}"/>
    <cellStyle name="Normal 2 14 9 4 3" xfId="21740" xr:uid="{00000000-0005-0000-0000-0000EF540000}"/>
    <cellStyle name="Normal 2 14 9 4 4" xfId="21741" xr:uid="{00000000-0005-0000-0000-0000F0540000}"/>
    <cellStyle name="Normal 2 14 9 4 5" xfId="21742" xr:uid="{00000000-0005-0000-0000-0000F1540000}"/>
    <cellStyle name="Normal 2 14 9 5" xfId="21743" xr:uid="{00000000-0005-0000-0000-0000F2540000}"/>
    <cellStyle name="Normal 2 14 9 5 2" xfId="21744" xr:uid="{00000000-0005-0000-0000-0000F3540000}"/>
    <cellStyle name="Normal 2 14 9 5 3" xfId="21745" xr:uid="{00000000-0005-0000-0000-0000F4540000}"/>
    <cellStyle name="Normal 2 14 9 5 4" xfId="21746" xr:uid="{00000000-0005-0000-0000-0000F5540000}"/>
    <cellStyle name="Normal 2 14 9 6" xfId="21747" xr:uid="{00000000-0005-0000-0000-0000F6540000}"/>
    <cellStyle name="Normal 2 14 9 6 2" xfId="21748" xr:uid="{00000000-0005-0000-0000-0000F7540000}"/>
    <cellStyle name="Normal 2 14 9 7" xfId="21749" xr:uid="{00000000-0005-0000-0000-0000F8540000}"/>
    <cellStyle name="Normal 2 14 9 8" xfId="21750" xr:uid="{00000000-0005-0000-0000-0000F9540000}"/>
    <cellStyle name="Normal 2 14 9 9" xfId="21751" xr:uid="{00000000-0005-0000-0000-0000FA540000}"/>
    <cellStyle name="Normal 2 15" xfId="21752" xr:uid="{00000000-0005-0000-0000-0000FB540000}"/>
    <cellStyle name="Normal 2 15 10" xfId="21753" xr:uid="{00000000-0005-0000-0000-0000FC540000}"/>
    <cellStyle name="Normal 2 15 10 10" xfId="21754" xr:uid="{00000000-0005-0000-0000-0000FD540000}"/>
    <cellStyle name="Normal 2 15 10 2" xfId="21755" xr:uid="{00000000-0005-0000-0000-0000FE540000}"/>
    <cellStyle name="Normal 2 15 10 2 2" xfId="21756" xr:uid="{00000000-0005-0000-0000-0000FF540000}"/>
    <cellStyle name="Normal 2 15 10 2 2 2" xfId="21757" xr:uid="{00000000-0005-0000-0000-000000550000}"/>
    <cellStyle name="Normal 2 15 10 2 2 3" xfId="21758" xr:uid="{00000000-0005-0000-0000-000001550000}"/>
    <cellStyle name="Normal 2 15 10 2 3" xfId="21759" xr:uid="{00000000-0005-0000-0000-000002550000}"/>
    <cellStyle name="Normal 2 15 10 2 4" xfId="21760" xr:uid="{00000000-0005-0000-0000-000003550000}"/>
    <cellStyle name="Normal 2 15 10 2 5" xfId="21761" xr:uid="{00000000-0005-0000-0000-000004550000}"/>
    <cellStyle name="Normal 2 15 10 2 6" xfId="21762" xr:uid="{00000000-0005-0000-0000-000005550000}"/>
    <cellStyle name="Normal 2 15 10 3" xfId="21763" xr:uid="{00000000-0005-0000-0000-000006550000}"/>
    <cellStyle name="Normal 2 15 10 3 2" xfId="21764" xr:uid="{00000000-0005-0000-0000-000007550000}"/>
    <cellStyle name="Normal 2 15 10 3 2 2" xfId="21765" xr:uid="{00000000-0005-0000-0000-000008550000}"/>
    <cellStyle name="Normal 2 15 10 3 2 3" xfId="21766" xr:uid="{00000000-0005-0000-0000-000009550000}"/>
    <cellStyle name="Normal 2 15 10 3 3" xfId="21767" xr:uid="{00000000-0005-0000-0000-00000A550000}"/>
    <cellStyle name="Normal 2 15 10 3 4" xfId="21768" xr:uid="{00000000-0005-0000-0000-00000B550000}"/>
    <cellStyle name="Normal 2 15 10 3 5" xfId="21769" xr:uid="{00000000-0005-0000-0000-00000C550000}"/>
    <cellStyle name="Normal 2 15 10 3 6" xfId="21770" xr:uid="{00000000-0005-0000-0000-00000D550000}"/>
    <cellStyle name="Normal 2 15 10 4" xfId="21771" xr:uid="{00000000-0005-0000-0000-00000E550000}"/>
    <cellStyle name="Normal 2 15 10 4 2" xfId="21772" xr:uid="{00000000-0005-0000-0000-00000F550000}"/>
    <cellStyle name="Normal 2 15 10 4 2 2" xfId="21773" xr:uid="{00000000-0005-0000-0000-000010550000}"/>
    <cellStyle name="Normal 2 15 10 4 3" xfId="21774" xr:uid="{00000000-0005-0000-0000-000011550000}"/>
    <cellStyle name="Normal 2 15 10 4 4" xfId="21775" xr:uid="{00000000-0005-0000-0000-000012550000}"/>
    <cellStyle name="Normal 2 15 10 4 5" xfId="21776" xr:uid="{00000000-0005-0000-0000-000013550000}"/>
    <cellStyle name="Normal 2 15 10 5" xfId="21777" xr:uid="{00000000-0005-0000-0000-000014550000}"/>
    <cellStyle name="Normal 2 15 10 5 2" xfId="21778" xr:uid="{00000000-0005-0000-0000-000015550000}"/>
    <cellStyle name="Normal 2 15 10 5 3" xfId="21779" xr:uid="{00000000-0005-0000-0000-000016550000}"/>
    <cellStyle name="Normal 2 15 10 5 4" xfId="21780" xr:uid="{00000000-0005-0000-0000-000017550000}"/>
    <cellStyle name="Normal 2 15 10 6" xfId="21781" xr:uid="{00000000-0005-0000-0000-000018550000}"/>
    <cellStyle name="Normal 2 15 10 6 2" xfId="21782" xr:uid="{00000000-0005-0000-0000-000019550000}"/>
    <cellStyle name="Normal 2 15 10 7" xfId="21783" xr:uid="{00000000-0005-0000-0000-00001A550000}"/>
    <cellStyle name="Normal 2 15 10 8" xfId="21784" xr:uid="{00000000-0005-0000-0000-00001B550000}"/>
    <cellStyle name="Normal 2 15 10 9" xfId="21785" xr:uid="{00000000-0005-0000-0000-00001C550000}"/>
    <cellStyle name="Normal 2 15 11" xfId="21786" xr:uid="{00000000-0005-0000-0000-00001D550000}"/>
    <cellStyle name="Normal 2 15 11 10" xfId="21787" xr:uid="{00000000-0005-0000-0000-00001E550000}"/>
    <cellStyle name="Normal 2 15 11 2" xfId="21788" xr:uid="{00000000-0005-0000-0000-00001F550000}"/>
    <cellStyle name="Normal 2 15 11 2 2" xfId="21789" xr:uid="{00000000-0005-0000-0000-000020550000}"/>
    <cellStyle name="Normal 2 15 11 2 2 2" xfId="21790" xr:uid="{00000000-0005-0000-0000-000021550000}"/>
    <cellStyle name="Normal 2 15 11 2 2 3" xfId="21791" xr:uid="{00000000-0005-0000-0000-000022550000}"/>
    <cellStyle name="Normal 2 15 11 2 3" xfId="21792" xr:uid="{00000000-0005-0000-0000-000023550000}"/>
    <cellStyle name="Normal 2 15 11 2 4" xfId="21793" xr:uid="{00000000-0005-0000-0000-000024550000}"/>
    <cellStyle name="Normal 2 15 11 2 5" xfId="21794" xr:uid="{00000000-0005-0000-0000-000025550000}"/>
    <cellStyle name="Normal 2 15 11 2 6" xfId="21795" xr:uid="{00000000-0005-0000-0000-000026550000}"/>
    <cellStyle name="Normal 2 15 11 3" xfId="21796" xr:uid="{00000000-0005-0000-0000-000027550000}"/>
    <cellStyle name="Normal 2 15 11 3 2" xfId="21797" xr:uid="{00000000-0005-0000-0000-000028550000}"/>
    <cellStyle name="Normal 2 15 11 3 2 2" xfId="21798" xr:uid="{00000000-0005-0000-0000-000029550000}"/>
    <cellStyle name="Normal 2 15 11 3 2 3" xfId="21799" xr:uid="{00000000-0005-0000-0000-00002A550000}"/>
    <cellStyle name="Normal 2 15 11 3 3" xfId="21800" xr:uid="{00000000-0005-0000-0000-00002B550000}"/>
    <cellStyle name="Normal 2 15 11 3 4" xfId="21801" xr:uid="{00000000-0005-0000-0000-00002C550000}"/>
    <cellStyle name="Normal 2 15 11 3 5" xfId="21802" xr:uid="{00000000-0005-0000-0000-00002D550000}"/>
    <cellStyle name="Normal 2 15 11 3 6" xfId="21803" xr:uid="{00000000-0005-0000-0000-00002E550000}"/>
    <cellStyle name="Normal 2 15 11 4" xfId="21804" xr:uid="{00000000-0005-0000-0000-00002F550000}"/>
    <cellStyle name="Normal 2 15 11 4 2" xfId="21805" xr:uid="{00000000-0005-0000-0000-000030550000}"/>
    <cellStyle name="Normal 2 15 11 4 2 2" xfId="21806" xr:uid="{00000000-0005-0000-0000-000031550000}"/>
    <cellStyle name="Normal 2 15 11 4 3" xfId="21807" xr:uid="{00000000-0005-0000-0000-000032550000}"/>
    <cellStyle name="Normal 2 15 11 4 4" xfId="21808" xr:uid="{00000000-0005-0000-0000-000033550000}"/>
    <cellStyle name="Normal 2 15 11 4 5" xfId="21809" xr:uid="{00000000-0005-0000-0000-000034550000}"/>
    <cellStyle name="Normal 2 15 11 5" xfId="21810" xr:uid="{00000000-0005-0000-0000-000035550000}"/>
    <cellStyle name="Normal 2 15 11 5 2" xfId="21811" xr:uid="{00000000-0005-0000-0000-000036550000}"/>
    <cellStyle name="Normal 2 15 11 5 3" xfId="21812" xr:uid="{00000000-0005-0000-0000-000037550000}"/>
    <cellStyle name="Normal 2 15 11 5 4" xfId="21813" xr:uid="{00000000-0005-0000-0000-000038550000}"/>
    <cellStyle name="Normal 2 15 11 6" xfId="21814" xr:uid="{00000000-0005-0000-0000-000039550000}"/>
    <cellStyle name="Normal 2 15 11 6 2" xfId="21815" xr:uid="{00000000-0005-0000-0000-00003A550000}"/>
    <cellStyle name="Normal 2 15 11 7" xfId="21816" xr:uid="{00000000-0005-0000-0000-00003B550000}"/>
    <cellStyle name="Normal 2 15 11 8" xfId="21817" xr:uid="{00000000-0005-0000-0000-00003C550000}"/>
    <cellStyle name="Normal 2 15 11 9" xfId="21818" xr:uid="{00000000-0005-0000-0000-00003D550000}"/>
    <cellStyle name="Normal 2 15 12" xfId="21819" xr:uid="{00000000-0005-0000-0000-00003E550000}"/>
    <cellStyle name="Normal 2 15 12 10" xfId="21820" xr:uid="{00000000-0005-0000-0000-00003F550000}"/>
    <cellStyle name="Normal 2 15 12 2" xfId="21821" xr:uid="{00000000-0005-0000-0000-000040550000}"/>
    <cellStyle name="Normal 2 15 12 2 2" xfId="21822" xr:uid="{00000000-0005-0000-0000-000041550000}"/>
    <cellStyle name="Normal 2 15 12 2 2 2" xfId="21823" xr:uid="{00000000-0005-0000-0000-000042550000}"/>
    <cellStyle name="Normal 2 15 12 2 2 3" xfId="21824" xr:uid="{00000000-0005-0000-0000-000043550000}"/>
    <cellStyle name="Normal 2 15 12 2 3" xfId="21825" xr:uid="{00000000-0005-0000-0000-000044550000}"/>
    <cellStyle name="Normal 2 15 12 2 4" xfId="21826" xr:uid="{00000000-0005-0000-0000-000045550000}"/>
    <cellStyle name="Normal 2 15 12 2 5" xfId="21827" xr:uid="{00000000-0005-0000-0000-000046550000}"/>
    <cellStyle name="Normal 2 15 12 2 6" xfId="21828" xr:uid="{00000000-0005-0000-0000-000047550000}"/>
    <cellStyle name="Normal 2 15 12 3" xfId="21829" xr:uid="{00000000-0005-0000-0000-000048550000}"/>
    <cellStyle name="Normal 2 15 12 3 2" xfId="21830" xr:uid="{00000000-0005-0000-0000-000049550000}"/>
    <cellStyle name="Normal 2 15 12 3 2 2" xfId="21831" xr:uid="{00000000-0005-0000-0000-00004A550000}"/>
    <cellStyle name="Normal 2 15 12 3 2 3" xfId="21832" xr:uid="{00000000-0005-0000-0000-00004B550000}"/>
    <cellStyle name="Normal 2 15 12 3 3" xfId="21833" xr:uid="{00000000-0005-0000-0000-00004C550000}"/>
    <cellStyle name="Normal 2 15 12 3 4" xfId="21834" xr:uid="{00000000-0005-0000-0000-00004D550000}"/>
    <cellStyle name="Normal 2 15 12 3 5" xfId="21835" xr:uid="{00000000-0005-0000-0000-00004E550000}"/>
    <cellStyle name="Normal 2 15 12 3 6" xfId="21836" xr:uid="{00000000-0005-0000-0000-00004F550000}"/>
    <cellStyle name="Normal 2 15 12 4" xfId="21837" xr:uid="{00000000-0005-0000-0000-000050550000}"/>
    <cellStyle name="Normal 2 15 12 4 2" xfId="21838" xr:uid="{00000000-0005-0000-0000-000051550000}"/>
    <cellStyle name="Normal 2 15 12 4 2 2" xfId="21839" xr:uid="{00000000-0005-0000-0000-000052550000}"/>
    <cellStyle name="Normal 2 15 12 4 3" xfId="21840" xr:uid="{00000000-0005-0000-0000-000053550000}"/>
    <cellStyle name="Normal 2 15 12 4 4" xfId="21841" xr:uid="{00000000-0005-0000-0000-000054550000}"/>
    <cellStyle name="Normal 2 15 12 4 5" xfId="21842" xr:uid="{00000000-0005-0000-0000-000055550000}"/>
    <cellStyle name="Normal 2 15 12 5" xfId="21843" xr:uid="{00000000-0005-0000-0000-000056550000}"/>
    <cellStyle name="Normal 2 15 12 5 2" xfId="21844" xr:uid="{00000000-0005-0000-0000-000057550000}"/>
    <cellStyle name="Normal 2 15 12 5 3" xfId="21845" xr:uid="{00000000-0005-0000-0000-000058550000}"/>
    <cellStyle name="Normal 2 15 12 5 4" xfId="21846" xr:uid="{00000000-0005-0000-0000-000059550000}"/>
    <cellStyle name="Normal 2 15 12 6" xfId="21847" xr:uid="{00000000-0005-0000-0000-00005A550000}"/>
    <cellStyle name="Normal 2 15 12 6 2" xfId="21848" xr:uid="{00000000-0005-0000-0000-00005B550000}"/>
    <cellStyle name="Normal 2 15 12 7" xfId="21849" xr:uid="{00000000-0005-0000-0000-00005C550000}"/>
    <cellStyle name="Normal 2 15 12 8" xfId="21850" xr:uid="{00000000-0005-0000-0000-00005D550000}"/>
    <cellStyle name="Normal 2 15 12 9" xfId="21851" xr:uid="{00000000-0005-0000-0000-00005E550000}"/>
    <cellStyle name="Normal 2 15 13" xfId="21852" xr:uid="{00000000-0005-0000-0000-00005F550000}"/>
    <cellStyle name="Normal 2 15 13 2" xfId="21853" xr:uid="{00000000-0005-0000-0000-000060550000}"/>
    <cellStyle name="Normal 2 15 13 2 2" xfId="21854" xr:uid="{00000000-0005-0000-0000-000061550000}"/>
    <cellStyle name="Normal 2 15 13 2 2 2" xfId="21855" xr:uid="{00000000-0005-0000-0000-000062550000}"/>
    <cellStyle name="Normal 2 15 13 2 2 3" xfId="21856" xr:uid="{00000000-0005-0000-0000-000063550000}"/>
    <cellStyle name="Normal 2 15 13 2 3" xfId="21857" xr:uid="{00000000-0005-0000-0000-000064550000}"/>
    <cellStyle name="Normal 2 15 13 2 4" xfId="21858" xr:uid="{00000000-0005-0000-0000-000065550000}"/>
    <cellStyle name="Normal 2 15 13 2 5" xfId="21859" xr:uid="{00000000-0005-0000-0000-000066550000}"/>
    <cellStyle name="Normal 2 15 13 2 6" xfId="21860" xr:uid="{00000000-0005-0000-0000-000067550000}"/>
    <cellStyle name="Normal 2 15 13 3" xfId="21861" xr:uid="{00000000-0005-0000-0000-000068550000}"/>
    <cellStyle name="Normal 2 15 13 3 2" xfId="21862" xr:uid="{00000000-0005-0000-0000-000069550000}"/>
    <cellStyle name="Normal 2 15 13 3 2 2" xfId="21863" xr:uid="{00000000-0005-0000-0000-00006A550000}"/>
    <cellStyle name="Normal 2 15 13 3 3" xfId="21864" xr:uid="{00000000-0005-0000-0000-00006B550000}"/>
    <cellStyle name="Normal 2 15 13 3 4" xfId="21865" xr:uid="{00000000-0005-0000-0000-00006C550000}"/>
    <cellStyle name="Normal 2 15 13 3 5" xfId="21866" xr:uid="{00000000-0005-0000-0000-00006D550000}"/>
    <cellStyle name="Normal 2 15 13 4" xfId="21867" xr:uid="{00000000-0005-0000-0000-00006E550000}"/>
    <cellStyle name="Normal 2 15 13 4 2" xfId="21868" xr:uid="{00000000-0005-0000-0000-00006F550000}"/>
    <cellStyle name="Normal 2 15 13 4 3" xfId="21869" xr:uid="{00000000-0005-0000-0000-000070550000}"/>
    <cellStyle name="Normal 2 15 13 4 4" xfId="21870" xr:uid="{00000000-0005-0000-0000-000071550000}"/>
    <cellStyle name="Normal 2 15 13 5" xfId="21871" xr:uid="{00000000-0005-0000-0000-000072550000}"/>
    <cellStyle name="Normal 2 15 13 5 2" xfId="21872" xr:uid="{00000000-0005-0000-0000-000073550000}"/>
    <cellStyle name="Normal 2 15 13 6" xfId="21873" xr:uid="{00000000-0005-0000-0000-000074550000}"/>
    <cellStyle name="Normal 2 15 13 7" xfId="21874" xr:uid="{00000000-0005-0000-0000-000075550000}"/>
    <cellStyle name="Normal 2 15 13 8" xfId="21875" xr:uid="{00000000-0005-0000-0000-000076550000}"/>
    <cellStyle name="Normal 2 15 13 9" xfId="21876" xr:uid="{00000000-0005-0000-0000-000077550000}"/>
    <cellStyle name="Normal 2 15 14" xfId="21877" xr:uid="{00000000-0005-0000-0000-000078550000}"/>
    <cellStyle name="Normal 2 15 14 2" xfId="21878" xr:uid="{00000000-0005-0000-0000-000079550000}"/>
    <cellStyle name="Normal 2 15 14 2 2" xfId="21879" xr:uid="{00000000-0005-0000-0000-00007A550000}"/>
    <cellStyle name="Normal 2 15 14 2 2 2" xfId="21880" xr:uid="{00000000-0005-0000-0000-00007B550000}"/>
    <cellStyle name="Normal 2 15 14 2 2 3" xfId="21881" xr:uid="{00000000-0005-0000-0000-00007C550000}"/>
    <cellStyle name="Normal 2 15 14 2 3" xfId="21882" xr:uid="{00000000-0005-0000-0000-00007D550000}"/>
    <cellStyle name="Normal 2 15 14 2 4" xfId="21883" xr:uid="{00000000-0005-0000-0000-00007E550000}"/>
    <cellStyle name="Normal 2 15 14 2 5" xfId="21884" xr:uid="{00000000-0005-0000-0000-00007F550000}"/>
    <cellStyle name="Normal 2 15 14 2 6" xfId="21885" xr:uid="{00000000-0005-0000-0000-000080550000}"/>
    <cellStyle name="Normal 2 15 14 3" xfId="21886" xr:uid="{00000000-0005-0000-0000-000081550000}"/>
    <cellStyle name="Normal 2 15 14 3 2" xfId="21887" xr:uid="{00000000-0005-0000-0000-000082550000}"/>
    <cellStyle name="Normal 2 15 14 3 2 2" xfId="21888" xr:uid="{00000000-0005-0000-0000-000083550000}"/>
    <cellStyle name="Normal 2 15 14 3 3" xfId="21889" xr:uid="{00000000-0005-0000-0000-000084550000}"/>
    <cellStyle name="Normal 2 15 14 3 4" xfId="21890" xr:uid="{00000000-0005-0000-0000-000085550000}"/>
    <cellStyle name="Normal 2 15 14 3 5" xfId="21891" xr:uid="{00000000-0005-0000-0000-000086550000}"/>
    <cellStyle name="Normal 2 15 14 4" xfId="21892" xr:uid="{00000000-0005-0000-0000-000087550000}"/>
    <cellStyle name="Normal 2 15 14 4 2" xfId="21893" xr:uid="{00000000-0005-0000-0000-000088550000}"/>
    <cellStyle name="Normal 2 15 14 4 3" xfId="21894" xr:uid="{00000000-0005-0000-0000-000089550000}"/>
    <cellStyle name="Normal 2 15 14 4 4" xfId="21895" xr:uid="{00000000-0005-0000-0000-00008A550000}"/>
    <cellStyle name="Normal 2 15 14 5" xfId="21896" xr:uid="{00000000-0005-0000-0000-00008B550000}"/>
    <cellStyle name="Normal 2 15 14 5 2" xfId="21897" xr:uid="{00000000-0005-0000-0000-00008C550000}"/>
    <cellStyle name="Normal 2 15 14 6" xfId="21898" xr:uid="{00000000-0005-0000-0000-00008D550000}"/>
    <cellStyle name="Normal 2 15 14 7" xfId="21899" xr:uid="{00000000-0005-0000-0000-00008E550000}"/>
    <cellStyle name="Normal 2 15 14 8" xfId="21900" xr:uid="{00000000-0005-0000-0000-00008F550000}"/>
    <cellStyle name="Normal 2 15 14 9" xfId="21901" xr:uid="{00000000-0005-0000-0000-000090550000}"/>
    <cellStyle name="Normal 2 15 15" xfId="21902" xr:uid="{00000000-0005-0000-0000-000091550000}"/>
    <cellStyle name="Normal 2 15 15 2" xfId="21903" xr:uid="{00000000-0005-0000-0000-000092550000}"/>
    <cellStyle name="Normal 2 15 15 2 2" xfId="21904" xr:uid="{00000000-0005-0000-0000-000093550000}"/>
    <cellStyle name="Normal 2 15 15 2 3" xfId="21905" xr:uid="{00000000-0005-0000-0000-000094550000}"/>
    <cellStyle name="Normal 2 15 15 3" xfId="21906" xr:uid="{00000000-0005-0000-0000-000095550000}"/>
    <cellStyle name="Normal 2 15 15 4" xfId="21907" xr:uid="{00000000-0005-0000-0000-000096550000}"/>
    <cellStyle name="Normal 2 15 15 5" xfId="21908" xr:uid="{00000000-0005-0000-0000-000097550000}"/>
    <cellStyle name="Normal 2 15 15 6" xfId="21909" xr:uid="{00000000-0005-0000-0000-000098550000}"/>
    <cellStyle name="Normal 2 15 16" xfId="21910" xr:uid="{00000000-0005-0000-0000-000099550000}"/>
    <cellStyle name="Normal 2 15 16 2" xfId="21911" xr:uid="{00000000-0005-0000-0000-00009A550000}"/>
    <cellStyle name="Normal 2 15 16 2 2" xfId="21912" xr:uid="{00000000-0005-0000-0000-00009B550000}"/>
    <cellStyle name="Normal 2 15 16 3" xfId="21913" xr:uid="{00000000-0005-0000-0000-00009C550000}"/>
    <cellStyle name="Normal 2 15 16 4" xfId="21914" xr:uid="{00000000-0005-0000-0000-00009D550000}"/>
    <cellStyle name="Normal 2 15 16 5" xfId="21915" xr:uid="{00000000-0005-0000-0000-00009E550000}"/>
    <cellStyle name="Normal 2 15 17" xfId="21916" xr:uid="{00000000-0005-0000-0000-00009F550000}"/>
    <cellStyle name="Normal 2 15 17 2" xfId="21917" xr:uid="{00000000-0005-0000-0000-0000A0550000}"/>
    <cellStyle name="Normal 2 15 17 2 2" xfId="21918" xr:uid="{00000000-0005-0000-0000-0000A1550000}"/>
    <cellStyle name="Normal 2 15 17 3" xfId="21919" xr:uid="{00000000-0005-0000-0000-0000A2550000}"/>
    <cellStyle name="Normal 2 15 17 4" xfId="21920" xr:uid="{00000000-0005-0000-0000-0000A3550000}"/>
    <cellStyle name="Normal 2 15 17 5" xfId="21921" xr:uid="{00000000-0005-0000-0000-0000A4550000}"/>
    <cellStyle name="Normal 2 15 18" xfId="21922" xr:uid="{00000000-0005-0000-0000-0000A5550000}"/>
    <cellStyle name="Normal 2 15 18 2" xfId="21923" xr:uid="{00000000-0005-0000-0000-0000A6550000}"/>
    <cellStyle name="Normal 2 15 19" xfId="21924" xr:uid="{00000000-0005-0000-0000-0000A7550000}"/>
    <cellStyle name="Normal 2 15 2" xfId="21925" xr:uid="{00000000-0005-0000-0000-0000A8550000}"/>
    <cellStyle name="Normal 2 15 2 10" xfId="21926" xr:uid="{00000000-0005-0000-0000-0000A9550000}"/>
    <cellStyle name="Normal 2 15 2 11" xfId="21927" xr:uid="{00000000-0005-0000-0000-0000AA550000}"/>
    <cellStyle name="Normal 2 15 2 2" xfId="21928" xr:uid="{00000000-0005-0000-0000-0000AB550000}"/>
    <cellStyle name="Normal 2 15 2 2 2" xfId="21929" xr:uid="{00000000-0005-0000-0000-0000AC550000}"/>
    <cellStyle name="Normal 2 15 2 2 2 2" xfId="21930" xr:uid="{00000000-0005-0000-0000-0000AD550000}"/>
    <cellStyle name="Normal 2 15 2 2 2 2 2" xfId="21931" xr:uid="{00000000-0005-0000-0000-0000AE550000}"/>
    <cellStyle name="Normal 2 15 2 2 2 2 3" xfId="21932" xr:uid="{00000000-0005-0000-0000-0000AF550000}"/>
    <cellStyle name="Normal 2 15 2 2 2 3" xfId="21933" xr:uid="{00000000-0005-0000-0000-0000B0550000}"/>
    <cellStyle name="Normal 2 15 2 2 2 4" xfId="21934" xr:uid="{00000000-0005-0000-0000-0000B1550000}"/>
    <cellStyle name="Normal 2 15 2 2 2 5" xfId="21935" xr:uid="{00000000-0005-0000-0000-0000B2550000}"/>
    <cellStyle name="Normal 2 15 2 2 2 6" xfId="21936" xr:uid="{00000000-0005-0000-0000-0000B3550000}"/>
    <cellStyle name="Normal 2 15 2 2 3" xfId="21937" xr:uid="{00000000-0005-0000-0000-0000B4550000}"/>
    <cellStyle name="Normal 2 15 2 2 3 2" xfId="21938" xr:uid="{00000000-0005-0000-0000-0000B5550000}"/>
    <cellStyle name="Normal 2 15 2 2 3 2 2" xfId="21939" xr:uid="{00000000-0005-0000-0000-0000B6550000}"/>
    <cellStyle name="Normal 2 15 2 2 3 3" xfId="21940" xr:uid="{00000000-0005-0000-0000-0000B7550000}"/>
    <cellStyle name="Normal 2 15 2 2 3 4" xfId="21941" xr:uid="{00000000-0005-0000-0000-0000B8550000}"/>
    <cellStyle name="Normal 2 15 2 2 3 5" xfId="21942" xr:uid="{00000000-0005-0000-0000-0000B9550000}"/>
    <cellStyle name="Normal 2 15 2 2 4" xfId="21943" xr:uid="{00000000-0005-0000-0000-0000BA550000}"/>
    <cellStyle name="Normal 2 15 2 2 4 2" xfId="21944" xr:uid="{00000000-0005-0000-0000-0000BB550000}"/>
    <cellStyle name="Normal 2 15 2 2 4 3" xfId="21945" xr:uid="{00000000-0005-0000-0000-0000BC550000}"/>
    <cellStyle name="Normal 2 15 2 2 4 4" xfId="21946" xr:uid="{00000000-0005-0000-0000-0000BD550000}"/>
    <cellStyle name="Normal 2 15 2 2 5" xfId="21947" xr:uid="{00000000-0005-0000-0000-0000BE550000}"/>
    <cellStyle name="Normal 2 15 2 2 5 2" xfId="21948" xr:uid="{00000000-0005-0000-0000-0000BF550000}"/>
    <cellStyle name="Normal 2 15 2 2 6" xfId="21949" xr:uid="{00000000-0005-0000-0000-0000C0550000}"/>
    <cellStyle name="Normal 2 15 2 2 7" xfId="21950" xr:uid="{00000000-0005-0000-0000-0000C1550000}"/>
    <cellStyle name="Normal 2 15 2 2 8" xfId="21951" xr:uid="{00000000-0005-0000-0000-0000C2550000}"/>
    <cellStyle name="Normal 2 15 2 2 9" xfId="21952" xr:uid="{00000000-0005-0000-0000-0000C3550000}"/>
    <cellStyle name="Normal 2 15 2 3" xfId="21953" xr:uid="{00000000-0005-0000-0000-0000C4550000}"/>
    <cellStyle name="Normal 2 15 2 3 2" xfId="21954" xr:uid="{00000000-0005-0000-0000-0000C5550000}"/>
    <cellStyle name="Normal 2 15 2 3 2 2" xfId="21955" xr:uid="{00000000-0005-0000-0000-0000C6550000}"/>
    <cellStyle name="Normal 2 15 2 3 2 2 2" xfId="21956" xr:uid="{00000000-0005-0000-0000-0000C7550000}"/>
    <cellStyle name="Normal 2 15 2 3 2 2 3" xfId="21957" xr:uid="{00000000-0005-0000-0000-0000C8550000}"/>
    <cellStyle name="Normal 2 15 2 3 2 3" xfId="21958" xr:uid="{00000000-0005-0000-0000-0000C9550000}"/>
    <cellStyle name="Normal 2 15 2 3 2 4" xfId="21959" xr:uid="{00000000-0005-0000-0000-0000CA550000}"/>
    <cellStyle name="Normal 2 15 2 3 2 5" xfId="21960" xr:uid="{00000000-0005-0000-0000-0000CB550000}"/>
    <cellStyle name="Normal 2 15 2 3 2 6" xfId="21961" xr:uid="{00000000-0005-0000-0000-0000CC550000}"/>
    <cellStyle name="Normal 2 15 2 3 3" xfId="21962" xr:uid="{00000000-0005-0000-0000-0000CD550000}"/>
    <cellStyle name="Normal 2 15 2 3 3 2" xfId="21963" xr:uid="{00000000-0005-0000-0000-0000CE550000}"/>
    <cellStyle name="Normal 2 15 2 3 3 2 2" xfId="21964" xr:uid="{00000000-0005-0000-0000-0000CF550000}"/>
    <cellStyle name="Normal 2 15 2 3 3 3" xfId="21965" xr:uid="{00000000-0005-0000-0000-0000D0550000}"/>
    <cellStyle name="Normal 2 15 2 3 3 4" xfId="21966" xr:uid="{00000000-0005-0000-0000-0000D1550000}"/>
    <cellStyle name="Normal 2 15 2 3 3 5" xfId="21967" xr:uid="{00000000-0005-0000-0000-0000D2550000}"/>
    <cellStyle name="Normal 2 15 2 3 4" xfId="21968" xr:uid="{00000000-0005-0000-0000-0000D3550000}"/>
    <cellStyle name="Normal 2 15 2 3 4 2" xfId="21969" xr:uid="{00000000-0005-0000-0000-0000D4550000}"/>
    <cellStyle name="Normal 2 15 2 3 4 3" xfId="21970" xr:uid="{00000000-0005-0000-0000-0000D5550000}"/>
    <cellStyle name="Normal 2 15 2 3 4 4" xfId="21971" xr:uid="{00000000-0005-0000-0000-0000D6550000}"/>
    <cellStyle name="Normal 2 15 2 3 5" xfId="21972" xr:uid="{00000000-0005-0000-0000-0000D7550000}"/>
    <cellStyle name="Normal 2 15 2 3 5 2" xfId="21973" xr:uid="{00000000-0005-0000-0000-0000D8550000}"/>
    <cellStyle name="Normal 2 15 2 3 6" xfId="21974" xr:uid="{00000000-0005-0000-0000-0000D9550000}"/>
    <cellStyle name="Normal 2 15 2 3 7" xfId="21975" xr:uid="{00000000-0005-0000-0000-0000DA550000}"/>
    <cellStyle name="Normal 2 15 2 3 8" xfId="21976" xr:uid="{00000000-0005-0000-0000-0000DB550000}"/>
    <cellStyle name="Normal 2 15 2 3 9" xfId="21977" xr:uid="{00000000-0005-0000-0000-0000DC550000}"/>
    <cellStyle name="Normal 2 15 2 4" xfId="21978" xr:uid="{00000000-0005-0000-0000-0000DD550000}"/>
    <cellStyle name="Normal 2 15 2 4 2" xfId="21979" xr:uid="{00000000-0005-0000-0000-0000DE550000}"/>
    <cellStyle name="Normal 2 15 2 4 2 2" xfId="21980" xr:uid="{00000000-0005-0000-0000-0000DF550000}"/>
    <cellStyle name="Normal 2 15 2 4 2 3" xfId="21981" xr:uid="{00000000-0005-0000-0000-0000E0550000}"/>
    <cellStyle name="Normal 2 15 2 4 3" xfId="21982" xr:uid="{00000000-0005-0000-0000-0000E1550000}"/>
    <cellStyle name="Normal 2 15 2 4 4" xfId="21983" xr:uid="{00000000-0005-0000-0000-0000E2550000}"/>
    <cellStyle name="Normal 2 15 2 4 5" xfId="21984" xr:uid="{00000000-0005-0000-0000-0000E3550000}"/>
    <cellStyle name="Normal 2 15 2 4 6" xfId="21985" xr:uid="{00000000-0005-0000-0000-0000E4550000}"/>
    <cellStyle name="Normal 2 15 2 5" xfId="21986" xr:uid="{00000000-0005-0000-0000-0000E5550000}"/>
    <cellStyle name="Normal 2 15 2 5 2" xfId="21987" xr:uid="{00000000-0005-0000-0000-0000E6550000}"/>
    <cellStyle name="Normal 2 15 2 5 2 2" xfId="21988" xr:uid="{00000000-0005-0000-0000-0000E7550000}"/>
    <cellStyle name="Normal 2 15 2 5 3" xfId="21989" xr:uid="{00000000-0005-0000-0000-0000E8550000}"/>
    <cellStyle name="Normal 2 15 2 5 4" xfId="21990" xr:uid="{00000000-0005-0000-0000-0000E9550000}"/>
    <cellStyle name="Normal 2 15 2 5 5" xfId="21991" xr:uid="{00000000-0005-0000-0000-0000EA550000}"/>
    <cellStyle name="Normal 2 15 2 6" xfId="21992" xr:uid="{00000000-0005-0000-0000-0000EB550000}"/>
    <cellStyle name="Normal 2 15 2 6 2" xfId="21993" xr:uid="{00000000-0005-0000-0000-0000EC550000}"/>
    <cellStyle name="Normal 2 15 2 6 3" xfId="21994" xr:uid="{00000000-0005-0000-0000-0000ED550000}"/>
    <cellStyle name="Normal 2 15 2 6 4" xfId="21995" xr:uid="{00000000-0005-0000-0000-0000EE550000}"/>
    <cellStyle name="Normal 2 15 2 7" xfId="21996" xr:uid="{00000000-0005-0000-0000-0000EF550000}"/>
    <cellStyle name="Normal 2 15 2 7 2" xfId="21997" xr:uid="{00000000-0005-0000-0000-0000F0550000}"/>
    <cellStyle name="Normal 2 15 2 8" xfId="21998" xr:uid="{00000000-0005-0000-0000-0000F1550000}"/>
    <cellStyle name="Normal 2 15 2 9" xfId="21999" xr:uid="{00000000-0005-0000-0000-0000F2550000}"/>
    <cellStyle name="Normal 2 15 20" xfId="22000" xr:uid="{00000000-0005-0000-0000-0000F3550000}"/>
    <cellStyle name="Normal 2 15 21" xfId="22001" xr:uid="{00000000-0005-0000-0000-0000F4550000}"/>
    <cellStyle name="Normal 2 15 22" xfId="22002" xr:uid="{00000000-0005-0000-0000-0000F5550000}"/>
    <cellStyle name="Normal 2 15 3" xfId="22003" xr:uid="{00000000-0005-0000-0000-0000F6550000}"/>
    <cellStyle name="Normal 2 15 3 10" xfId="22004" xr:uid="{00000000-0005-0000-0000-0000F7550000}"/>
    <cellStyle name="Normal 2 15 3 11" xfId="22005" xr:uid="{00000000-0005-0000-0000-0000F8550000}"/>
    <cellStyle name="Normal 2 15 3 2" xfId="22006" xr:uid="{00000000-0005-0000-0000-0000F9550000}"/>
    <cellStyle name="Normal 2 15 3 2 2" xfId="22007" xr:uid="{00000000-0005-0000-0000-0000FA550000}"/>
    <cellStyle name="Normal 2 15 3 2 2 2" xfId="22008" xr:uid="{00000000-0005-0000-0000-0000FB550000}"/>
    <cellStyle name="Normal 2 15 3 2 2 2 2" xfId="22009" xr:uid="{00000000-0005-0000-0000-0000FC550000}"/>
    <cellStyle name="Normal 2 15 3 2 2 2 3" xfId="22010" xr:uid="{00000000-0005-0000-0000-0000FD550000}"/>
    <cellStyle name="Normal 2 15 3 2 2 3" xfId="22011" xr:uid="{00000000-0005-0000-0000-0000FE550000}"/>
    <cellStyle name="Normal 2 15 3 2 2 4" xfId="22012" xr:uid="{00000000-0005-0000-0000-0000FF550000}"/>
    <cellStyle name="Normal 2 15 3 2 2 5" xfId="22013" xr:uid="{00000000-0005-0000-0000-000000560000}"/>
    <cellStyle name="Normal 2 15 3 2 2 6" xfId="22014" xr:uid="{00000000-0005-0000-0000-000001560000}"/>
    <cellStyle name="Normal 2 15 3 2 3" xfId="22015" xr:uid="{00000000-0005-0000-0000-000002560000}"/>
    <cellStyle name="Normal 2 15 3 2 3 2" xfId="22016" xr:uid="{00000000-0005-0000-0000-000003560000}"/>
    <cellStyle name="Normal 2 15 3 2 3 2 2" xfId="22017" xr:uid="{00000000-0005-0000-0000-000004560000}"/>
    <cellStyle name="Normal 2 15 3 2 3 3" xfId="22018" xr:uid="{00000000-0005-0000-0000-000005560000}"/>
    <cellStyle name="Normal 2 15 3 2 3 4" xfId="22019" xr:uid="{00000000-0005-0000-0000-000006560000}"/>
    <cellStyle name="Normal 2 15 3 2 3 5" xfId="22020" xr:uid="{00000000-0005-0000-0000-000007560000}"/>
    <cellStyle name="Normal 2 15 3 2 4" xfId="22021" xr:uid="{00000000-0005-0000-0000-000008560000}"/>
    <cellStyle name="Normal 2 15 3 2 4 2" xfId="22022" xr:uid="{00000000-0005-0000-0000-000009560000}"/>
    <cellStyle name="Normal 2 15 3 2 4 3" xfId="22023" xr:uid="{00000000-0005-0000-0000-00000A560000}"/>
    <cellStyle name="Normal 2 15 3 2 4 4" xfId="22024" xr:uid="{00000000-0005-0000-0000-00000B560000}"/>
    <cellStyle name="Normal 2 15 3 2 5" xfId="22025" xr:uid="{00000000-0005-0000-0000-00000C560000}"/>
    <cellStyle name="Normal 2 15 3 2 5 2" xfId="22026" xr:uid="{00000000-0005-0000-0000-00000D560000}"/>
    <cellStyle name="Normal 2 15 3 2 6" xfId="22027" xr:uid="{00000000-0005-0000-0000-00000E560000}"/>
    <cellStyle name="Normal 2 15 3 2 7" xfId="22028" xr:uid="{00000000-0005-0000-0000-00000F560000}"/>
    <cellStyle name="Normal 2 15 3 2 8" xfId="22029" xr:uid="{00000000-0005-0000-0000-000010560000}"/>
    <cellStyle name="Normal 2 15 3 2 9" xfId="22030" xr:uid="{00000000-0005-0000-0000-000011560000}"/>
    <cellStyle name="Normal 2 15 3 3" xfId="22031" xr:uid="{00000000-0005-0000-0000-000012560000}"/>
    <cellStyle name="Normal 2 15 3 3 2" xfId="22032" xr:uid="{00000000-0005-0000-0000-000013560000}"/>
    <cellStyle name="Normal 2 15 3 3 2 2" xfId="22033" xr:uid="{00000000-0005-0000-0000-000014560000}"/>
    <cellStyle name="Normal 2 15 3 3 2 2 2" xfId="22034" xr:uid="{00000000-0005-0000-0000-000015560000}"/>
    <cellStyle name="Normal 2 15 3 3 2 2 3" xfId="22035" xr:uid="{00000000-0005-0000-0000-000016560000}"/>
    <cellStyle name="Normal 2 15 3 3 2 3" xfId="22036" xr:uid="{00000000-0005-0000-0000-000017560000}"/>
    <cellStyle name="Normal 2 15 3 3 2 4" xfId="22037" xr:uid="{00000000-0005-0000-0000-000018560000}"/>
    <cellStyle name="Normal 2 15 3 3 2 5" xfId="22038" xr:uid="{00000000-0005-0000-0000-000019560000}"/>
    <cellStyle name="Normal 2 15 3 3 2 6" xfId="22039" xr:uid="{00000000-0005-0000-0000-00001A560000}"/>
    <cellStyle name="Normal 2 15 3 3 3" xfId="22040" xr:uid="{00000000-0005-0000-0000-00001B560000}"/>
    <cellStyle name="Normal 2 15 3 3 3 2" xfId="22041" xr:uid="{00000000-0005-0000-0000-00001C560000}"/>
    <cellStyle name="Normal 2 15 3 3 3 2 2" xfId="22042" xr:uid="{00000000-0005-0000-0000-00001D560000}"/>
    <cellStyle name="Normal 2 15 3 3 3 3" xfId="22043" xr:uid="{00000000-0005-0000-0000-00001E560000}"/>
    <cellStyle name="Normal 2 15 3 3 3 4" xfId="22044" xr:uid="{00000000-0005-0000-0000-00001F560000}"/>
    <cellStyle name="Normal 2 15 3 3 3 5" xfId="22045" xr:uid="{00000000-0005-0000-0000-000020560000}"/>
    <cellStyle name="Normal 2 15 3 3 4" xfId="22046" xr:uid="{00000000-0005-0000-0000-000021560000}"/>
    <cellStyle name="Normal 2 15 3 3 4 2" xfId="22047" xr:uid="{00000000-0005-0000-0000-000022560000}"/>
    <cellStyle name="Normal 2 15 3 3 4 3" xfId="22048" xr:uid="{00000000-0005-0000-0000-000023560000}"/>
    <cellStyle name="Normal 2 15 3 3 4 4" xfId="22049" xr:uid="{00000000-0005-0000-0000-000024560000}"/>
    <cellStyle name="Normal 2 15 3 3 5" xfId="22050" xr:uid="{00000000-0005-0000-0000-000025560000}"/>
    <cellStyle name="Normal 2 15 3 3 5 2" xfId="22051" xr:uid="{00000000-0005-0000-0000-000026560000}"/>
    <cellStyle name="Normal 2 15 3 3 6" xfId="22052" xr:uid="{00000000-0005-0000-0000-000027560000}"/>
    <cellStyle name="Normal 2 15 3 3 7" xfId="22053" xr:uid="{00000000-0005-0000-0000-000028560000}"/>
    <cellStyle name="Normal 2 15 3 3 8" xfId="22054" xr:uid="{00000000-0005-0000-0000-000029560000}"/>
    <cellStyle name="Normal 2 15 3 3 9" xfId="22055" xr:uid="{00000000-0005-0000-0000-00002A560000}"/>
    <cellStyle name="Normal 2 15 3 4" xfId="22056" xr:uid="{00000000-0005-0000-0000-00002B560000}"/>
    <cellStyle name="Normal 2 15 3 4 2" xfId="22057" xr:uid="{00000000-0005-0000-0000-00002C560000}"/>
    <cellStyle name="Normal 2 15 3 4 2 2" xfId="22058" xr:uid="{00000000-0005-0000-0000-00002D560000}"/>
    <cellStyle name="Normal 2 15 3 4 2 3" xfId="22059" xr:uid="{00000000-0005-0000-0000-00002E560000}"/>
    <cellStyle name="Normal 2 15 3 4 3" xfId="22060" xr:uid="{00000000-0005-0000-0000-00002F560000}"/>
    <cellStyle name="Normal 2 15 3 4 4" xfId="22061" xr:uid="{00000000-0005-0000-0000-000030560000}"/>
    <cellStyle name="Normal 2 15 3 4 5" xfId="22062" xr:uid="{00000000-0005-0000-0000-000031560000}"/>
    <cellStyle name="Normal 2 15 3 4 6" xfId="22063" xr:uid="{00000000-0005-0000-0000-000032560000}"/>
    <cellStyle name="Normal 2 15 3 5" xfId="22064" xr:uid="{00000000-0005-0000-0000-000033560000}"/>
    <cellStyle name="Normal 2 15 3 5 2" xfId="22065" xr:uid="{00000000-0005-0000-0000-000034560000}"/>
    <cellStyle name="Normal 2 15 3 5 2 2" xfId="22066" xr:uid="{00000000-0005-0000-0000-000035560000}"/>
    <cellStyle name="Normal 2 15 3 5 3" xfId="22067" xr:uid="{00000000-0005-0000-0000-000036560000}"/>
    <cellStyle name="Normal 2 15 3 5 4" xfId="22068" xr:uid="{00000000-0005-0000-0000-000037560000}"/>
    <cellStyle name="Normal 2 15 3 5 5" xfId="22069" xr:uid="{00000000-0005-0000-0000-000038560000}"/>
    <cellStyle name="Normal 2 15 3 6" xfId="22070" xr:uid="{00000000-0005-0000-0000-000039560000}"/>
    <cellStyle name="Normal 2 15 3 6 2" xfId="22071" xr:uid="{00000000-0005-0000-0000-00003A560000}"/>
    <cellStyle name="Normal 2 15 3 6 3" xfId="22072" xr:uid="{00000000-0005-0000-0000-00003B560000}"/>
    <cellStyle name="Normal 2 15 3 6 4" xfId="22073" xr:uid="{00000000-0005-0000-0000-00003C560000}"/>
    <cellStyle name="Normal 2 15 3 7" xfId="22074" xr:uid="{00000000-0005-0000-0000-00003D560000}"/>
    <cellStyle name="Normal 2 15 3 7 2" xfId="22075" xr:uid="{00000000-0005-0000-0000-00003E560000}"/>
    <cellStyle name="Normal 2 15 3 8" xfId="22076" xr:uid="{00000000-0005-0000-0000-00003F560000}"/>
    <cellStyle name="Normal 2 15 3 9" xfId="22077" xr:uid="{00000000-0005-0000-0000-000040560000}"/>
    <cellStyle name="Normal 2 15 4" xfId="22078" xr:uid="{00000000-0005-0000-0000-000041560000}"/>
    <cellStyle name="Normal 2 15 4 10" xfId="22079" xr:uid="{00000000-0005-0000-0000-000042560000}"/>
    <cellStyle name="Normal 2 15 4 11" xfId="22080" xr:uid="{00000000-0005-0000-0000-000043560000}"/>
    <cellStyle name="Normal 2 15 4 2" xfId="22081" xr:uid="{00000000-0005-0000-0000-000044560000}"/>
    <cellStyle name="Normal 2 15 4 2 2" xfId="22082" xr:uid="{00000000-0005-0000-0000-000045560000}"/>
    <cellStyle name="Normal 2 15 4 2 2 2" xfId="22083" xr:uid="{00000000-0005-0000-0000-000046560000}"/>
    <cellStyle name="Normal 2 15 4 2 2 2 2" xfId="22084" xr:uid="{00000000-0005-0000-0000-000047560000}"/>
    <cellStyle name="Normal 2 15 4 2 2 2 3" xfId="22085" xr:uid="{00000000-0005-0000-0000-000048560000}"/>
    <cellStyle name="Normal 2 15 4 2 2 3" xfId="22086" xr:uid="{00000000-0005-0000-0000-000049560000}"/>
    <cellStyle name="Normal 2 15 4 2 2 4" xfId="22087" xr:uid="{00000000-0005-0000-0000-00004A560000}"/>
    <cellStyle name="Normal 2 15 4 2 2 5" xfId="22088" xr:uid="{00000000-0005-0000-0000-00004B560000}"/>
    <cellStyle name="Normal 2 15 4 2 2 6" xfId="22089" xr:uid="{00000000-0005-0000-0000-00004C560000}"/>
    <cellStyle name="Normal 2 15 4 2 3" xfId="22090" xr:uid="{00000000-0005-0000-0000-00004D560000}"/>
    <cellStyle name="Normal 2 15 4 2 3 2" xfId="22091" xr:uid="{00000000-0005-0000-0000-00004E560000}"/>
    <cellStyle name="Normal 2 15 4 2 3 2 2" xfId="22092" xr:uid="{00000000-0005-0000-0000-00004F560000}"/>
    <cellStyle name="Normal 2 15 4 2 3 3" xfId="22093" xr:uid="{00000000-0005-0000-0000-000050560000}"/>
    <cellStyle name="Normal 2 15 4 2 3 4" xfId="22094" xr:uid="{00000000-0005-0000-0000-000051560000}"/>
    <cellStyle name="Normal 2 15 4 2 3 5" xfId="22095" xr:uid="{00000000-0005-0000-0000-000052560000}"/>
    <cellStyle name="Normal 2 15 4 2 4" xfId="22096" xr:uid="{00000000-0005-0000-0000-000053560000}"/>
    <cellStyle name="Normal 2 15 4 2 4 2" xfId="22097" xr:uid="{00000000-0005-0000-0000-000054560000}"/>
    <cellStyle name="Normal 2 15 4 2 4 3" xfId="22098" xr:uid="{00000000-0005-0000-0000-000055560000}"/>
    <cellStyle name="Normal 2 15 4 2 4 4" xfId="22099" xr:uid="{00000000-0005-0000-0000-000056560000}"/>
    <cellStyle name="Normal 2 15 4 2 5" xfId="22100" xr:uid="{00000000-0005-0000-0000-000057560000}"/>
    <cellStyle name="Normal 2 15 4 2 5 2" xfId="22101" xr:uid="{00000000-0005-0000-0000-000058560000}"/>
    <cellStyle name="Normal 2 15 4 2 6" xfId="22102" xr:uid="{00000000-0005-0000-0000-000059560000}"/>
    <cellStyle name="Normal 2 15 4 2 7" xfId="22103" xr:uid="{00000000-0005-0000-0000-00005A560000}"/>
    <cellStyle name="Normal 2 15 4 2 8" xfId="22104" xr:uid="{00000000-0005-0000-0000-00005B560000}"/>
    <cellStyle name="Normal 2 15 4 2 9" xfId="22105" xr:uid="{00000000-0005-0000-0000-00005C560000}"/>
    <cellStyle name="Normal 2 15 4 3" xfId="22106" xr:uid="{00000000-0005-0000-0000-00005D560000}"/>
    <cellStyle name="Normal 2 15 4 3 2" xfId="22107" xr:uid="{00000000-0005-0000-0000-00005E560000}"/>
    <cellStyle name="Normal 2 15 4 3 2 2" xfId="22108" xr:uid="{00000000-0005-0000-0000-00005F560000}"/>
    <cellStyle name="Normal 2 15 4 3 2 2 2" xfId="22109" xr:uid="{00000000-0005-0000-0000-000060560000}"/>
    <cellStyle name="Normal 2 15 4 3 2 2 3" xfId="22110" xr:uid="{00000000-0005-0000-0000-000061560000}"/>
    <cellStyle name="Normal 2 15 4 3 2 3" xfId="22111" xr:uid="{00000000-0005-0000-0000-000062560000}"/>
    <cellStyle name="Normal 2 15 4 3 2 4" xfId="22112" xr:uid="{00000000-0005-0000-0000-000063560000}"/>
    <cellStyle name="Normal 2 15 4 3 2 5" xfId="22113" xr:uid="{00000000-0005-0000-0000-000064560000}"/>
    <cellStyle name="Normal 2 15 4 3 2 6" xfId="22114" xr:uid="{00000000-0005-0000-0000-000065560000}"/>
    <cellStyle name="Normal 2 15 4 3 3" xfId="22115" xr:uid="{00000000-0005-0000-0000-000066560000}"/>
    <cellStyle name="Normal 2 15 4 3 3 2" xfId="22116" xr:uid="{00000000-0005-0000-0000-000067560000}"/>
    <cellStyle name="Normal 2 15 4 3 3 2 2" xfId="22117" xr:uid="{00000000-0005-0000-0000-000068560000}"/>
    <cellStyle name="Normal 2 15 4 3 3 3" xfId="22118" xr:uid="{00000000-0005-0000-0000-000069560000}"/>
    <cellStyle name="Normal 2 15 4 3 3 4" xfId="22119" xr:uid="{00000000-0005-0000-0000-00006A560000}"/>
    <cellStyle name="Normal 2 15 4 3 3 5" xfId="22120" xr:uid="{00000000-0005-0000-0000-00006B560000}"/>
    <cellStyle name="Normal 2 15 4 3 4" xfId="22121" xr:uid="{00000000-0005-0000-0000-00006C560000}"/>
    <cellStyle name="Normal 2 15 4 3 4 2" xfId="22122" xr:uid="{00000000-0005-0000-0000-00006D560000}"/>
    <cellStyle name="Normal 2 15 4 3 4 3" xfId="22123" xr:uid="{00000000-0005-0000-0000-00006E560000}"/>
    <cellStyle name="Normal 2 15 4 3 4 4" xfId="22124" xr:uid="{00000000-0005-0000-0000-00006F560000}"/>
    <cellStyle name="Normal 2 15 4 3 5" xfId="22125" xr:uid="{00000000-0005-0000-0000-000070560000}"/>
    <cellStyle name="Normal 2 15 4 3 5 2" xfId="22126" xr:uid="{00000000-0005-0000-0000-000071560000}"/>
    <cellStyle name="Normal 2 15 4 3 6" xfId="22127" xr:uid="{00000000-0005-0000-0000-000072560000}"/>
    <cellStyle name="Normal 2 15 4 3 7" xfId="22128" xr:uid="{00000000-0005-0000-0000-000073560000}"/>
    <cellStyle name="Normal 2 15 4 3 8" xfId="22129" xr:uid="{00000000-0005-0000-0000-000074560000}"/>
    <cellStyle name="Normal 2 15 4 3 9" xfId="22130" xr:uid="{00000000-0005-0000-0000-000075560000}"/>
    <cellStyle name="Normal 2 15 4 4" xfId="22131" xr:uid="{00000000-0005-0000-0000-000076560000}"/>
    <cellStyle name="Normal 2 15 4 4 2" xfId="22132" xr:uid="{00000000-0005-0000-0000-000077560000}"/>
    <cellStyle name="Normal 2 15 4 4 2 2" xfId="22133" xr:uid="{00000000-0005-0000-0000-000078560000}"/>
    <cellStyle name="Normal 2 15 4 4 2 3" xfId="22134" xr:uid="{00000000-0005-0000-0000-000079560000}"/>
    <cellStyle name="Normal 2 15 4 4 3" xfId="22135" xr:uid="{00000000-0005-0000-0000-00007A560000}"/>
    <cellStyle name="Normal 2 15 4 4 4" xfId="22136" xr:uid="{00000000-0005-0000-0000-00007B560000}"/>
    <cellStyle name="Normal 2 15 4 4 5" xfId="22137" xr:uid="{00000000-0005-0000-0000-00007C560000}"/>
    <cellStyle name="Normal 2 15 4 4 6" xfId="22138" xr:uid="{00000000-0005-0000-0000-00007D560000}"/>
    <cellStyle name="Normal 2 15 4 5" xfId="22139" xr:uid="{00000000-0005-0000-0000-00007E560000}"/>
    <cellStyle name="Normal 2 15 4 5 2" xfId="22140" xr:uid="{00000000-0005-0000-0000-00007F560000}"/>
    <cellStyle name="Normal 2 15 4 5 2 2" xfId="22141" xr:uid="{00000000-0005-0000-0000-000080560000}"/>
    <cellStyle name="Normal 2 15 4 5 3" xfId="22142" xr:uid="{00000000-0005-0000-0000-000081560000}"/>
    <cellStyle name="Normal 2 15 4 5 4" xfId="22143" xr:uid="{00000000-0005-0000-0000-000082560000}"/>
    <cellStyle name="Normal 2 15 4 5 5" xfId="22144" xr:uid="{00000000-0005-0000-0000-000083560000}"/>
    <cellStyle name="Normal 2 15 4 6" xfId="22145" xr:uid="{00000000-0005-0000-0000-000084560000}"/>
    <cellStyle name="Normal 2 15 4 6 2" xfId="22146" xr:uid="{00000000-0005-0000-0000-000085560000}"/>
    <cellStyle name="Normal 2 15 4 6 3" xfId="22147" xr:uid="{00000000-0005-0000-0000-000086560000}"/>
    <cellStyle name="Normal 2 15 4 6 4" xfId="22148" xr:uid="{00000000-0005-0000-0000-000087560000}"/>
    <cellStyle name="Normal 2 15 4 7" xfId="22149" xr:uid="{00000000-0005-0000-0000-000088560000}"/>
    <cellStyle name="Normal 2 15 4 7 2" xfId="22150" xr:uid="{00000000-0005-0000-0000-000089560000}"/>
    <cellStyle name="Normal 2 15 4 8" xfId="22151" xr:uid="{00000000-0005-0000-0000-00008A560000}"/>
    <cellStyle name="Normal 2 15 4 9" xfId="22152" xr:uid="{00000000-0005-0000-0000-00008B560000}"/>
    <cellStyle name="Normal 2 15 5" xfId="22153" xr:uid="{00000000-0005-0000-0000-00008C560000}"/>
    <cellStyle name="Normal 2 15 5 10" xfId="22154" xr:uid="{00000000-0005-0000-0000-00008D560000}"/>
    <cellStyle name="Normal 2 15 5 11" xfId="22155" xr:uid="{00000000-0005-0000-0000-00008E560000}"/>
    <cellStyle name="Normal 2 15 5 2" xfId="22156" xr:uid="{00000000-0005-0000-0000-00008F560000}"/>
    <cellStyle name="Normal 2 15 5 2 2" xfId="22157" xr:uid="{00000000-0005-0000-0000-000090560000}"/>
    <cellStyle name="Normal 2 15 5 2 2 2" xfId="22158" xr:uid="{00000000-0005-0000-0000-000091560000}"/>
    <cellStyle name="Normal 2 15 5 2 2 2 2" xfId="22159" xr:uid="{00000000-0005-0000-0000-000092560000}"/>
    <cellStyle name="Normal 2 15 5 2 2 2 3" xfId="22160" xr:uid="{00000000-0005-0000-0000-000093560000}"/>
    <cellStyle name="Normal 2 15 5 2 2 3" xfId="22161" xr:uid="{00000000-0005-0000-0000-000094560000}"/>
    <cellStyle name="Normal 2 15 5 2 2 4" xfId="22162" xr:uid="{00000000-0005-0000-0000-000095560000}"/>
    <cellStyle name="Normal 2 15 5 2 2 5" xfId="22163" xr:uid="{00000000-0005-0000-0000-000096560000}"/>
    <cellStyle name="Normal 2 15 5 2 2 6" xfId="22164" xr:uid="{00000000-0005-0000-0000-000097560000}"/>
    <cellStyle name="Normal 2 15 5 2 3" xfId="22165" xr:uid="{00000000-0005-0000-0000-000098560000}"/>
    <cellStyle name="Normal 2 15 5 2 3 2" xfId="22166" xr:uid="{00000000-0005-0000-0000-000099560000}"/>
    <cellStyle name="Normal 2 15 5 2 3 2 2" xfId="22167" xr:uid="{00000000-0005-0000-0000-00009A560000}"/>
    <cellStyle name="Normal 2 15 5 2 3 3" xfId="22168" xr:uid="{00000000-0005-0000-0000-00009B560000}"/>
    <cellStyle name="Normal 2 15 5 2 3 4" xfId="22169" xr:uid="{00000000-0005-0000-0000-00009C560000}"/>
    <cellStyle name="Normal 2 15 5 2 3 5" xfId="22170" xr:uid="{00000000-0005-0000-0000-00009D560000}"/>
    <cellStyle name="Normal 2 15 5 2 4" xfId="22171" xr:uid="{00000000-0005-0000-0000-00009E560000}"/>
    <cellStyle name="Normal 2 15 5 2 4 2" xfId="22172" xr:uid="{00000000-0005-0000-0000-00009F560000}"/>
    <cellStyle name="Normal 2 15 5 2 4 3" xfId="22173" xr:uid="{00000000-0005-0000-0000-0000A0560000}"/>
    <cellStyle name="Normal 2 15 5 2 4 4" xfId="22174" xr:uid="{00000000-0005-0000-0000-0000A1560000}"/>
    <cellStyle name="Normal 2 15 5 2 5" xfId="22175" xr:uid="{00000000-0005-0000-0000-0000A2560000}"/>
    <cellStyle name="Normal 2 15 5 2 5 2" xfId="22176" xr:uid="{00000000-0005-0000-0000-0000A3560000}"/>
    <cellStyle name="Normal 2 15 5 2 6" xfId="22177" xr:uid="{00000000-0005-0000-0000-0000A4560000}"/>
    <cellStyle name="Normal 2 15 5 2 7" xfId="22178" xr:uid="{00000000-0005-0000-0000-0000A5560000}"/>
    <cellStyle name="Normal 2 15 5 2 8" xfId="22179" xr:uid="{00000000-0005-0000-0000-0000A6560000}"/>
    <cellStyle name="Normal 2 15 5 2 9" xfId="22180" xr:uid="{00000000-0005-0000-0000-0000A7560000}"/>
    <cellStyle name="Normal 2 15 5 3" xfId="22181" xr:uid="{00000000-0005-0000-0000-0000A8560000}"/>
    <cellStyle name="Normal 2 15 5 3 2" xfId="22182" xr:uid="{00000000-0005-0000-0000-0000A9560000}"/>
    <cellStyle name="Normal 2 15 5 3 2 2" xfId="22183" xr:uid="{00000000-0005-0000-0000-0000AA560000}"/>
    <cellStyle name="Normal 2 15 5 3 2 2 2" xfId="22184" xr:uid="{00000000-0005-0000-0000-0000AB560000}"/>
    <cellStyle name="Normal 2 15 5 3 2 2 3" xfId="22185" xr:uid="{00000000-0005-0000-0000-0000AC560000}"/>
    <cellStyle name="Normal 2 15 5 3 2 3" xfId="22186" xr:uid="{00000000-0005-0000-0000-0000AD560000}"/>
    <cellStyle name="Normal 2 15 5 3 2 4" xfId="22187" xr:uid="{00000000-0005-0000-0000-0000AE560000}"/>
    <cellStyle name="Normal 2 15 5 3 2 5" xfId="22188" xr:uid="{00000000-0005-0000-0000-0000AF560000}"/>
    <cellStyle name="Normal 2 15 5 3 2 6" xfId="22189" xr:uid="{00000000-0005-0000-0000-0000B0560000}"/>
    <cellStyle name="Normal 2 15 5 3 3" xfId="22190" xr:uid="{00000000-0005-0000-0000-0000B1560000}"/>
    <cellStyle name="Normal 2 15 5 3 3 2" xfId="22191" xr:uid="{00000000-0005-0000-0000-0000B2560000}"/>
    <cellStyle name="Normal 2 15 5 3 3 2 2" xfId="22192" xr:uid="{00000000-0005-0000-0000-0000B3560000}"/>
    <cellStyle name="Normal 2 15 5 3 3 3" xfId="22193" xr:uid="{00000000-0005-0000-0000-0000B4560000}"/>
    <cellStyle name="Normal 2 15 5 3 3 4" xfId="22194" xr:uid="{00000000-0005-0000-0000-0000B5560000}"/>
    <cellStyle name="Normal 2 15 5 3 3 5" xfId="22195" xr:uid="{00000000-0005-0000-0000-0000B6560000}"/>
    <cellStyle name="Normal 2 15 5 3 4" xfId="22196" xr:uid="{00000000-0005-0000-0000-0000B7560000}"/>
    <cellStyle name="Normal 2 15 5 3 4 2" xfId="22197" xr:uid="{00000000-0005-0000-0000-0000B8560000}"/>
    <cellStyle name="Normal 2 15 5 3 4 3" xfId="22198" xr:uid="{00000000-0005-0000-0000-0000B9560000}"/>
    <cellStyle name="Normal 2 15 5 3 4 4" xfId="22199" xr:uid="{00000000-0005-0000-0000-0000BA560000}"/>
    <cellStyle name="Normal 2 15 5 3 5" xfId="22200" xr:uid="{00000000-0005-0000-0000-0000BB560000}"/>
    <cellStyle name="Normal 2 15 5 3 5 2" xfId="22201" xr:uid="{00000000-0005-0000-0000-0000BC560000}"/>
    <cellStyle name="Normal 2 15 5 3 6" xfId="22202" xr:uid="{00000000-0005-0000-0000-0000BD560000}"/>
    <cellStyle name="Normal 2 15 5 3 7" xfId="22203" xr:uid="{00000000-0005-0000-0000-0000BE560000}"/>
    <cellStyle name="Normal 2 15 5 3 8" xfId="22204" xr:uid="{00000000-0005-0000-0000-0000BF560000}"/>
    <cellStyle name="Normal 2 15 5 3 9" xfId="22205" xr:uid="{00000000-0005-0000-0000-0000C0560000}"/>
    <cellStyle name="Normal 2 15 5 4" xfId="22206" xr:uid="{00000000-0005-0000-0000-0000C1560000}"/>
    <cellStyle name="Normal 2 15 5 4 2" xfId="22207" xr:uid="{00000000-0005-0000-0000-0000C2560000}"/>
    <cellStyle name="Normal 2 15 5 4 2 2" xfId="22208" xr:uid="{00000000-0005-0000-0000-0000C3560000}"/>
    <cellStyle name="Normal 2 15 5 4 2 3" xfId="22209" xr:uid="{00000000-0005-0000-0000-0000C4560000}"/>
    <cellStyle name="Normal 2 15 5 4 3" xfId="22210" xr:uid="{00000000-0005-0000-0000-0000C5560000}"/>
    <cellStyle name="Normal 2 15 5 4 4" xfId="22211" xr:uid="{00000000-0005-0000-0000-0000C6560000}"/>
    <cellStyle name="Normal 2 15 5 4 5" xfId="22212" xr:uid="{00000000-0005-0000-0000-0000C7560000}"/>
    <cellStyle name="Normal 2 15 5 4 6" xfId="22213" xr:uid="{00000000-0005-0000-0000-0000C8560000}"/>
    <cellStyle name="Normal 2 15 5 5" xfId="22214" xr:uid="{00000000-0005-0000-0000-0000C9560000}"/>
    <cellStyle name="Normal 2 15 5 5 2" xfId="22215" xr:uid="{00000000-0005-0000-0000-0000CA560000}"/>
    <cellStyle name="Normal 2 15 5 5 2 2" xfId="22216" xr:uid="{00000000-0005-0000-0000-0000CB560000}"/>
    <cellStyle name="Normal 2 15 5 5 3" xfId="22217" xr:uid="{00000000-0005-0000-0000-0000CC560000}"/>
    <cellStyle name="Normal 2 15 5 5 4" xfId="22218" xr:uid="{00000000-0005-0000-0000-0000CD560000}"/>
    <cellStyle name="Normal 2 15 5 5 5" xfId="22219" xr:uid="{00000000-0005-0000-0000-0000CE560000}"/>
    <cellStyle name="Normal 2 15 5 6" xfId="22220" xr:uid="{00000000-0005-0000-0000-0000CF560000}"/>
    <cellStyle name="Normal 2 15 5 6 2" xfId="22221" xr:uid="{00000000-0005-0000-0000-0000D0560000}"/>
    <cellStyle name="Normal 2 15 5 6 3" xfId="22222" xr:uid="{00000000-0005-0000-0000-0000D1560000}"/>
    <cellStyle name="Normal 2 15 5 6 4" xfId="22223" xr:uid="{00000000-0005-0000-0000-0000D2560000}"/>
    <cellStyle name="Normal 2 15 5 7" xfId="22224" xr:uid="{00000000-0005-0000-0000-0000D3560000}"/>
    <cellStyle name="Normal 2 15 5 7 2" xfId="22225" xr:uid="{00000000-0005-0000-0000-0000D4560000}"/>
    <cellStyle name="Normal 2 15 5 8" xfId="22226" xr:uid="{00000000-0005-0000-0000-0000D5560000}"/>
    <cellStyle name="Normal 2 15 5 9" xfId="22227" xr:uid="{00000000-0005-0000-0000-0000D6560000}"/>
    <cellStyle name="Normal 2 15 6" xfId="22228" xr:uid="{00000000-0005-0000-0000-0000D7560000}"/>
    <cellStyle name="Normal 2 15 6 10" xfId="22229" xr:uid="{00000000-0005-0000-0000-0000D8560000}"/>
    <cellStyle name="Normal 2 15 6 11" xfId="22230" xr:uid="{00000000-0005-0000-0000-0000D9560000}"/>
    <cellStyle name="Normal 2 15 6 2" xfId="22231" xr:uid="{00000000-0005-0000-0000-0000DA560000}"/>
    <cellStyle name="Normal 2 15 6 2 2" xfId="22232" xr:uid="{00000000-0005-0000-0000-0000DB560000}"/>
    <cellStyle name="Normal 2 15 6 2 2 2" xfId="22233" xr:uid="{00000000-0005-0000-0000-0000DC560000}"/>
    <cellStyle name="Normal 2 15 6 2 2 2 2" xfId="22234" xr:uid="{00000000-0005-0000-0000-0000DD560000}"/>
    <cellStyle name="Normal 2 15 6 2 2 2 3" xfId="22235" xr:uid="{00000000-0005-0000-0000-0000DE560000}"/>
    <cellStyle name="Normal 2 15 6 2 2 3" xfId="22236" xr:uid="{00000000-0005-0000-0000-0000DF560000}"/>
    <cellStyle name="Normal 2 15 6 2 2 4" xfId="22237" xr:uid="{00000000-0005-0000-0000-0000E0560000}"/>
    <cellStyle name="Normal 2 15 6 2 2 5" xfId="22238" xr:uid="{00000000-0005-0000-0000-0000E1560000}"/>
    <cellStyle name="Normal 2 15 6 2 2 6" xfId="22239" xr:uid="{00000000-0005-0000-0000-0000E2560000}"/>
    <cellStyle name="Normal 2 15 6 2 3" xfId="22240" xr:uid="{00000000-0005-0000-0000-0000E3560000}"/>
    <cellStyle name="Normal 2 15 6 2 3 2" xfId="22241" xr:uid="{00000000-0005-0000-0000-0000E4560000}"/>
    <cellStyle name="Normal 2 15 6 2 3 2 2" xfId="22242" xr:uid="{00000000-0005-0000-0000-0000E5560000}"/>
    <cellStyle name="Normal 2 15 6 2 3 3" xfId="22243" xr:uid="{00000000-0005-0000-0000-0000E6560000}"/>
    <cellStyle name="Normal 2 15 6 2 3 4" xfId="22244" xr:uid="{00000000-0005-0000-0000-0000E7560000}"/>
    <cellStyle name="Normal 2 15 6 2 3 5" xfId="22245" xr:uid="{00000000-0005-0000-0000-0000E8560000}"/>
    <cellStyle name="Normal 2 15 6 2 4" xfId="22246" xr:uid="{00000000-0005-0000-0000-0000E9560000}"/>
    <cellStyle name="Normal 2 15 6 2 4 2" xfId="22247" xr:uid="{00000000-0005-0000-0000-0000EA560000}"/>
    <cellStyle name="Normal 2 15 6 2 4 3" xfId="22248" xr:uid="{00000000-0005-0000-0000-0000EB560000}"/>
    <cellStyle name="Normal 2 15 6 2 4 4" xfId="22249" xr:uid="{00000000-0005-0000-0000-0000EC560000}"/>
    <cellStyle name="Normal 2 15 6 2 5" xfId="22250" xr:uid="{00000000-0005-0000-0000-0000ED560000}"/>
    <cellStyle name="Normal 2 15 6 2 5 2" xfId="22251" xr:uid="{00000000-0005-0000-0000-0000EE560000}"/>
    <cellStyle name="Normal 2 15 6 2 6" xfId="22252" xr:uid="{00000000-0005-0000-0000-0000EF560000}"/>
    <cellStyle name="Normal 2 15 6 2 7" xfId="22253" xr:uid="{00000000-0005-0000-0000-0000F0560000}"/>
    <cellStyle name="Normal 2 15 6 2 8" xfId="22254" xr:uid="{00000000-0005-0000-0000-0000F1560000}"/>
    <cellStyle name="Normal 2 15 6 2 9" xfId="22255" xr:uid="{00000000-0005-0000-0000-0000F2560000}"/>
    <cellStyle name="Normal 2 15 6 3" xfId="22256" xr:uid="{00000000-0005-0000-0000-0000F3560000}"/>
    <cellStyle name="Normal 2 15 6 3 2" xfId="22257" xr:uid="{00000000-0005-0000-0000-0000F4560000}"/>
    <cellStyle name="Normal 2 15 6 3 2 2" xfId="22258" xr:uid="{00000000-0005-0000-0000-0000F5560000}"/>
    <cellStyle name="Normal 2 15 6 3 2 2 2" xfId="22259" xr:uid="{00000000-0005-0000-0000-0000F6560000}"/>
    <cellStyle name="Normal 2 15 6 3 2 2 3" xfId="22260" xr:uid="{00000000-0005-0000-0000-0000F7560000}"/>
    <cellStyle name="Normal 2 15 6 3 2 3" xfId="22261" xr:uid="{00000000-0005-0000-0000-0000F8560000}"/>
    <cellStyle name="Normal 2 15 6 3 2 4" xfId="22262" xr:uid="{00000000-0005-0000-0000-0000F9560000}"/>
    <cellStyle name="Normal 2 15 6 3 2 5" xfId="22263" xr:uid="{00000000-0005-0000-0000-0000FA560000}"/>
    <cellStyle name="Normal 2 15 6 3 2 6" xfId="22264" xr:uid="{00000000-0005-0000-0000-0000FB560000}"/>
    <cellStyle name="Normal 2 15 6 3 3" xfId="22265" xr:uid="{00000000-0005-0000-0000-0000FC560000}"/>
    <cellStyle name="Normal 2 15 6 3 3 2" xfId="22266" xr:uid="{00000000-0005-0000-0000-0000FD560000}"/>
    <cellStyle name="Normal 2 15 6 3 3 2 2" xfId="22267" xr:uid="{00000000-0005-0000-0000-0000FE560000}"/>
    <cellStyle name="Normal 2 15 6 3 3 3" xfId="22268" xr:uid="{00000000-0005-0000-0000-0000FF560000}"/>
    <cellStyle name="Normal 2 15 6 3 3 4" xfId="22269" xr:uid="{00000000-0005-0000-0000-000000570000}"/>
    <cellStyle name="Normal 2 15 6 3 3 5" xfId="22270" xr:uid="{00000000-0005-0000-0000-000001570000}"/>
    <cellStyle name="Normal 2 15 6 3 4" xfId="22271" xr:uid="{00000000-0005-0000-0000-000002570000}"/>
    <cellStyle name="Normal 2 15 6 3 4 2" xfId="22272" xr:uid="{00000000-0005-0000-0000-000003570000}"/>
    <cellStyle name="Normal 2 15 6 3 4 3" xfId="22273" xr:uid="{00000000-0005-0000-0000-000004570000}"/>
    <cellStyle name="Normal 2 15 6 3 4 4" xfId="22274" xr:uid="{00000000-0005-0000-0000-000005570000}"/>
    <cellStyle name="Normal 2 15 6 3 5" xfId="22275" xr:uid="{00000000-0005-0000-0000-000006570000}"/>
    <cellStyle name="Normal 2 15 6 3 5 2" xfId="22276" xr:uid="{00000000-0005-0000-0000-000007570000}"/>
    <cellStyle name="Normal 2 15 6 3 6" xfId="22277" xr:uid="{00000000-0005-0000-0000-000008570000}"/>
    <cellStyle name="Normal 2 15 6 3 7" xfId="22278" xr:uid="{00000000-0005-0000-0000-000009570000}"/>
    <cellStyle name="Normal 2 15 6 3 8" xfId="22279" xr:uid="{00000000-0005-0000-0000-00000A570000}"/>
    <cellStyle name="Normal 2 15 6 3 9" xfId="22280" xr:uid="{00000000-0005-0000-0000-00000B570000}"/>
    <cellStyle name="Normal 2 15 6 4" xfId="22281" xr:uid="{00000000-0005-0000-0000-00000C570000}"/>
    <cellStyle name="Normal 2 15 6 4 2" xfId="22282" xr:uid="{00000000-0005-0000-0000-00000D570000}"/>
    <cellStyle name="Normal 2 15 6 4 2 2" xfId="22283" xr:uid="{00000000-0005-0000-0000-00000E570000}"/>
    <cellStyle name="Normal 2 15 6 4 2 3" xfId="22284" xr:uid="{00000000-0005-0000-0000-00000F570000}"/>
    <cellStyle name="Normal 2 15 6 4 3" xfId="22285" xr:uid="{00000000-0005-0000-0000-000010570000}"/>
    <cellStyle name="Normal 2 15 6 4 4" xfId="22286" xr:uid="{00000000-0005-0000-0000-000011570000}"/>
    <cellStyle name="Normal 2 15 6 4 5" xfId="22287" xr:uid="{00000000-0005-0000-0000-000012570000}"/>
    <cellStyle name="Normal 2 15 6 4 6" xfId="22288" xr:uid="{00000000-0005-0000-0000-000013570000}"/>
    <cellStyle name="Normal 2 15 6 5" xfId="22289" xr:uid="{00000000-0005-0000-0000-000014570000}"/>
    <cellStyle name="Normal 2 15 6 5 2" xfId="22290" xr:uid="{00000000-0005-0000-0000-000015570000}"/>
    <cellStyle name="Normal 2 15 6 5 2 2" xfId="22291" xr:uid="{00000000-0005-0000-0000-000016570000}"/>
    <cellStyle name="Normal 2 15 6 5 3" xfId="22292" xr:uid="{00000000-0005-0000-0000-000017570000}"/>
    <cellStyle name="Normal 2 15 6 5 4" xfId="22293" xr:uid="{00000000-0005-0000-0000-000018570000}"/>
    <cellStyle name="Normal 2 15 6 5 5" xfId="22294" xr:uid="{00000000-0005-0000-0000-000019570000}"/>
    <cellStyle name="Normal 2 15 6 6" xfId="22295" xr:uid="{00000000-0005-0000-0000-00001A570000}"/>
    <cellStyle name="Normal 2 15 6 6 2" xfId="22296" xr:uid="{00000000-0005-0000-0000-00001B570000}"/>
    <cellStyle name="Normal 2 15 6 6 3" xfId="22297" xr:uid="{00000000-0005-0000-0000-00001C570000}"/>
    <cellStyle name="Normal 2 15 6 6 4" xfId="22298" xr:uid="{00000000-0005-0000-0000-00001D570000}"/>
    <cellStyle name="Normal 2 15 6 7" xfId="22299" xr:uid="{00000000-0005-0000-0000-00001E570000}"/>
    <cellStyle name="Normal 2 15 6 7 2" xfId="22300" xr:uid="{00000000-0005-0000-0000-00001F570000}"/>
    <cellStyle name="Normal 2 15 6 8" xfId="22301" xr:uid="{00000000-0005-0000-0000-000020570000}"/>
    <cellStyle name="Normal 2 15 6 9" xfId="22302" xr:uid="{00000000-0005-0000-0000-000021570000}"/>
    <cellStyle name="Normal 2 15 7" xfId="22303" xr:uid="{00000000-0005-0000-0000-000022570000}"/>
    <cellStyle name="Normal 2 15 7 10" xfId="22304" xr:uid="{00000000-0005-0000-0000-000023570000}"/>
    <cellStyle name="Normal 2 15 7 11" xfId="22305" xr:uid="{00000000-0005-0000-0000-000024570000}"/>
    <cellStyle name="Normal 2 15 7 2" xfId="22306" xr:uid="{00000000-0005-0000-0000-000025570000}"/>
    <cellStyle name="Normal 2 15 7 2 2" xfId="22307" xr:uid="{00000000-0005-0000-0000-000026570000}"/>
    <cellStyle name="Normal 2 15 7 2 2 2" xfId="22308" xr:uid="{00000000-0005-0000-0000-000027570000}"/>
    <cellStyle name="Normal 2 15 7 2 2 2 2" xfId="22309" xr:uid="{00000000-0005-0000-0000-000028570000}"/>
    <cellStyle name="Normal 2 15 7 2 2 2 3" xfId="22310" xr:uid="{00000000-0005-0000-0000-000029570000}"/>
    <cellStyle name="Normal 2 15 7 2 2 3" xfId="22311" xr:uid="{00000000-0005-0000-0000-00002A570000}"/>
    <cellStyle name="Normal 2 15 7 2 2 4" xfId="22312" xr:uid="{00000000-0005-0000-0000-00002B570000}"/>
    <cellStyle name="Normal 2 15 7 2 2 5" xfId="22313" xr:uid="{00000000-0005-0000-0000-00002C570000}"/>
    <cellStyle name="Normal 2 15 7 2 2 6" xfId="22314" xr:uid="{00000000-0005-0000-0000-00002D570000}"/>
    <cellStyle name="Normal 2 15 7 2 3" xfId="22315" xr:uid="{00000000-0005-0000-0000-00002E570000}"/>
    <cellStyle name="Normal 2 15 7 2 3 2" xfId="22316" xr:uid="{00000000-0005-0000-0000-00002F570000}"/>
    <cellStyle name="Normal 2 15 7 2 3 2 2" xfId="22317" xr:uid="{00000000-0005-0000-0000-000030570000}"/>
    <cellStyle name="Normal 2 15 7 2 3 3" xfId="22318" xr:uid="{00000000-0005-0000-0000-000031570000}"/>
    <cellStyle name="Normal 2 15 7 2 3 4" xfId="22319" xr:uid="{00000000-0005-0000-0000-000032570000}"/>
    <cellStyle name="Normal 2 15 7 2 3 5" xfId="22320" xr:uid="{00000000-0005-0000-0000-000033570000}"/>
    <cellStyle name="Normal 2 15 7 2 4" xfId="22321" xr:uid="{00000000-0005-0000-0000-000034570000}"/>
    <cellStyle name="Normal 2 15 7 2 4 2" xfId="22322" xr:uid="{00000000-0005-0000-0000-000035570000}"/>
    <cellStyle name="Normal 2 15 7 2 4 3" xfId="22323" xr:uid="{00000000-0005-0000-0000-000036570000}"/>
    <cellStyle name="Normal 2 15 7 2 4 4" xfId="22324" xr:uid="{00000000-0005-0000-0000-000037570000}"/>
    <cellStyle name="Normal 2 15 7 2 5" xfId="22325" xr:uid="{00000000-0005-0000-0000-000038570000}"/>
    <cellStyle name="Normal 2 15 7 2 5 2" xfId="22326" xr:uid="{00000000-0005-0000-0000-000039570000}"/>
    <cellStyle name="Normal 2 15 7 2 6" xfId="22327" xr:uid="{00000000-0005-0000-0000-00003A570000}"/>
    <cellStyle name="Normal 2 15 7 2 7" xfId="22328" xr:uid="{00000000-0005-0000-0000-00003B570000}"/>
    <cellStyle name="Normal 2 15 7 2 8" xfId="22329" xr:uid="{00000000-0005-0000-0000-00003C570000}"/>
    <cellStyle name="Normal 2 15 7 2 9" xfId="22330" xr:uid="{00000000-0005-0000-0000-00003D570000}"/>
    <cellStyle name="Normal 2 15 7 3" xfId="22331" xr:uid="{00000000-0005-0000-0000-00003E570000}"/>
    <cellStyle name="Normal 2 15 7 3 2" xfId="22332" xr:uid="{00000000-0005-0000-0000-00003F570000}"/>
    <cellStyle name="Normal 2 15 7 3 2 2" xfId="22333" xr:uid="{00000000-0005-0000-0000-000040570000}"/>
    <cellStyle name="Normal 2 15 7 3 2 2 2" xfId="22334" xr:uid="{00000000-0005-0000-0000-000041570000}"/>
    <cellStyle name="Normal 2 15 7 3 2 2 3" xfId="22335" xr:uid="{00000000-0005-0000-0000-000042570000}"/>
    <cellStyle name="Normal 2 15 7 3 2 3" xfId="22336" xr:uid="{00000000-0005-0000-0000-000043570000}"/>
    <cellStyle name="Normal 2 15 7 3 2 4" xfId="22337" xr:uid="{00000000-0005-0000-0000-000044570000}"/>
    <cellStyle name="Normal 2 15 7 3 2 5" xfId="22338" xr:uid="{00000000-0005-0000-0000-000045570000}"/>
    <cellStyle name="Normal 2 15 7 3 2 6" xfId="22339" xr:uid="{00000000-0005-0000-0000-000046570000}"/>
    <cellStyle name="Normal 2 15 7 3 3" xfId="22340" xr:uid="{00000000-0005-0000-0000-000047570000}"/>
    <cellStyle name="Normal 2 15 7 3 3 2" xfId="22341" xr:uid="{00000000-0005-0000-0000-000048570000}"/>
    <cellStyle name="Normal 2 15 7 3 3 2 2" xfId="22342" xr:uid="{00000000-0005-0000-0000-000049570000}"/>
    <cellStyle name="Normal 2 15 7 3 3 3" xfId="22343" xr:uid="{00000000-0005-0000-0000-00004A570000}"/>
    <cellStyle name="Normal 2 15 7 3 3 4" xfId="22344" xr:uid="{00000000-0005-0000-0000-00004B570000}"/>
    <cellStyle name="Normal 2 15 7 3 3 5" xfId="22345" xr:uid="{00000000-0005-0000-0000-00004C570000}"/>
    <cellStyle name="Normal 2 15 7 3 4" xfId="22346" xr:uid="{00000000-0005-0000-0000-00004D570000}"/>
    <cellStyle name="Normal 2 15 7 3 4 2" xfId="22347" xr:uid="{00000000-0005-0000-0000-00004E570000}"/>
    <cellStyle name="Normal 2 15 7 3 4 3" xfId="22348" xr:uid="{00000000-0005-0000-0000-00004F570000}"/>
    <cellStyle name="Normal 2 15 7 3 4 4" xfId="22349" xr:uid="{00000000-0005-0000-0000-000050570000}"/>
    <cellStyle name="Normal 2 15 7 3 5" xfId="22350" xr:uid="{00000000-0005-0000-0000-000051570000}"/>
    <cellStyle name="Normal 2 15 7 3 5 2" xfId="22351" xr:uid="{00000000-0005-0000-0000-000052570000}"/>
    <cellStyle name="Normal 2 15 7 3 6" xfId="22352" xr:uid="{00000000-0005-0000-0000-000053570000}"/>
    <cellStyle name="Normal 2 15 7 3 7" xfId="22353" xr:uid="{00000000-0005-0000-0000-000054570000}"/>
    <cellStyle name="Normal 2 15 7 3 8" xfId="22354" xr:uid="{00000000-0005-0000-0000-000055570000}"/>
    <cellStyle name="Normal 2 15 7 3 9" xfId="22355" xr:uid="{00000000-0005-0000-0000-000056570000}"/>
    <cellStyle name="Normal 2 15 7 4" xfId="22356" xr:uid="{00000000-0005-0000-0000-000057570000}"/>
    <cellStyle name="Normal 2 15 7 4 2" xfId="22357" xr:uid="{00000000-0005-0000-0000-000058570000}"/>
    <cellStyle name="Normal 2 15 7 4 2 2" xfId="22358" xr:uid="{00000000-0005-0000-0000-000059570000}"/>
    <cellStyle name="Normal 2 15 7 4 2 3" xfId="22359" xr:uid="{00000000-0005-0000-0000-00005A570000}"/>
    <cellStyle name="Normal 2 15 7 4 3" xfId="22360" xr:uid="{00000000-0005-0000-0000-00005B570000}"/>
    <cellStyle name="Normal 2 15 7 4 4" xfId="22361" xr:uid="{00000000-0005-0000-0000-00005C570000}"/>
    <cellStyle name="Normal 2 15 7 4 5" xfId="22362" xr:uid="{00000000-0005-0000-0000-00005D570000}"/>
    <cellStyle name="Normal 2 15 7 4 6" xfId="22363" xr:uid="{00000000-0005-0000-0000-00005E570000}"/>
    <cellStyle name="Normal 2 15 7 5" xfId="22364" xr:uid="{00000000-0005-0000-0000-00005F570000}"/>
    <cellStyle name="Normal 2 15 7 5 2" xfId="22365" xr:uid="{00000000-0005-0000-0000-000060570000}"/>
    <cellStyle name="Normal 2 15 7 5 2 2" xfId="22366" xr:uid="{00000000-0005-0000-0000-000061570000}"/>
    <cellStyle name="Normal 2 15 7 5 3" xfId="22367" xr:uid="{00000000-0005-0000-0000-000062570000}"/>
    <cellStyle name="Normal 2 15 7 5 4" xfId="22368" xr:uid="{00000000-0005-0000-0000-000063570000}"/>
    <cellStyle name="Normal 2 15 7 5 5" xfId="22369" xr:uid="{00000000-0005-0000-0000-000064570000}"/>
    <cellStyle name="Normal 2 15 7 6" xfId="22370" xr:uid="{00000000-0005-0000-0000-000065570000}"/>
    <cellStyle name="Normal 2 15 7 6 2" xfId="22371" xr:uid="{00000000-0005-0000-0000-000066570000}"/>
    <cellStyle name="Normal 2 15 7 6 3" xfId="22372" xr:uid="{00000000-0005-0000-0000-000067570000}"/>
    <cellStyle name="Normal 2 15 7 6 4" xfId="22373" xr:uid="{00000000-0005-0000-0000-000068570000}"/>
    <cellStyle name="Normal 2 15 7 7" xfId="22374" xr:uid="{00000000-0005-0000-0000-000069570000}"/>
    <cellStyle name="Normal 2 15 7 7 2" xfId="22375" xr:uid="{00000000-0005-0000-0000-00006A570000}"/>
    <cellStyle name="Normal 2 15 7 8" xfId="22376" xr:uid="{00000000-0005-0000-0000-00006B570000}"/>
    <cellStyle name="Normal 2 15 7 9" xfId="22377" xr:uid="{00000000-0005-0000-0000-00006C570000}"/>
    <cellStyle name="Normal 2 15 8" xfId="22378" xr:uid="{00000000-0005-0000-0000-00006D570000}"/>
    <cellStyle name="Normal 2 15 8 10" xfId="22379" xr:uid="{00000000-0005-0000-0000-00006E570000}"/>
    <cellStyle name="Normal 2 15 8 2" xfId="22380" xr:uid="{00000000-0005-0000-0000-00006F570000}"/>
    <cellStyle name="Normal 2 15 8 2 2" xfId="22381" xr:uid="{00000000-0005-0000-0000-000070570000}"/>
    <cellStyle name="Normal 2 15 8 2 2 2" xfId="22382" xr:uid="{00000000-0005-0000-0000-000071570000}"/>
    <cellStyle name="Normal 2 15 8 2 2 3" xfId="22383" xr:uid="{00000000-0005-0000-0000-000072570000}"/>
    <cellStyle name="Normal 2 15 8 2 3" xfId="22384" xr:uid="{00000000-0005-0000-0000-000073570000}"/>
    <cellStyle name="Normal 2 15 8 2 4" xfId="22385" xr:uid="{00000000-0005-0000-0000-000074570000}"/>
    <cellStyle name="Normal 2 15 8 2 5" xfId="22386" xr:uid="{00000000-0005-0000-0000-000075570000}"/>
    <cellStyle name="Normal 2 15 8 2 6" xfId="22387" xr:uid="{00000000-0005-0000-0000-000076570000}"/>
    <cellStyle name="Normal 2 15 8 3" xfId="22388" xr:uid="{00000000-0005-0000-0000-000077570000}"/>
    <cellStyle name="Normal 2 15 8 3 2" xfId="22389" xr:uid="{00000000-0005-0000-0000-000078570000}"/>
    <cellStyle name="Normal 2 15 8 3 2 2" xfId="22390" xr:uid="{00000000-0005-0000-0000-000079570000}"/>
    <cellStyle name="Normal 2 15 8 3 2 3" xfId="22391" xr:uid="{00000000-0005-0000-0000-00007A570000}"/>
    <cellStyle name="Normal 2 15 8 3 3" xfId="22392" xr:uid="{00000000-0005-0000-0000-00007B570000}"/>
    <cellStyle name="Normal 2 15 8 3 4" xfId="22393" xr:uid="{00000000-0005-0000-0000-00007C570000}"/>
    <cellStyle name="Normal 2 15 8 3 5" xfId="22394" xr:uid="{00000000-0005-0000-0000-00007D570000}"/>
    <cellStyle name="Normal 2 15 8 3 6" xfId="22395" xr:uid="{00000000-0005-0000-0000-00007E570000}"/>
    <cellStyle name="Normal 2 15 8 4" xfId="22396" xr:uid="{00000000-0005-0000-0000-00007F570000}"/>
    <cellStyle name="Normal 2 15 8 4 2" xfId="22397" xr:uid="{00000000-0005-0000-0000-000080570000}"/>
    <cellStyle name="Normal 2 15 8 4 2 2" xfId="22398" xr:uid="{00000000-0005-0000-0000-000081570000}"/>
    <cellStyle name="Normal 2 15 8 4 3" xfId="22399" xr:uid="{00000000-0005-0000-0000-000082570000}"/>
    <cellStyle name="Normal 2 15 8 4 4" xfId="22400" xr:uid="{00000000-0005-0000-0000-000083570000}"/>
    <cellStyle name="Normal 2 15 8 4 5" xfId="22401" xr:uid="{00000000-0005-0000-0000-000084570000}"/>
    <cellStyle name="Normal 2 15 8 5" xfId="22402" xr:uid="{00000000-0005-0000-0000-000085570000}"/>
    <cellStyle name="Normal 2 15 8 5 2" xfId="22403" xr:uid="{00000000-0005-0000-0000-000086570000}"/>
    <cellStyle name="Normal 2 15 8 5 3" xfId="22404" xr:uid="{00000000-0005-0000-0000-000087570000}"/>
    <cellStyle name="Normal 2 15 8 5 4" xfId="22405" xr:uid="{00000000-0005-0000-0000-000088570000}"/>
    <cellStyle name="Normal 2 15 8 6" xfId="22406" xr:uid="{00000000-0005-0000-0000-000089570000}"/>
    <cellStyle name="Normal 2 15 8 6 2" xfId="22407" xr:uid="{00000000-0005-0000-0000-00008A570000}"/>
    <cellStyle name="Normal 2 15 8 7" xfId="22408" xr:uid="{00000000-0005-0000-0000-00008B570000}"/>
    <cellStyle name="Normal 2 15 8 8" xfId="22409" xr:uid="{00000000-0005-0000-0000-00008C570000}"/>
    <cellStyle name="Normal 2 15 8 9" xfId="22410" xr:uid="{00000000-0005-0000-0000-00008D570000}"/>
    <cellStyle name="Normal 2 15 9" xfId="22411" xr:uid="{00000000-0005-0000-0000-00008E570000}"/>
    <cellStyle name="Normal 2 15 9 10" xfId="22412" xr:uid="{00000000-0005-0000-0000-00008F570000}"/>
    <cellStyle name="Normal 2 15 9 2" xfId="22413" xr:uid="{00000000-0005-0000-0000-000090570000}"/>
    <cellStyle name="Normal 2 15 9 2 2" xfId="22414" xr:uid="{00000000-0005-0000-0000-000091570000}"/>
    <cellStyle name="Normal 2 15 9 2 2 2" xfId="22415" xr:uid="{00000000-0005-0000-0000-000092570000}"/>
    <cellStyle name="Normal 2 15 9 2 2 3" xfId="22416" xr:uid="{00000000-0005-0000-0000-000093570000}"/>
    <cellStyle name="Normal 2 15 9 2 3" xfId="22417" xr:uid="{00000000-0005-0000-0000-000094570000}"/>
    <cellStyle name="Normal 2 15 9 2 4" xfId="22418" xr:uid="{00000000-0005-0000-0000-000095570000}"/>
    <cellStyle name="Normal 2 15 9 2 5" xfId="22419" xr:uid="{00000000-0005-0000-0000-000096570000}"/>
    <cellStyle name="Normal 2 15 9 2 6" xfId="22420" xr:uid="{00000000-0005-0000-0000-000097570000}"/>
    <cellStyle name="Normal 2 15 9 3" xfId="22421" xr:uid="{00000000-0005-0000-0000-000098570000}"/>
    <cellStyle name="Normal 2 15 9 3 2" xfId="22422" xr:uid="{00000000-0005-0000-0000-000099570000}"/>
    <cellStyle name="Normal 2 15 9 3 2 2" xfId="22423" xr:uid="{00000000-0005-0000-0000-00009A570000}"/>
    <cellStyle name="Normal 2 15 9 3 2 3" xfId="22424" xr:uid="{00000000-0005-0000-0000-00009B570000}"/>
    <cellStyle name="Normal 2 15 9 3 3" xfId="22425" xr:uid="{00000000-0005-0000-0000-00009C570000}"/>
    <cellStyle name="Normal 2 15 9 3 4" xfId="22426" xr:uid="{00000000-0005-0000-0000-00009D570000}"/>
    <cellStyle name="Normal 2 15 9 3 5" xfId="22427" xr:uid="{00000000-0005-0000-0000-00009E570000}"/>
    <cellStyle name="Normal 2 15 9 3 6" xfId="22428" xr:uid="{00000000-0005-0000-0000-00009F570000}"/>
    <cellStyle name="Normal 2 15 9 4" xfId="22429" xr:uid="{00000000-0005-0000-0000-0000A0570000}"/>
    <cellStyle name="Normal 2 15 9 4 2" xfId="22430" xr:uid="{00000000-0005-0000-0000-0000A1570000}"/>
    <cellStyle name="Normal 2 15 9 4 2 2" xfId="22431" xr:uid="{00000000-0005-0000-0000-0000A2570000}"/>
    <cellStyle name="Normal 2 15 9 4 3" xfId="22432" xr:uid="{00000000-0005-0000-0000-0000A3570000}"/>
    <cellStyle name="Normal 2 15 9 4 4" xfId="22433" xr:uid="{00000000-0005-0000-0000-0000A4570000}"/>
    <cellStyle name="Normal 2 15 9 4 5" xfId="22434" xr:uid="{00000000-0005-0000-0000-0000A5570000}"/>
    <cellStyle name="Normal 2 15 9 5" xfId="22435" xr:uid="{00000000-0005-0000-0000-0000A6570000}"/>
    <cellStyle name="Normal 2 15 9 5 2" xfId="22436" xr:uid="{00000000-0005-0000-0000-0000A7570000}"/>
    <cellStyle name="Normal 2 15 9 5 3" xfId="22437" xr:uid="{00000000-0005-0000-0000-0000A8570000}"/>
    <cellStyle name="Normal 2 15 9 5 4" xfId="22438" xr:uid="{00000000-0005-0000-0000-0000A9570000}"/>
    <cellStyle name="Normal 2 15 9 6" xfId="22439" xr:uid="{00000000-0005-0000-0000-0000AA570000}"/>
    <cellStyle name="Normal 2 15 9 6 2" xfId="22440" xr:uid="{00000000-0005-0000-0000-0000AB570000}"/>
    <cellStyle name="Normal 2 15 9 7" xfId="22441" xr:uid="{00000000-0005-0000-0000-0000AC570000}"/>
    <cellStyle name="Normal 2 15 9 8" xfId="22442" xr:uid="{00000000-0005-0000-0000-0000AD570000}"/>
    <cellStyle name="Normal 2 15 9 9" xfId="22443" xr:uid="{00000000-0005-0000-0000-0000AE570000}"/>
    <cellStyle name="Normal 2 16" xfId="22444" xr:uid="{00000000-0005-0000-0000-0000AF570000}"/>
    <cellStyle name="Normal 2 16 10" xfId="22445" xr:uid="{00000000-0005-0000-0000-0000B0570000}"/>
    <cellStyle name="Normal 2 16 11" xfId="22446" xr:uid="{00000000-0005-0000-0000-0000B1570000}"/>
    <cellStyle name="Normal 2 16 2" xfId="22447" xr:uid="{00000000-0005-0000-0000-0000B2570000}"/>
    <cellStyle name="Normal 2 16 2 2" xfId="22448" xr:uid="{00000000-0005-0000-0000-0000B3570000}"/>
    <cellStyle name="Normal 2 16 3" xfId="22449" xr:uid="{00000000-0005-0000-0000-0000B4570000}"/>
    <cellStyle name="Normal 2 16 3 2" xfId="22450" xr:uid="{00000000-0005-0000-0000-0000B5570000}"/>
    <cellStyle name="Normal 2 16 3 2 2" xfId="22451" xr:uid="{00000000-0005-0000-0000-0000B6570000}"/>
    <cellStyle name="Normal 2 16 3 2 2 2" xfId="22452" xr:uid="{00000000-0005-0000-0000-0000B7570000}"/>
    <cellStyle name="Normal 2 16 3 2 2 3" xfId="22453" xr:uid="{00000000-0005-0000-0000-0000B8570000}"/>
    <cellStyle name="Normal 2 16 3 2 3" xfId="22454" xr:uid="{00000000-0005-0000-0000-0000B9570000}"/>
    <cellStyle name="Normal 2 16 3 2 4" xfId="22455" xr:uid="{00000000-0005-0000-0000-0000BA570000}"/>
    <cellStyle name="Normal 2 16 3 2 5" xfId="22456" xr:uid="{00000000-0005-0000-0000-0000BB570000}"/>
    <cellStyle name="Normal 2 16 3 2 6" xfId="22457" xr:uid="{00000000-0005-0000-0000-0000BC570000}"/>
    <cellStyle name="Normal 2 16 3 3" xfId="22458" xr:uid="{00000000-0005-0000-0000-0000BD570000}"/>
    <cellStyle name="Normal 2 16 3 3 2" xfId="22459" xr:uid="{00000000-0005-0000-0000-0000BE570000}"/>
    <cellStyle name="Normal 2 16 3 3 2 2" xfId="22460" xr:uid="{00000000-0005-0000-0000-0000BF570000}"/>
    <cellStyle name="Normal 2 16 3 3 3" xfId="22461" xr:uid="{00000000-0005-0000-0000-0000C0570000}"/>
    <cellStyle name="Normal 2 16 3 3 4" xfId="22462" xr:uid="{00000000-0005-0000-0000-0000C1570000}"/>
    <cellStyle name="Normal 2 16 3 3 5" xfId="22463" xr:uid="{00000000-0005-0000-0000-0000C2570000}"/>
    <cellStyle name="Normal 2 16 3 4" xfId="22464" xr:uid="{00000000-0005-0000-0000-0000C3570000}"/>
    <cellStyle name="Normal 2 16 3 4 2" xfId="22465" xr:uid="{00000000-0005-0000-0000-0000C4570000}"/>
    <cellStyle name="Normal 2 16 3 4 3" xfId="22466" xr:uid="{00000000-0005-0000-0000-0000C5570000}"/>
    <cellStyle name="Normal 2 16 3 4 4" xfId="22467" xr:uid="{00000000-0005-0000-0000-0000C6570000}"/>
    <cellStyle name="Normal 2 16 3 5" xfId="22468" xr:uid="{00000000-0005-0000-0000-0000C7570000}"/>
    <cellStyle name="Normal 2 16 3 5 2" xfId="22469" xr:uid="{00000000-0005-0000-0000-0000C8570000}"/>
    <cellStyle name="Normal 2 16 3 6" xfId="22470" xr:uid="{00000000-0005-0000-0000-0000C9570000}"/>
    <cellStyle name="Normal 2 16 3 7" xfId="22471" xr:uid="{00000000-0005-0000-0000-0000CA570000}"/>
    <cellStyle name="Normal 2 16 3 8" xfId="22472" xr:uid="{00000000-0005-0000-0000-0000CB570000}"/>
    <cellStyle name="Normal 2 16 3 9" xfId="22473" xr:uid="{00000000-0005-0000-0000-0000CC570000}"/>
    <cellStyle name="Normal 2 16 4" xfId="22474" xr:uid="{00000000-0005-0000-0000-0000CD570000}"/>
    <cellStyle name="Normal 2 16 4 2" xfId="22475" xr:uid="{00000000-0005-0000-0000-0000CE570000}"/>
    <cellStyle name="Normal 2 16 4 2 2" xfId="22476" xr:uid="{00000000-0005-0000-0000-0000CF570000}"/>
    <cellStyle name="Normal 2 16 4 2 2 2" xfId="22477" xr:uid="{00000000-0005-0000-0000-0000D0570000}"/>
    <cellStyle name="Normal 2 16 4 2 2 3" xfId="22478" xr:uid="{00000000-0005-0000-0000-0000D1570000}"/>
    <cellStyle name="Normal 2 16 4 2 3" xfId="22479" xr:uid="{00000000-0005-0000-0000-0000D2570000}"/>
    <cellStyle name="Normal 2 16 4 2 4" xfId="22480" xr:uid="{00000000-0005-0000-0000-0000D3570000}"/>
    <cellStyle name="Normal 2 16 4 2 5" xfId="22481" xr:uid="{00000000-0005-0000-0000-0000D4570000}"/>
    <cellStyle name="Normal 2 16 4 2 6" xfId="22482" xr:uid="{00000000-0005-0000-0000-0000D5570000}"/>
    <cellStyle name="Normal 2 16 4 3" xfId="22483" xr:uid="{00000000-0005-0000-0000-0000D6570000}"/>
    <cellStyle name="Normal 2 16 4 3 2" xfId="22484" xr:uid="{00000000-0005-0000-0000-0000D7570000}"/>
    <cellStyle name="Normal 2 16 4 3 2 2" xfId="22485" xr:uid="{00000000-0005-0000-0000-0000D8570000}"/>
    <cellStyle name="Normal 2 16 4 3 3" xfId="22486" xr:uid="{00000000-0005-0000-0000-0000D9570000}"/>
    <cellStyle name="Normal 2 16 4 3 4" xfId="22487" xr:uid="{00000000-0005-0000-0000-0000DA570000}"/>
    <cellStyle name="Normal 2 16 4 3 5" xfId="22488" xr:uid="{00000000-0005-0000-0000-0000DB570000}"/>
    <cellStyle name="Normal 2 16 4 4" xfId="22489" xr:uid="{00000000-0005-0000-0000-0000DC570000}"/>
    <cellStyle name="Normal 2 16 4 4 2" xfId="22490" xr:uid="{00000000-0005-0000-0000-0000DD570000}"/>
    <cellStyle name="Normal 2 16 4 4 3" xfId="22491" xr:uid="{00000000-0005-0000-0000-0000DE570000}"/>
    <cellStyle name="Normal 2 16 4 4 4" xfId="22492" xr:uid="{00000000-0005-0000-0000-0000DF570000}"/>
    <cellStyle name="Normal 2 16 4 5" xfId="22493" xr:uid="{00000000-0005-0000-0000-0000E0570000}"/>
    <cellStyle name="Normal 2 16 4 5 2" xfId="22494" xr:uid="{00000000-0005-0000-0000-0000E1570000}"/>
    <cellStyle name="Normal 2 16 4 6" xfId="22495" xr:uid="{00000000-0005-0000-0000-0000E2570000}"/>
    <cellStyle name="Normal 2 16 4 7" xfId="22496" xr:uid="{00000000-0005-0000-0000-0000E3570000}"/>
    <cellStyle name="Normal 2 16 4 8" xfId="22497" xr:uid="{00000000-0005-0000-0000-0000E4570000}"/>
    <cellStyle name="Normal 2 16 4 9" xfId="22498" xr:uid="{00000000-0005-0000-0000-0000E5570000}"/>
    <cellStyle name="Normal 2 16 5" xfId="22499" xr:uid="{00000000-0005-0000-0000-0000E6570000}"/>
    <cellStyle name="Normal 2 16 5 2" xfId="22500" xr:uid="{00000000-0005-0000-0000-0000E7570000}"/>
    <cellStyle name="Normal 2 16 5 2 2" xfId="22501" xr:uid="{00000000-0005-0000-0000-0000E8570000}"/>
    <cellStyle name="Normal 2 16 5 2 3" xfId="22502" xr:uid="{00000000-0005-0000-0000-0000E9570000}"/>
    <cellStyle name="Normal 2 16 5 3" xfId="22503" xr:uid="{00000000-0005-0000-0000-0000EA570000}"/>
    <cellStyle name="Normal 2 16 5 4" xfId="22504" xr:uid="{00000000-0005-0000-0000-0000EB570000}"/>
    <cellStyle name="Normal 2 16 5 5" xfId="22505" xr:uid="{00000000-0005-0000-0000-0000EC570000}"/>
    <cellStyle name="Normal 2 16 5 6" xfId="22506" xr:uid="{00000000-0005-0000-0000-0000ED570000}"/>
    <cellStyle name="Normal 2 16 6" xfId="22507" xr:uid="{00000000-0005-0000-0000-0000EE570000}"/>
    <cellStyle name="Normal 2 16 6 2" xfId="22508" xr:uid="{00000000-0005-0000-0000-0000EF570000}"/>
    <cellStyle name="Normal 2 16 6 2 2" xfId="22509" xr:uid="{00000000-0005-0000-0000-0000F0570000}"/>
    <cellStyle name="Normal 2 16 6 3" xfId="22510" xr:uid="{00000000-0005-0000-0000-0000F1570000}"/>
    <cellStyle name="Normal 2 16 6 4" xfId="22511" xr:uid="{00000000-0005-0000-0000-0000F2570000}"/>
    <cellStyle name="Normal 2 16 6 5" xfId="22512" xr:uid="{00000000-0005-0000-0000-0000F3570000}"/>
    <cellStyle name="Normal 2 16 6 6" xfId="22513" xr:uid="{00000000-0005-0000-0000-0000F4570000}"/>
    <cellStyle name="Normal 2 16 7" xfId="22514" xr:uid="{00000000-0005-0000-0000-0000F5570000}"/>
    <cellStyle name="Normal 2 16 7 2" xfId="22515" xr:uid="{00000000-0005-0000-0000-0000F6570000}"/>
    <cellStyle name="Normal 2 16 7 3" xfId="22516" xr:uid="{00000000-0005-0000-0000-0000F7570000}"/>
    <cellStyle name="Normal 2 16 7 4" xfId="22517" xr:uid="{00000000-0005-0000-0000-0000F8570000}"/>
    <cellStyle name="Normal 2 16 7 5" xfId="22518" xr:uid="{00000000-0005-0000-0000-0000F9570000}"/>
    <cellStyle name="Normal 2 16 8" xfId="22519" xr:uid="{00000000-0005-0000-0000-0000FA570000}"/>
    <cellStyle name="Normal 2 16 8 2" xfId="22520" xr:uid="{00000000-0005-0000-0000-0000FB570000}"/>
    <cellStyle name="Normal 2 16 9" xfId="22521" xr:uid="{00000000-0005-0000-0000-0000FC570000}"/>
    <cellStyle name="Normal 2 17" xfId="22522" xr:uid="{00000000-0005-0000-0000-0000FD570000}"/>
    <cellStyle name="Normal 2 17 10" xfId="22523" xr:uid="{00000000-0005-0000-0000-0000FE570000}"/>
    <cellStyle name="Normal 2 17 11" xfId="22524" xr:uid="{00000000-0005-0000-0000-0000FF570000}"/>
    <cellStyle name="Normal 2 17 2" xfId="22525" xr:uid="{00000000-0005-0000-0000-000000580000}"/>
    <cellStyle name="Normal 2 17 2 2" xfId="22526" xr:uid="{00000000-0005-0000-0000-000001580000}"/>
    <cellStyle name="Normal 2 17 3" xfId="22527" xr:uid="{00000000-0005-0000-0000-000002580000}"/>
    <cellStyle name="Normal 2 17 3 2" xfId="22528" xr:uid="{00000000-0005-0000-0000-000003580000}"/>
    <cellStyle name="Normal 2 17 3 2 2" xfId="22529" xr:uid="{00000000-0005-0000-0000-000004580000}"/>
    <cellStyle name="Normal 2 17 3 2 2 2" xfId="22530" xr:uid="{00000000-0005-0000-0000-000005580000}"/>
    <cellStyle name="Normal 2 17 3 2 2 3" xfId="22531" xr:uid="{00000000-0005-0000-0000-000006580000}"/>
    <cellStyle name="Normal 2 17 3 2 3" xfId="22532" xr:uid="{00000000-0005-0000-0000-000007580000}"/>
    <cellStyle name="Normal 2 17 3 2 4" xfId="22533" xr:uid="{00000000-0005-0000-0000-000008580000}"/>
    <cellStyle name="Normal 2 17 3 2 5" xfId="22534" xr:uid="{00000000-0005-0000-0000-000009580000}"/>
    <cellStyle name="Normal 2 17 3 2 6" xfId="22535" xr:uid="{00000000-0005-0000-0000-00000A580000}"/>
    <cellStyle name="Normal 2 17 3 3" xfId="22536" xr:uid="{00000000-0005-0000-0000-00000B580000}"/>
    <cellStyle name="Normal 2 17 3 3 2" xfId="22537" xr:uid="{00000000-0005-0000-0000-00000C580000}"/>
    <cellStyle name="Normal 2 17 3 3 2 2" xfId="22538" xr:uid="{00000000-0005-0000-0000-00000D580000}"/>
    <cellStyle name="Normal 2 17 3 3 3" xfId="22539" xr:uid="{00000000-0005-0000-0000-00000E580000}"/>
    <cellStyle name="Normal 2 17 3 3 4" xfId="22540" xr:uid="{00000000-0005-0000-0000-00000F580000}"/>
    <cellStyle name="Normal 2 17 3 3 5" xfId="22541" xr:uid="{00000000-0005-0000-0000-000010580000}"/>
    <cellStyle name="Normal 2 17 3 4" xfId="22542" xr:uid="{00000000-0005-0000-0000-000011580000}"/>
    <cellStyle name="Normal 2 17 3 4 2" xfId="22543" xr:uid="{00000000-0005-0000-0000-000012580000}"/>
    <cellStyle name="Normal 2 17 3 4 3" xfId="22544" xr:uid="{00000000-0005-0000-0000-000013580000}"/>
    <cellStyle name="Normal 2 17 3 4 4" xfId="22545" xr:uid="{00000000-0005-0000-0000-000014580000}"/>
    <cellStyle name="Normal 2 17 3 5" xfId="22546" xr:uid="{00000000-0005-0000-0000-000015580000}"/>
    <cellStyle name="Normal 2 17 3 5 2" xfId="22547" xr:uid="{00000000-0005-0000-0000-000016580000}"/>
    <cellStyle name="Normal 2 17 3 6" xfId="22548" xr:uid="{00000000-0005-0000-0000-000017580000}"/>
    <cellStyle name="Normal 2 17 3 7" xfId="22549" xr:uid="{00000000-0005-0000-0000-000018580000}"/>
    <cellStyle name="Normal 2 17 3 8" xfId="22550" xr:uid="{00000000-0005-0000-0000-000019580000}"/>
    <cellStyle name="Normal 2 17 3 9" xfId="22551" xr:uid="{00000000-0005-0000-0000-00001A580000}"/>
    <cellStyle name="Normal 2 17 4" xfId="22552" xr:uid="{00000000-0005-0000-0000-00001B580000}"/>
    <cellStyle name="Normal 2 17 4 2" xfId="22553" xr:uid="{00000000-0005-0000-0000-00001C580000}"/>
    <cellStyle name="Normal 2 17 4 2 2" xfId="22554" xr:uid="{00000000-0005-0000-0000-00001D580000}"/>
    <cellStyle name="Normal 2 17 4 2 2 2" xfId="22555" xr:uid="{00000000-0005-0000-0000-00001E580000}"/>
    <cellStyle name="Normal 2 17 4 2 2 3" xfId="22556" xr:uid="{00000000-0005-0000-0000-00001F580000}"/>
    <cellStyle name="Normal 2 17 4 2 3" xfId="22557" xr:uid="{00000000-0005-0000-0000-000020580000}"/>
    <cellStyle name="Normal 2 17 4 2 4" xfId="22558" xr:uid="{00000000-0005-0000-0000-000021580000}"/>
    <cellStyle name="Normal 2 17 4 2 5" xfId="22559" xr:uid="{00000000-0005-0000-0000-000022580000}"/>
    <cellStyle name="Normal 2 17 4 2 6" xfId="22560" xr:uid="{00000000-0005-0000-0000-000023580000}"/>
    <cellStyle name="Normal 2 17 4 3" xfId="22561" xr:uid="{00000000-0005-0000-0000-000024580000}"/>
    <cellStyle name="Normal 2 17 4 3 2" xfId="22562" xr:uid="{00000000-0005-0000-0000-000025580000}"/>
    <cellStyle name="Normal 2 17 4 3 2 2" xfId="22563" xr:uid="{00000000-0005-0000-0000-000026580000}"/>
    <cellStyle name="Normal 2 17 4 3 3" xfId="22564" xr:uid="{00000000-0005-0000-0000-000027580000}"/>
    <cellStyle name="Normal 2 17 4 3 4" xfId="22565" xr:uid="{00000000-0005-0000-0000-000028580000}"/>
    <cellStyle name="Normal 2 17 4 3 5" xfId="22566" xr:uid="{00000000-0005-0000-0000-000029580000}"/>
    <cellStyle name="Normal 2 17 4 4" xfId="22567" xr:uid="{00000000-0005-0000-0000-00002A580000}"/>
    <cellStyle name="Normal 2 17 4 4 2" xfId="22568" xr:uid="{00000000-0005-0000-0000-00002B580000}"/>
    <cellStyle name="Normal 2 17 4 4 3" xfId="22569" xr:uid="{00000000-0005-0000-0000-00002C580000}"/>
    <cellStyle name="Normal 2 17 4 4 4" xfId="22570" xr:uid="{00000000-0005-0000-0000-00002D580000}"/>
    <cellStyle name="Normal 2 17 4 5" xfId="22571" xr:uid="{00000000-0005-0000-0000-00002E580000}"/>
    <cellStyle name="Normal 2 17 4 5 2" xfId="22572" xr:uid="{00000000-0005-0000-0000-00002F580000}"/>
    <cellStyle name="Normal 2 17 4 6" xfId="22573" xr:uid="{00000000-0005-0000-0000-000030580000}"/>
    <cellStyle name="Normal 2 17 4 7" xfId="22574" xr:uid="{00000000-0005-0000-0000-000031580000}"/>
    <cellStyle name="Normal 2 17 4 8" xfId="22575" xr:uid="{00000000-0005-0000-0000-000032580000}"/>
    <cellStyle name="Normal 2 17 4 9" xfId="22576" xr:uid="{00000000-0005-0000-0000-000033580000}"/>
    <cellStyle name="Normal 2 17 5" xfId="22577" xr:uid="{00000000-0005-0000-0000-000034580000}"/>
    <cellStyle name="Normal 2 17 5 2" xfId="22578" xr:uid="{00000000-0005-0000-0000-000035580000}"/>
    <cellStyle name="Normal 2 17 5 2 2" xfId="22579" xr:uid="{00000000-0005-0000-0000-000036580000}"/>
    <cellStyle name="Normal 2 17 5 2 3" xfId="22580" xr:uid="{00000000-0005-0000-0000-000037580000}"/>
    <cellStyle name="Normal 2 17 5 3" xfId="22581" xr:uid="{00000000-0005-0000-0000-000038580000}"/>
    <cellStyle name="Normal 2 17 5 4" xfId="22582" xr:uid="{00000000-0005-0000-0000-000039580000}"/>
    <cellStyle name="Normal 2 17 5 5" xfId="22583" xr:uid="{00000000-0005-0000-0000-00003A580000}"/>
    <cellStyle name="Normal 2 17 5 6" xfId="22584" xr:uid="{00000000-0005-0000-0000-00003B580000}"/>
    <cellStyle name="Normal 2 17 6" xfId="22585" xr:uid="{00000000-0005-0000-0000-00003C580000}"/>
    <cellStyle name="Normal 2 17 6 2" xfId="22586" xr:uid="{00000000-0005-0000-0000-00003D580000}"/>
    <cellStyle name="Normal 2 17 6 2 2" xfId="22587" xr:uid="{00000000-0005-0000-0000-00003E580000}"/>
    <cellStyle name="Normal 2 17 6 3" xfId="22588" xr:uid="{00000000-0005-0000-0000-00003F580000}"/>
    <cellStyle name="Normal 2 17 6 4" xfId="22589" xr:uid="{00000000-0005-0000-0000-000040580000}"/>
    <cellStyle name="Normal 2 17 6 5" xfId="22590" xr:uid="{00000000-0005-0000-0000-000041580000}"/>
    <cellStyle name="Normal 2 17 6 6" xfId="22591" xr:uid="{00000000-0005-0000-0000-000042580000}"/>
    <cellStyle name="Normal 2 17 7" xfId="22592" xr:uid="{00000000-0005-0000-0000-000043580000}"/>
    <cellStyle name="Normal 2 17 7 2" xfId="22593" xr:uid="{00000000-0005-0000-0000-000044580000}"/>
    <cellStyle name="Normal 2 17 7 3" xfId="22594" xr:uid="{00000000-0005-0000-0000-000045580000}"/>
    <cellStyle name="Normal 2 17 7 4" xfId="22595" xr:uid="{00000000-0005-0000-0000-000046580000}"/>
    <cellStyle name="Normal 2 17 7 5" xfId="22596" xr:uid="{00000000-0005-0000-0000-000047580000}"/>
    <cellStyle name="Normal 2 17 8" xfId="22597" xr:uid="{00000000-0005-0000-0000-000048580000}"/>
    <cellStyle name="Normal 2 17 8 2" xfId="22598" xr:uid="{00000000-0005-0000-0000-000049580000}"/>
    <cellStyle name="Normal 2 17 9" xfId="22599" xr:uid="{00000000-0005-0000-0000-00004A580000}"/>
    <cellStyle name="Normal 2 18" xfId="22600" xr:uid="{00000000-0005-0000-0000-00004B580000}"/>
    <cellStyle name="Normal 2 18 10" xfId="22601" xr:uid="{00000000-0005-0000-0000-00004C580000}"/>
    <cellStyle name="Normal 2 18 11" xfId="22602" xr:uid="{00000000-0005-0000-0000-00004D580000}"/>
    <cellStyle name="Normal 2 18 2" xfId="22603" xr:uid="{00000000-0005-0000-0000-00004E580000}"/>
    <cellStyle name="Normal 2 18 2 2" xfId="22604" xr:uid="{00000000-0005-0000-0000-00004F580000}"/>
    <cellStyle name="Normal 2 18 3" xfId="22605" xr:uid="{00000000-0005-0000-0000-000050580000}"/>
    <cellStyle name="Normal 2 18 3 2" xfId="22606" xr:uid="{00000000-0005-0000-0000-000051580000}"/>
    <cellStyle name="Normal 2 18 3 2 2" xfId="22607" xr:uid="{00000000-0005-0000-0000-000052580000}"/>
    <cellStyle name="Normal 2 18 3 2 2 2" xfId="22608" xr:uid="{00000000-0005-0000-0000-000053580000}"/>
    <cellStyle name="Normal 2 18 3 2 2 3" xfId="22609" xr:uid="{00000000-0005-0000-0000-000054580000}"/>
    <cellStyle name="Normal 2 18 3 2 3" xfId="22610" xr:uid="{00000000-0005-0000-0000-000055580000}"/>
    <cellStyle name="Normal 2 18 3 2 4" xfId="22611" xr:uid="{00000000-0005-0000-0000-000056580000}"/>
    <cellStyle name="Normal 2 18 3 2 5" xfId="22612" xr:uid="{00000000-0005-0000-0000-000057580000}"/>
    <cellStyle name="Normal 2 18 3 2 6" xfId="22613" xr:uid="{00000000-0005-0000-0000-000058580000}"/>
    <cellStyle name="Normal 2 18 3 3" xfId="22614" xr:uid="{00000000-0005-0000-0000-000059580000}"/>
    <cellStyle name="Normal 2 18 3 3 2" xfId="22615" xr:uid="{00000000-0005-0000-0000-00005A580000}"/>
    <cellStyle name="Normal 2 18 3 3 2 2" xfId="22616" xr:uid="{00000000-0005-0000-0000-00005B580000}"/>
    <cellStyle name="Normal 2 18 3 3 3" xfId="22617" xr:uid="{00000000-0005-0000-0000-00005C580000}"/>
    <cellStyle name="Normal 2 18 3 3 4" xfId="22618" xr:uid="{00000000-0005-0000-0000-00005D580000}"/>
    <cellStyle name="Normal 2 18 3 3 5" xfId="22619" xr:uid="{00000000-0005-0000-0000-00005E580000}"/>
    <cellStyle name="Normal 2 18 3 4" xfId="22620" xr:uid="{00000000-0005-0000-0000-00005F580000}"/>
    <cellStyle name="Normal 2 18 3 4 2" xfId="22621" xr:uid="{00000000-0005-0000-0000-000060580000}"/>
    <cellStyle name="Normal 2 18 3 4 3" xfId="22622" xr:uid="{00000000-0005-0000-0000-000061580000}"/>
    <cellStyle name="Normal 2 18 3 4 4" xfId="22623" xr:uid="{00000000-0005-0000-0000-000062580000}"/>
    <cellStyle name="Normal 2 18 3 5" xfId="22624" xr:uid="{00000000-0005-0000-0000-000063580000}"/>
    <cellStyle name="Normal 2 18 3 5 2" xfId="22625" xr:uid="{00000000-0005-0000-0000-000064580000}"/>
    <cellStyle name="Normal 2 18 3 6" xfId="22626" xr:uid="{00000000-0005-0000-0000-000065580000}"/>
    <cellStyle name="Normal 2 18 3 7" xfId="22627" xr:uid="{00000000-0005-0000-0000-000066580000}"/>
    <cellStyle name="Normal 2 18 3 8" xfId="22628" xr:uid="{00000000-0005-0000-0000-000067580000}"/>
    <cellStyle name="Normal 2 18 3 9" xfId="22629" xr:uid="{00000000-0005-0000-0000-000068580000}"/>
    <cellStyle name="Normal 2 18 4" xfId="22630" xr:uid="{00000000-0005-0000-0000-000069580000}"/>
    <cellStyle name="Normal 2 18 4 2" xfId="22631" xr:uid="{00000000-0005-0000-0000-00006A580000}"/>
    <cellStyle name="Normal 2 18 4 2 2" xfId="22632" xr:uid="{00000000-0005-0000-0000-00006B580000}"/>
    <cellStyle name="Normal 2 18 4 2 2 2" xfId="22633" xr:uid="{00000000-0005-0000-0000-00006C580000}"/>
    <cellStyle name="Normal 2 18 4 2 2 3" xfId="22634" xr:uid="{00000000-0005-0000-0000-00006D580000}"/>
    <cellStyle name="Normal 2 18 4 2 3" xfId="22635" xr:uid="{00000000-0005-0000-0000-00006E580000}"/>
    <cellStyle name="Normal 2 18 4 2 4" xfId="22636" xr:uid="{00000000-0005-0000-0000-00006F580000}"/>
    <cellStyle name="Normal 2 18 4 2 5" xfId="22637" xr:uid="{00000000-0005-0000-0000-000070580000}"/>
    <cellStyle name="Normal 2 18 4 2 6" xfId="22638" xr:uid="{00000000-0005-0000-0000-000071580000}"/>
    <cellStyle name="Normal 2 18 4 3" xfId="22639" xr:uid="{00000000-0005-0000-0000-000072580000}"/>
    <cellStyle name="Normal 2 18 4 3 2" xfId="22640" xr:uid="{00000000-0005-0000-0000-000073580000}"/>
    <cellStyle name="Normal 2 18 4 3 2 2" xfId="22641" xr:uid="{00000000-0005-0000-0000-000074580000}"/>
    <cellStyle name="Normal 2 18 4 3 3" xfId="22642" xr:uid="{00000000-0005-0000-0000-000075580000}"/>
    <cellStyle name="Normal 2 18 4 3 4" xfId="22643" xr:uid="{00000000-0005-0000-0000-000076580000}"/>
    <cellStyle name="Normal 2 18 4 3 5" xfId="22644" xr:uid="{00000000-0005-0000-0000-000077580000}"/>
    <cellStyle name="Normal 2 18 4 4" xfId="22645" xr:uid="{00000000-0005-0000-0000-000078580000}"/>
    <cellStyle name="Normal 2 18 4 4 2" xfId="22646" xr:uid="{00000000-0005-0000-0000-000079580000}"/>
    <cellStyle name="Normal 2 18 4 4 3" xfId="22647" xr:uid="{00000000-0005-0000-0000-00007A580000}"/>
    <cellStyle name="Normal 2 18 4 4 4" xfId="22648" xr:uid="{00000000-0005-0000-0000-00007B580000}"/>
    <cellStyle name="Normal 2 18 4 5" xfId="22649" xr:uid="{00000000-0005-0000-0000-00007C580000}"/>
    <cellStyle name="Normal 2 18 4 5 2" xfId="22650" xr:uid="{00000000-0005-0000-0000-00007D580000}"/>
    <cellStyle name="Normal 2 18 4 6" xfId="22651" xr:uid="{00000000-0005-0000-0000-00007E580000}"/>
    <cellStyle name="Normal 2 18 4 7" xfId="22652" xr:uid="{00000000-0005-0000-0000-00007F580000}"/>
    <cellStyle name="Normal 2 18 4 8" xfId="22653" xr:uid="{00000000-0005-0000-0000-000080580000}"/>
    <cellStyle name="Normal 2 18 4 9" xfId="22654" xr:uid="{00000000-0005-0000-0000-000081580000}"/>
    <cellStyle name="Normal 2 18 5" xfId="22655" xr:uid="{00000000-0005-0000-0000-000082580000}"/>
    <cellStyle name="Normal 2 18 5 2" xfId="22656" xr:uid="{00000000-0005-0000-0000-000083580000}"/>
    <cellStyle name="Normal 2 18 5 2 2" xfId="22657" xr:uid="{00000000-0005-0000-0000-000084580000}"/>
    <cellStyle name="Normal 2 18 5 2 3" xfId="22658" xr:uid="{00000000-0005-0000-0000-000085580000}"/>
    <cellStyle name="Normal 2 18 5 3" xfId="22659" xr:uid="{00000000-0005-0000-0000-000086580000}"/>
    <cellStyle name="Normal 2 18 5 4" xfId="22660" xr:uid="{00000000-0005-0000-0000-000087580000}"/>
    <cellStyle name="Normal 2 18 5 5" xfId="22661" xr:uid="{00000000-0005-0000-0000-000088580000}"/>
    <cellStyle name="Normal 2 18 5 6" xfId="22662" xr:uid="{00000000-0005-0000-0000-000089580000}"/>
    <cellStyle name="Normal 2 18 6" xfId="22663" xr:uid="{00000000-0005-0000-0000-00008A580000}"/>
    <cellStyle name="Normal 2 18 6 2" xfId="22664" xr:uid="{00000000-0005-0000-0000-00008B580000}"/>
    <cellStyle name="Normal 2 18 6 2 2" xfId="22665" xr:uid="{00000000-0005-0000-0000-00008C580000}"/>
    <cellStyle name="Normal 2 18 6 3" xfId="22666" xr:uid="{00000000-0005-0000-0000-00008D580000}"/>
    <cellStyle name="Normal 2 18 6 4" xfId="22667" xr:uid="{00000000-0005-0000-0000-00008E580000}"/>
    <cellStyle name="Normal 2 18 6 5" xfId="22668" xr:uid="{00000000-0005-0000-0000-00008F580000}"/>
    <cellStyle name="Normal 2 18 6 6" xfId="22669" xr:uid="{00000000-0005-0000-0000-000090580000}"/>
    <cellStyle name="Normal 2 18 7" xfId="22670" xr:uid="{00000000-0005-0000-0000-000091580000}"/>
    <cellStyle name="Normal 2 18 7 2" xfId="22671" xr:uid="{00000000-0005-0000-0000-000092580000}"/>
    <cellStyle name="Normal 2 18 7 3" xfId="22672" xr:uid="{00000000-0005-0000-0000-000093580000}"/>
    <cellStyle name="Normal 2 18 7 4" xfId="22673" xr:uid="{00000000-0005-0000-0000-000094580000}"/>
    <cellStyle name="Normal 2 18 7 5" xfId="22674" xr:uid="{00000000-0005-0000-0000-000095580000}"/>
    <cellStyle name="Normal 2 18 8" xfId="22675" xr:uid="{00000000-0005-0000-0000-000096580000}"/>
    <cellStyle name="Normal 2 18 8 2" xfId="22676" xr:uid="{00000000-0005-0000-0000-000097580000}"/>
    <cellStyle name="Normal 2 18 9" xfId="22677" xr:uid="{00000000-0005-0000-0000-000098580000}"/>
    <cellStyle name="Normal 2 19" xfId="22678" xr:uid="{00000000-0005-0000-0000-000099580000}"/>
    <cellStyle name="Normal 2 19 10" xfId="22679" xr:uid="{00000000-0005-0000-0000-00009A580000}"/>
    <cellStyle name="Normal 2 19 11" xfId="22680" xr:uid="{00000000-0005-0000-0000-00009B580000}"/>
    <cellStyle name="Normal 2 19 2" xfId="22681" xr:uid="{00000000-0005-0000-0000-00009C580000}"/>
    <cellStyle name="Normal 2 19 2 2" xfId="22682" xr:uid="{00000000-0005-0000-0000-00009D580000}"/>
    <cellStyle name="Normal 2 19 3" xfId="22683" xr:uid="{00000000-0005-0000-0000-00009E580000}"/>
    <cellStyle name="Normal 2 19 3 2" xfId="22684" xr:uid="{00000000-0005-0000-0000-00009F580000}"/>
    <cellStyle name="Normal 2 19 3 2 2" xfId="22685" xr:uid="{00000000-0005-0000-0000-0000A0580000}"/>
    <cellStyle name="Normal 2 19 3 2 2 2" xfId="22686" xr:uid="{00000000-0005-0000-0000-0000A1580000}"/>
    <cellStyle name="Normal 2 19 3 2 2 3" xfId="22687" xr:uid="{00000000-0005-0000-0000-0000A2580000}"/>
    <cellStyle name="Normal 2 19 3 2 3" xfId="22688" xr:uid="{00000000-0005-0000-0000-0000A3580000}"/>
    <cellStyle name="Normal 2 19 3 2 4" xfId="22689" xr:uid="{00000000-0005-0000-0000-0000A4580000}"/>
    <cellStyle name="Normal 2 19 3 2 5" xfId="22690" xr:uid="{00000000-0005-0000-0000-0000A5580000}"/>
    <cellStyle name="Normal 2 19 3 2 6" xfId="22691" xr:uid="{00000000-0005-0000-0000-0000A6580000}"/>
    <cellStyle name="Normal 2 19 3 3" xfId="22692" xr:uid="{00000000-0005-0000-0000-0000A7580000}"/>
    <cellStyle name="Normal 2 19 3 3 2" xfId="22693" xr:uid="{00000000-0005-0000-0000-0000A8580000}"/>
    <cellStyle name="Normal 2 19 3 3 2 2" xfId="22694" xr:uid="{00000000-0005-0000-0000-0000A9580000}"/>
    <cellStyle name="Normal 2 19 3 3 3" xfId="22695" xr:uid="{00000000-0005-0000-0000-0000AA580000}"/>
    <cellStyle name="Normal 2 19 3 3 4" xfId="22696" xr:uid="{00000000-0005-0000-0000-0000AB580000}"/>
    <cellStyle name="Normal 2 19 3 3 5" xfId="22697" xr:uid="{00000000-0005-0000-0000-0000AC580000}"/>
    <cellStyle name="Normal 2 19 3 4" xfId="22698" xr:uid="{00000000-0005-0000-0000-0000AD580000}"/>
    <cellStyle name="Normal 2 19 3 4 2" xfId="22699" xr:uid="{00000000-0005-0000-0000-0000AE580000}"/>
    <cellStyle name="Normal 2 19 3 4 3" xfId="22700" xr:uid="{00000000-0005-0000-0000-0000AF580000}"/>
    <cellStyle name="Normal 2 19 3 4 4" xfId="22701" xr:uid="{00000000-0005-0000-0000-0000B0580000}"/>
    <cellStyle name="Normal 2 19 3 5" xfId="22702" xr:uid="{00000000-0005-0000-0000-0000B1580000}"/>
    <cellStyle name="Normal 2 19 3 5 2" xfId="22703" xr:uid="{00000000-0005-0000-0000-0000B2580000}"/>
    <cellStyle name="Normal 2 19 3 6" xfId="22704" xr:uid="{00000000-0005-0000-0000-0000B3580000}"/>
    <cellStyle name="Normal 2 19 3 7" xfId="22705" xr:uid="{00000000-0005-0000-0000-0000B4580000}"/>
    <cellStyle name="Normal 2 19 3 8" xfId="22706" xr:uid="{00000000-0005-0000-0000-0000B5580000}"/>
    <cellStyle name="Normal 2 19 3 9" xfId="22707" xr:uid="{00000000-0005-0000-0000-0000B6580000}"/>
    <cellStyle name="Normal 2 19 4" xfId="22708" xr:uid="{00000000-0005-0000-0000-0000B7580000}"/>
    <cellStyle name="Normal 2 19 4 2" xfId="22709" xr:uid="{00000000-0005-0000-0000-0000B8580000}"/>
    <cellStyle name="Normal 2 19 4 2 2" xfId="22710" xr:uid="{00000000-0005-0000-0000-0000B9580000}"/>
    <cellStyle name="Normal 2 19 4 2 2 2" xfId="22711" xr:uid="{00000000-0005-0000-0000-0000BA580000}"/>
    <cellStyle name="Normal 2 19 4 2 2 3" xfId="22712" xr:uid="{00000000-0005-0000-0000-0000BB580000}"/>
    <cellStyle name="Normal 2 19 4 2 3" xfId="22713" xr:uid="{00000000-0005-0000-0000-0000BC580000}"/>
    <cellStyle name="Normal 2 19 4 2 4" xfId="22714" xr:uid="{00000000-0005-0000-0000-0000BD580000}"/>
    <cellStyle name="Normal 2 19 4 2 5" xfId="22715" xr:uid="{00000000-0005-0000-0000-0000BE580000}"/>
    <cellStyle name="Normal 2 19 4 2 6" xfId="22716" xr:uid="{00000000-0005-0000-0000-0000BF580000}"/>
    <cellStyle name="Normal 2 19 4 3" xfId="22717" xr:uid="{00000000-0005-0000-0000-0000C0580000}"/>
    <cellStyle name="Normal 2 19 4 3 2" xfId="22718" xr:uid="{00000000-0005-0000-0000-0000C1580000}"/>
    <cellStyle name="Normal 2 19 4 3 2 2" xfId="22719" xr:uid="{00000000-0005-0000-0000-0000C2580000}"/>
    <cellStyle name="Normal 2 19 4 3 3" xfId="22720" xr:uid="{00000000-0005-0000-0000-0000C3580000}"/>
    <cellStyle name="Normal 2 19 4 3 4" xfId="22721" xr:uid="{00000000-0005-0000-0000-0000C4580000}"/>
    <cellStyle name="Normal 2 19 4 3 5" xfId="22722" xr:uid="{00000000-0005-0000-0000-0000C5580000}"/>
    <cellStyle name="Normal 2 19 4 4" xfId="22723" xr:uid="{00000000-0005-0000-0000-0000C6580000}"/>
    <cellStyle name="Normal 2 19 4 4 2" xfId="22724" xr:uid="{00000000-0005-0000-0000-0000C7580000}"/>
    <cellStyle name="Normal 2 19 4 4 3" xfId="22725" xr:uid="{00000000-0005-0000-0000-0000C8580000}"/>
    <cellStyle name="Normal 2 19 4 4 4" xfId="22726" xr:uid="{00000000-0005-0000-0000-0000C9580000}"/>
    <cellStyle name="Normal 2 19 4 5" xfId="22727" xr:uid="{00000000-0005-0000-0000-0000CA580000}"/>
    <cellStyle name="Normal 2 19 4 5 2" xfId="22728" xr:uid="{00000000-0005-0000-0000-0000CB580000}"/>
    <cellStyle name="Normal 2 19 4 6" xfId="22729" xr:uid="{00000000-0005-0000-0000-0000CC580000}"/>
    <cellStyle name="Normal 2 19 4 7" xfId="22730" xr:uid="{00000000-0005-0000-0000-0000CD580000}"/>
    <cellStyle name="Normal 2 19 4 8" xfId="22731" xr:uid="{00000000-0005-0000-0000-0000CE580000}"/>
    <cellStyle name="Normal 2 19 4 9" xfId="22732" xr:uid="{00000000-0005-0000-0000-0000CF580000}"/>
    <cellStyle name="Normal 2 19 5" xfId="22733" xr:uid="{00000000-0005-0000-0000-0000D0580000}"/>
    <cellStyle name="Normal 2 19 5 2" xfId="22734" xr:uid="{00000000-0005-0000-0000-0000D1580000}"/>
    <cellStyle name="Normal 2 19 5 2 2" xfId="22735" xr:uid="{00000000-0005-0000-0000-0000D2580000}"/>
    <cellStyle name="Normal 2 19 5 2 3" xfId="22736" xr:uid="{00000000-0005-0000-0000-0000D3580000}"/>
    <cellStyle name="Normal 2 19 5 3" xfId="22737" xr:uid="{00000000-0005-0000-0000-0000D4580000}"/>
    <cellStyle name="Normal 2 19 5 4" xfId="22738" xr:uid="{00000000-0005-0000-0000-0000D5580000}"/>
    <cellStyle name="Normal 2 19 5 5" xfId="22739" xr:uid="{00000000-0005-0000-0000-0000D6580000}"/>
    <cellStyle name="Normal 2 19 5 6" xfId="22740" xr:uid="{00000000-0005-0000-0000-0000D7580000}"/>
    <cellStyle name="Normal 2 19 6" xfId="22741" xr:uid="{00000000-0005-0000-0000-0000D8580000}"/>
    <cellStyle name="Normal 2 19 6 2" xfId="22742" xr:uid="{00000000-0005-0000-0000-0000D9580000}"/>
    <cellStyle name="Normal 2 19 6 2 2" xfId="22743" xr:uid="{00000000-0005-0000-0000-0000DA580000}"/>
    <cellStyle name="Normal 2 19 6 3" xfId="22744" xr:uid="{00000000-0005-0000-0000-0000DB580000}"/>
    <cellStyle name="Normal 2 19 6 4" xfId="22745" xr:uid="{00000000-0005-0000-0000-0000DC580000}"/>
    <cellStyle name="Normal 2 19 6 5" xfId="22746" xr:uid="{00000000-0005-0000-0000-0000DD580000}"/>
    <cellStyle name="Normal 2 19 6 6" xfId="22747" xr:uid="{00000000-0005-0000-0000-0000DE580000}"/>
    <cellStyle name="Normal 2 19 7" xfId="22748" xr:uid="{00000000-0005-0000-0000-0000DF580000}"/>
    <cellStyle name="Normal 2 19 7 2" xfId="22749" xr:uid="{00000000-0005-0000-0000-0000E0580000}"/>
    <cellStyle name="Normal 2 19 7 3" xfId="22750" xr:uid="{00000000-0005-0000-0000-0000E1580000}"/>
    <cellStyle name="Normal 2 19 7 4" xfId="22751" xr:uid="{00000000-0005-0000-0000-0000E2580000}"/>
    <cellStyle name="Normal 2 19 7 5" xfId="22752" xr:uid="{00000000-0005-0000-0000-0000E3580000}"/>
    <cellStyle name="Normal 2 19 8" xfId="22753" xr:uid="{00000000-0005-0000-0000-0000E4580000}"/>
    <cellStyle name="Normal 2 19 8 2" xfId="22754" xr:uid="{00000000-0005-0000-0000-0000E5580000}"/>
    <cellStyle name="Normal 2 19 9" xfId="22755" xr:uid="{00000000-0005-0000-0000-0000E6580000}"/>
    <cellStyle name="Normal 2 2" xfId="22756" xr:uid="{00000000-0005-0000-0000-0000E7580000}"/>
    <cellStyle name="Normal 2 2 10" xfId="22757" xr:uid="{00000000-0005-0000-0000-0000E8580000}"/>
    <cellStyle name="Normal 2 2 10 2" xfId="22758" xr:uid="{00000000-0005-0000-0000-0000E9580000}"/>
    <cellStyle name="Normal 2 2 10 3" xfId="22759" xr:uid="{00000000-0005-0000-0000-0000EA580000}"/>
    <cellStyle name="Normal 2 2 10 4" xfId="22760" xr:uid="{00000000-0005-0000-0000-0000EB580000}"/>
    <cellStyle name="Normal 2 2 11" xfId="22761" xr:uid="{00000000-0005-0000-0000-0000EC580000}"/>
    <cellStyle name="Normal 2 2 11 2" xfId="22762" xr:uid="{00000000-0005-0000-0000-0000ED580000}"/>
    <cellStyle name="Normal 2 2 11 3" xfId="22763" xr:uid="{00000000-0005-0000-0000-0000EE580000}"/>
    <cellStyle name="Normal 2 2 11 4" xfId="22764" xr:uid="{00000000-0005-0000-0000-0000EF580000}"/>
    <cellStyle name="Normal 2 2 12" xfId="22765" xr:uid="{00000000-0005-0000-0000-0000F0580000}"/>
    <cellStyle name="Normal 2 2 12 2" xfId="22766" xr:uid="{00000000-0005-0000-0000-0000F1580000}"/>
    <cellStyle name="Normal 2 2 12 3" xfId="22767" xr:uid="{00000000-0005-0000-0000-0000F2580000}"/>
    <cellStyle name="Normal 2 2 12 4" xfId="22768" xr:uid="{00000000-0005-0000-0000-0000F3580000}"/>
    <cellStyle name="Normal 2 2 13" xfId="22769" xr:uid="{00000000-0005-0000-0000-0000F4580000}"/>
    <cellStyle name="Normal 2 2 13 2" xfId="22770" xr:uid="{00000000-0005-0000-0000-0000F5580000}"/>
    <cellStyle name="Normal 2 2 13 3" xfId="22771" xr:uid="{00000000-0005-0000-0000-0000F6580000}"/>
    <cellStyle name="Normal 2 2 13 4" xfId="22772" xr:uid="{00000000-0005-0000-0000-0000F7580000}"/>
    <cellStyle name="Normal 2 2 14" xfId="22773" xr:uid="{00000000-0005-0000-0000-0000F8580000}"/>
    <cellStyle name="Normal 2 2 14 2" xfId="22774" xr:uid="{00000000-0005-0000-0000-0000F9580000}"/>
    <cellStyle name="Normal 2 2 14 3" xfId="22775" xr:uid="{00000000-0005-0000-0000-0000FA580000}"/>
    <cellStyle name="Normal 2 2 14 4" xfId="22776" xr:uid="{00000000-0005-0000-0000-0000FB580000}"/>
    <cellStyle name="Normal 2 2 15" xfId="22777" xr:uid="{00000000-0005-0000-0000-0000FC580000}"/>
    <cellStyle name="Normal 2 2 15 2" xfId="22778" xr:uid="{00000000-0005-0000-0000-0000FD580000}"/>
    <cellStyle name="Normal 2 2 15 3" xfId="22779" xr:uid="{00000000-0005-0000-0000-0000FE580000}"/>
    <cellStyle name="Normal 2 2 15 4" xfId="22780" xr:uid="{00000000-0005-0000-0000-0000FF580000}"/>
    <cellStyle name="Normal 2 2 16" xfId="22781" xr:uid="{00000000-0005-0000-0000-000000590000}"/>
    <cellStyle name="Normal 2 2 16 2" xfId="22782" xr:uid="{00000000-0005-0000-0000-000001590000}"/>
    <cellStyle name="Normal 2 2 16 3" xfId="22783" xr:uid="{00000000-0005-0000-0000-000002590000}"/>
    <cellStyle name="Normal 2 2 16 4" xfId="22784" xr:uid="{00000000-0005-0000-0000-000003590000}"/>
    <cellStyle name="Normal 2 2 17" xfId="22785" xr:uid="{00000000-0005-0000-0000-000004590000}"/>
    <cellStyle name="Normal 2 2 17 2" xfId="22786" xr:uid="{00000000-0005-0000-0000-000005590000}"/>
    <cellStyle name="Normal 2 2 17 2 2" xfId="22787" xr:uid="{00000000-0005-0000-0000-000006590000}"/>
    <cellStyle name="Normal 2 2 18" xfId="22788" xr:uid="{00000000-0005-0000-0000-000007590000}"/>
    <cellStyle name="Normal 2 2 19" xfId="22789" xr:uid="{00000000-0005-0000-0000-000008590000}"/>
    <cellStyle name="Normal 2 2 2" xfId="22790" xr:uid="{00000000-0005-0000-0000-000009590000}"/>
    <cellStyle name="Normal 2 2 2 10" xfId="22791" xr:uid="{00000000-0005-0000-0000-00000A590000}"/>
    <cellStyle name="Normal 2 2 2 10 10" xfId="22792" xr:uid="{00000000-0005-0000-0000-00000B590000}"/>
    <cellStyle name="Normal 2 2 2 10 2" xfId="22793" xr:uid="{00000000-0005-0000-0000-00000C590000}"/>
    <cellStyle name="Normal 2 2 2 10 2 2" xfId="22794" xr:uid="{00000000-0005-0000-0000-00000D590000}"/>
    <cellStyle name="Normal 2 2 2 10 2 2 2" xfId="22795" xr:uid="{00000000-0005-0000-0000-00000E590000}"/>
    <cellStyle name="Normal 2 2 2 10 2 2 3" xfId="22796" xr:uid="{00000000-0005-0000-0000-00000F590000}"/>
    <cellStyle name="Normal 2 2 2 10 2 3" xfId="22797" xr:uid="{00000000-0005-0000-0000-000010590000}"/>
    <cellStyle name="Normal 2 2 2 10 2 4" xfId="22798" xr:uid="{00000000-0005-0000-0000-000011590000}"/>
    <cellStyle name="Normal 2 2 2 10 2 5" xfId="22799" xr:uid="{00000000-0005-0000-0000-000012590000}"/>
    <cellStyle name="Normal 2 2 2 10 2 6" xfId="22800" xr:uid="{00000000-0005-0000-0000-000013590000}"/>
    <cellStyle name="Normal 2 2 2 10 3" xfId="22801" xr:uid="{00000000-0005-0000-0000-000014590000}"/>
    <cellStyle name="Normal 2 2 2 10 3 2" xfId="22802" xr:uid="{00000000-0005-0000-0000-000015590000}"/>
    <cellStyle name="Normal 2 2 2 10 3 2 2" xfId="22803" xr:uid="{00000000-0005-0000-0000-000016590000}"/>
    <cellStyle name="Normal 2 2 2 10 3 2 3" xfId="22804" xr:uid="{00000000-0005-0000-0000-000017590000}"/>
    <cellStyle name="Normal 2 2 2 10 3 3" xfId="22805" xr:uid="{00000000-0005-0000-0000-000018590000}"/>
    <cellStyle name="Normal 2 2 2 10 3 4" xfId="22806" xr:uid="{00000000-0005-0000-0000-000019590000}"/>
    <cellStyle name="Normal 2 2 2 10 3 5" xfId="22807" xr:uid="{00000000-0005-0000-0000-00001A590000}"/>
    <cellStyle name="Normal 2 2 2 10 3 6" xfId="22808" xr:uid="{00000000-0005-0000-0000-00001B590000}"/>
    <cellStyle name="Normal 2 2 2 10 4" xfId="22809" xr:uid="{00000000-0005-0000-0000-00001C590000}"/>
    <cellStyle name="Normal 2 2 2 10 4 2" xfId="22810" xr:uid="{00000000-0005-0000-0000-00001D590000}"/>
    <cellStyle name="Normal 2 2 2 10 4 2 2" xfId="22811" xr:uid="{00000000-0005-0000-0000-00001E590000}"/>
    <cellStyle name="Normal 2 2 2 10 4 3" xfId="22812" xr:uid="{00000000-0005-0000-0000-00001F590000}"/>
    <cellStyle name="Normal 2 2 2 10 4 4" xfId="22813" xr:uid="{00000000-0005-0000-0000-000020590000}"/>
    <cellStyle name="Normal 2 2 2 10 4 5" xfId="22814" xr:uid="{00000000-0005-0000-0000-000021590000}"/>
    <cellStyle name="Normal 2 2 2 10 5" xfId="22815" xr:uid="{00000000-0005-0000-0000-000022590000}"/>
    <cellStyle name="Normal 2 2 2 10 5 2" xfId="22816" xr:uid="{00000000-0005-0000-0000-000023590000}"/>
    <cellStyle name="Normal 2 2 2 10 5 3" xfId="22817" xr:uid="{00000000-0005-0000-0000-000024590000}"/>
    <cellStyle name="Normal 2 2 2 10 5 4" xfId="22818" xr:uid="{00000000-0005-0000-0000-000025590000}"/>
    <cellStyle name="Normal 2 2 2 10 6" xfId="22819" xr:uid="{00000000-0005-0000-0000-000026590000}"/>
    <cellStyle name="Normal 2 2 2 10 6 2" xfId="22820" xr:uid="{00000000-0005-0000-0000-000027590000}"/>
    <cellStyle name="Normal 2 2 2 10 7" xfId="22821" xr:uid="{00000000-0005-0000-0000-000028590000}"/>
    <cellStyle name="Normal 2 2 2 10 8" xfId="22822" xr:uid="{00000000-0005-0000-0000-000029590000}"/>
    <cellStyle name="Normal 2 2 2 10 9" xfId="22823" xr:uid="{00000000-0005-0000-0000-00002A590000}"/>
    <cellStyle name="Normal 2 2 2 11" xfId="22824" xr:uid="{00000000-0005-0000-0000-00002B590000}"/>
    <cellStyle name="Normal 2 2 2 11 10" xfId="22825" xr:uid="{00000000-0005-0000-0000-00002C590000}"/>
    <cellStyle name="Normal 2 2 2 11 2" xfId="22826" xr:uid="{00000000-0005-0000-0000-00002D590000}"/>
    <cellStyle name="Normal 2 2 2 11 2 2" xfId="22827" xr:uid="{00000000-0005-0000-0000-00002E590000}"/>
    <cellStyle name="Normal 2 2 2 11 2 2 2" xfId="22828" xr:uid="{00000000-0005-0000-0000-00002F590000}"/>
    <cellStyle name="Normal 2 2 2 11 2 2 3" xfId="22829" xr:uid="{00000000-0005-0000-0000-000030590000}"/>
    <cellStyle name="Normal 2 2 2 11 2 3" xfId="22830" xr:uid="{00000000-0005-0000-0000-000031590000}"/>
    <cellStyle name="Normal 2 2 2 11 2 4" xfId="22831" xr:uid="{00000000-0005-0000-0000-000032590000}"/>
    <cellStyle name="Normal 2 2 2 11 2 5" xfId="22832" xr:uid="{00000000-0005-0000-0000-000033590000}"/>
    <cellStyle name="Normal 2 2 2 11 2 6" xfId="22833" xr:uid="{00000000-0005-0000-0000-000034590000}"/>
    <cellStyle name="Normal 2 2 2 11 3" xfId="22834" xr:uid="{00000000-0005-0000-0000-000035590000}"/>
    <cellStyle name="Normal 2 2 2 11 3 2" xfId="22835" xr:uid="{00000000-0005-0000-0000-000036590000}"/>
    <cellStyle name="Normal 2 2 2 11 3 2 2" xfId="22836" xr:uid="{00000000-0005-0000-0000-000037590000}"/>
    <cellStyle name="Normal 2 2 2 11 3 2 3" xfId="22837" xr:uid="{00000000-0005-0000-0000-000038590000}"/>
    <cellStyle name="Normal 2 2 2 11 3 3" xfId="22838" xr:uid="{00000000-0005-0000-0000-000039590000}"/>
    <cellStyle name="Normal 2 2 2 11 3 4" xfId="22839" xr:uid="{00000000-0005-0000-0000-00003A590000}"/>
    <cellStyle name="Normal 2 2 2 11 3 5" xfId="22840" xr:uid="{00000000-0005-0000-0000-00003B590000}"/>
    <cellStyle name="Normal 2 2 2 11 3 6" xfId="22841" xr:uid="{00000000-0005-0000-0000-00003C590000}"/>
    <cellStyle name="Normal 2 2 2 11 4" xfId="22842" xr:uid="{00000000-0005-0000-0000-00003D590000}"/>
    <cellStyle name="Normal 2 2 2 11 4 2" xfId="22843" xr:uid="{00000000-0005-0000-0000-00003E590000}"/>
    <cellStyle name="Normal 2 2 2 11 4 2 2" xfId="22844" xr:uid="{00000000-0005-0000-0000-00003F590000}"/>
    <cellStyle name="Normal 2 2 2 11 4 3" xfId="22845" xr:uid="{00000000-0005-0000-0000-000040590000}"/>
    <cellStyle name="Normal 2 2 2 11 4 4" xfId="22846" xr:uid="{00000000-0005-0000-0000-000041590000}"/>
    <cellStyle name="Normal 2 2 2 11 4 5" xfId="22847" xr:uid="{00000000-0005-0000-0000-000042590000}"/>
    <cellStyle name="Normal 2 2 2 11 5" xfId="22848" xr:uid="{00000000-0005-0000-0000-000043590000}"/>
    <cellStyle name="Normal 2 2 2 11 5 2" xfId="22849" xr:uid="{00000000-0005-0000-0000-000044590000}"/>
    <cellStyle name="Normal 2 2 2 11 5 3" xfId="22850" xr:uid="{00000000-0005-0000-0000-000045590000}"/>
    <cellStyle name="Normal 2 2 2 11 5 4" xfId="22851" xr:uid="{00000000-0005-0000-0000-000046590000}"/>
    <cellStyle name="Normal 2 2 2 11 6" xfId="22852" xr:uid="{00000000-0005-0000-0000-000047590000}"/>
    <cellStyle name="Normal 2 2 2 11 6 2" xfId="22853" xr:uid="{00000000-0005-0000-0000-000048590000}"/>
    <cellStyle name="Normal 2 2 2 11 7" xfId="22854" xr:uid="{00000000-0005-0000-0000-000049590000}"/>
    <cellStyle name="Normal 2 2 2 11 8" xfId="22855" xr:uid="{00000000-0005-0000-0000-00004A590000}"/>
    <cellStyle name="Normal 2 2 2 11 9" xfId="22856" xr:uid="{00000000-0005-0000-0000-00004B590000}"/>
    <cellStyle name="Normal 2 2 2 12" xfId="22857" xr:uid="{00000000-0005-0000-0000-00004C590000}"/>
    <cellStyle name="Normal 2 2 2 12 10" xfId="22858" xr:uid="{00000000-0005-0000-0000-00004D590000}"/>
    <cellStyle name="Normal 2 2 2 12 2" xfId="22859" xr:uid="{00000000-0005-0000-0000-00004E590000}"/>
    <cellStyle name="Normal 2 2 2 12 2 2" xfId="22860" xr:uid="{00000000-0005-0000-0000-00004F590000}"/>
    <cellStyle name="Normal 2 2 2 12 2 2 2" xfId="22861" xr:uid="{00000000-0005-0000-0000-000050590000}"/>
    <cellStyle name="Normal 2 2 2 12 2 2 3" xfId="22862" xr:uid="{00000000-0005-0000-0000-000051590000}"/>
    <cellStyle name="Normal 2 2 2 12 2 3" xfId="22863" xr:uid="{00000000-0005-0000-0000-000052590000}"/>
    <cellStyle name="Normal 2 2 2 12 2 4" xfId="22864" xr:uid="{00000000-0005-0000-0000-000053590000}"/>
    <cellStyle name="Normal 2 2 2 12 2 5" xfId="22865" xr:uid="{00000000-0005-0000-0000-000054590000}"/>
    <cellStyle name="Normal 2 2 2 12 2 6" xfId="22866" xr:uid="{00000000-0005-0000-0000-000055590000}"/>
    <cellStyle name="Normal 2 2 2 12 3" xfId="22867" xr:uid="{00000000-0005-0000-0000-000056590000}"/>
    <cellStyle name="Normal 2 2 2 12 3 2" xfId="22868" xr:uid="{00000000-0005-0000-0000-000057590000}"/>
    <cellStyle name="Normal 2 2 2 12 3 2 2" xfId="22869" xr:uid="{00000000-0005-0000-0000-000058590000}"/>
    <cellStyle name="Normal 2 2 2 12 3 2 3" xfId="22870" xr:uid="{00000000-0005-0000-0000-000059590000}"/>
    <cellStyle name="Normal 2 2 2 12 3 3" xfId="22871" xr:uid="{00000000-0005-0000-0000-00005A590000}"/>
    <cellStyle name="Normal 2 2 2 12 3 4" xfId="22872" xr:uid="{00000000-0005-0000-0000-00005B590000}"/>
    <cellStyle name="Normal 2 2 2 12 3 5" xfId="22873" xr:uid="{00000000-0005-0000-0000-00005C590000}"/>
    <cellStyle name="Normal 2 2 2 12 3 6" xfId="22874" xr:uid="{00000000-0005-0000-0000-00005D590000}"/>
    <cellStyle name="Normal 2 2 2 12 4" xfId="22875" xr:uid="{00000000-0005-0000-0000-00005E590000}"/>
    <cellStyle name="Normal 2 2 2 12 4 2" xfId="22876" xr:uid="{00000000-0005-0000-0000-00005F590000}"/>
    <cellStyle name="Normal 2 2 2 12 4 2 2" xfId="22877" xr:uid="{00000000-0005-0000-0000-000060590000}"/>
    <cellStyle name="Normal 2 2 2 12 4 3" xfId="22878" xr:uid="{00000000-0005-0000-0000-000061590000}"/>
    <cellStyle name="Normal 2 2 2 12 4 4" xfId="22879" xr:uid="{00000000-0005-0000-0000-000062590000}"/>
    <cellStyle name="Normal 2 2 2 12 4 5" xfId="22880" xr:uid="{00000000-0005-0000-0000-000063590000}"/>
    <cellStyle name="Normal 2 2 2 12 5" xfId="22881" xr:uid="{00000000-0005-0000-0000-000064590000}"/>
    <cellStyle name="Normal 2 2 2 12 5 2" xfId="22882" xr:uid="{00000000-0005-0000-0000-000065590000}"/>
    <cellStyle name="Normal 2 2 2 12 5 3" xfId="22883" xr:uid="{00000000-0005-0000-0000-000066590000}"/>
    <cellStyle name="Normal 2 2 2 12 5 4" xfId="22884" xr:uid="{00000000-0005-0000-0000-000067590000}"/>
    <cellStyle name="Normal 2 2 2 12 6" xfId="22885" xr:uid="{00000000-0005-0000-0000-000068590000}"/>
    <cellStyle name="Normal 2 2 2 12 6 2" xfId="22886" xr:uid="{00000000-0005-0000-0000-000069590000}"/>
    <cellStyle name="Normal 2 2 2 12 7" xfId="22887" xr:uid="{00000000-0005-0000-0000-00006A590000}"/>
    <cellStyle name="Normal 2 2 2 12 8" xfId="22888" xr:uid="{00000000-0005-0000-0000-00006B590000}"/>
    <cellStyle name="Normal 2 2 2 12 9" xfId="22889" xr:uid="{00000000-0005-0000-0000-00006C590000}"/>
    <cellStyle name="Normal 2 2 2 13" xfId="22890" xr:uid="{00000000-0005-0000-0000-00006D590000}"/>
    <cellStyle name="Normal 2 2 2 13 10" xfId="22891" xr:uid="{00000000-0005-0000-0000-00006E590000}"/>
    <cellStyle name="Normal 2 2 2 13 2" xfId="22892" xr:uid="{00000000-0005-0000-0000-00006F590000}"/>
    <cellStyle name="Normal 2 2 2 13 2 2" xfId="22893" xr:uid="{00000000-0005-0000-0000-000070590000}"/>
    <cellStyle name="Normal 2 2 2 13 2 2 2" xfId="22894" xr:uid="{00000000-0005-0000-0000-000071590000}"/>
    <cellStyle name="Normal 2 2 2 13 2 2 3" xfId="22895" xr:uid="{00000000-0005-0000-0000-000072590000}"/>
    <cellStyle name="Normal 2 2 2 13 2 3" xfId="22896" xr:uid="{00000000-0005-0000-0000-000073590000}"/>
    <cellStyle name="Normal 2 2 2 13 2 4" xfId="22897" xr:uid="{00000000-0005-0000-0000-000074590000}"/>
    <cellStyle name="Normal 2 2 2 13 2 5" xfId="22898" xr:uid="{00000000-0005-0000-0000-000075590000}"/>
    <cellStyle name="Normal 2 2 2 13 2 6" xfId="22899" xr:uid="{00000000-0005-0000-0000-000076590000}"/>
    <cellStyle name="Normal 2 2 2 13 3" xfId="22900" xr:uid="{00000000-0005-0000-0000-000077590000}"/>
    <cellStyle name="Normal 2 2 2 13 3 2" xfId="22901" xr:uid="{00000000-0005-0000-0000-000078590000}"/>
    <cellStyle name="Normal 2 2 2 13 3 2 2" xfId="22902" xr:uid="{00000000-0005-0000-0000-000079590000}"/>
    <cellStyle name="Normal 2 2 2 13 3 2 3" xfId="22903" xr:uid="{00000000-0005-0000-0000-00007A590000}"/>
    <cellStyle name="Normal 2 2 2 13 3 3" xfId="22904" xr:uid="{00000000-0005-0000-0000-00007B590000}"/>
    <cellStyle name="Normal 2 2 2 13 3 4" xfId="22905" xr:uid="{00000000-0005-0000-0000-00007C590000}"/>
    <cellStyle name="Normal 2 2 2 13 3 5" xfId="22906" xr:uid="{00000000-0005-0000-0000-00007D590000}"/>
    <cellStyle name="Normal 2 2 2 13 3 6" xfId="22907" xr:uid="{00000000-0005-0000-0000-00007E590000}"/>
    <cellStyle name="Normal 2 2 2 13 4" xfId="22908" xr:uid="{00000000-0005-0000-0000-00007F590000}"/>
    <cellStyle name="Normal 2 2 2 13 4 2" xfId="22909" xr:uid="{00000000-0005-0000-0000-000080590000}"/>
    <cellStyle name="Normal 2 2 2 13 4 2 2" xfId="22910" xr:uid="{00000000-0005-0000-0000-000081590000}"/>
    <cellStyle name="Normal 2 2 2 13 4 3" xfId="22911" xr:uid="{00000000-0005-0000-0000-000082590000}"/>
    <cellStyle name="Normal 2 2 2 13 4 4" xfId="22912" xr:uid="{00000000-0005-0000-0000-000083590000}"/>
    <cellStyle name="Normal 2 2 2 13 4 5" xfId="22913" xr:uid="{00000000-0005-0000-0000-000084590000}"/>
    <cellStyle name="Normal 2 2 2 13 5" xfId="22914" xr:uid="{00000000-0005-0000-0000-000085590000}"/>
    <cellStyle name="Normal 2 2 2 13 5 2" xfId="22915" xr:uid="{00000000-0005-0000-0000-000086590000}"/>
    <cellStyle name="Normal 2 2 2 13 5 3" xfId="22916" xr:uid="{00000000-0005-0000-0000-000087590000}"/>
    <cellStyle name="Normal 2 2 2 13 5 4" xfId="22917" xr:uid="{00000000-0005-0000-0000-000088590000}"/>
    <cellStyle name="Normal 2 2 2 13 6" xfId="22918" xr:uid="{00000000-0005-0000-0000-000089590000}"/>
    <cellStyle name="Normal 2 2 2 13 6 2" xfId="22919" xr:uid="{00000000-0005-0000-0000-00008A590000}"/>
    <cellStyle name="Normal 2 2 2 13 7" xfId="22920" xr:uid="{00000000-0005-0000-0000-00008B590000}"/>
    <cellStyle name="Normal 2 2 2 13 8" xfId="22921" xr:uid="{00000000-0005-0000-0000-00008C590000}"/>
    <cellStyle name="Normal 2 2 2 13 9" xfId="22922" xr:uid="{00000000-0005-0000-0000-00008D590000}"/>
    <cellStyle name="Normal 2 2 2 14" xfId="22923" xr:uid="{00000000-0005-0000-0000-00008E590000}"/>
    <cellStyle name="Normal 2 2 2 14 10" xfId="22924" xr:uid="{00000000-0005-0000-0000-00008F590000}"/>
    <cellStyle name="Normal 2 2 2 14 2" xfId="22925" xr:uid="{00000000-0005-0000-0000-000090590000}"/>
    <cellStyle name="Normal 2 2 2 14 2 2" xfId="22926" xr:uid="{00000000-0005-0000-0000-000091590000}"/>
    <cellStyle name="Normal 2 2 2 14 2 2 2" xfId="22927" xr:uid="{00000000-0005-0000-0000-000092590000}"/>
    <cellStyle name="Normal 2 2 2 14 2 2 3" xfId="22928" xr:uid="{00000000-0005-0000-0000-000093590000}"/>
    <cellStyle name="Normal 2 2 2 14 2 3" xfId="22929" xr:uid="{00000000-0005-0000-0000-000094590000}"/>
    <cellStyle name="Normal 2 2 2 14 2 4" xfId="22930" xr:uid="{00000000-0005-0000-0000-000095590000}"/>
    <cellStyle name="Normal 2 2 2 14 2 5" xfId="22931" xr:uid="{00000000-0005-0000-0000-000096590000}"/>
    <cellStyle name="Normal 2 2 2 14 2 6" xfId="22932" xr:uid="{00000000-0005-0000-0000-000097590000}"/>
    <cellStyle name="Normal 2 2 2 14 3" xfId="22933" xr:uid="{00000000-0005-0000-0000-000098590000}"/>
    <cellStyle name="Normal 2 2 2 14 3 2" xfId="22934" xr:uid="{00000000-0005-0000-0000-000099590000}"/>
    <cellStyle name="Normal 2 2 2 14 3 2 2" xfId="22935" xr:uid="{00000000-0005-0000-0000-00009A590000}"/>
    <cellStyle name="Normal 2 2 2 14 3 2 3" xfId="22936" xr:uid="{00000000-0005-0000-0000-00009B590000}"/>
    <cellStyle name="Normal 2 2 2 14 3 3" xfId="22937" xr:uid="{00000000-0005-0000-0000-00009C590000}"/>
    <cellStyle name="Normal 2 2 2 14 3 4" xfId="22938" xr:uid="{00000000-0005-0000-0000-00009D590000}"/>
    <cellStyle name="Normal 2 2 2 14 3 5" xfId="22939" xr:uid="{00000000-0005-0000-0000-00009E590000}"/>
    <cellStyle name="Normal 2 2 2 14 3 6" xfId="22940" xr:uid="{00000000-0005-0000-0000-00009F590000}"/>
    <cellStyle name="Normal 2 2 2 14 4" xfId="22941" xr:uid="{00000000-0005-0000-0000-0000A0590000}"/>
    <cellStyle name="Normal 2 2 2 14 4 2" xfId="22942" xr:uid="{00000000-0005-0000-0000-0000A1590000}"/>
    <cellStyle name="Normal 2 2 2 14 4 2 2" xfId="22943" xr:uid="{00000000-0005-0000-0000-0000A2590000}"/>
    <cellStyle name="Normal 2 2 2 14 4 3" xfId="22944" xr:uid="{00000000-0005-0000-0000-0000A3590000}"/>
    <cellStyle name="Normal 2 2 2 14 4 4" xfId="22945" xr:uid="{00000000-0005-0000-0000-0000A4590000}"/>
    <cellStyle name="Normal 2 2 2 14 4 5" xfId="22946" xr:uid="{00000000-0005-0000-0000-0000A5590000}"/>
    <cellStyle name="Normal 2 2 2 14 5" xfId="22947" xr:uid="{00000000-0005-0000-0000-0000A6590000}"/>
    <cellStyle name="Normal 2 2 2 14 5 2" xfId="22948" xr:uid="{00000000-0005-0000-0000-0000A7590000}"/>
    <cellStyle name="Normal 2 2 2 14 5 3" xfId="22949" xr:uid="{00000000-0005-0000-0000-0000A8590000}"/>
    <cellStyle name="Normal 2 2 2 14 5 4" xfId="22950" xr:uid="{00000000-0005-0000-0000-0000A9590000}"/>
    <cellStyle name="Normal 2 2 2 14 6" xfId="22951" xr:uid="{00000000-0005-0000-0000-0000AA590000}"/>
    <cellStyle name="Normal 2 2 2 14 6 2" xfId="22952" xr:uid="{00000000-0005-0000-0000-0000AB590000}"/>
    <cellStyle name="Normal 2 2 2 14 7" xfId="22953" xr:uid="{00000000-0005-0000-0000-0000AC590000}"/>
    <cellStyle name="Normal 2 2 2 14 8" xfId="22954" xr:uid="{00000000-0005-0000-0000-0000AD590000}"/>
    <cellStyle name="Normal 2 2 2 14 9" xfId="22955" xr:uid="{00000000-0005-0000-0000-0000AE590000}"/>
    <cellStyle name="Normal 2 2 2 15" xfId="22956" xr:uid="{00000000-0005-0000-0000-0000AF590000}"/>
    <cellStyle name="Normal 2 2 2 15 10" xfId="22957" xr:uid="{00000000-0005-0000-0000-0000B0590000}"/>
    <cellStyle name="Normal 2 2 2 15 2" xfId="22958" xr:uid="{00000000-0005-0000-0000-0000B1590000}"/>
    <cellStyle name="Normal 2 2 2 15 2 2" xfId="22959" xr:uid="{00000000-0005-0000-0000-0000B2590000}"/>
    <cellStyle name="Normal 2 2 2 15 2 2 2" xfId="22960" xr:uid="{00000000-0005-0000-0000-0000B3590000}"/>
    <cellStyle name="Normal 2 2 2 15 2 2 3" xfId="22961" xr:uid="{00000000-0005-0000-0000-0000B4590000}"/>
    <cellStyle name="Normal 2 2 2 15 2 3" xfId="22962" xr:uid="{00000000-0005-0000-0000-0000B5590000}"/>
    <cellStyle name="Normal 2 2 2 15 2 4" xfId="22963" xr:uid="{00000000-0005-0000-0000-0000B6590000}"/>
    <cellStyle name="Normal 2 2 2 15 2 5" xfId="22964" xr:uid="{00000000-0005-0000-0000-0000B7590000}"/>
    <cellStyle name="Normal 2 2 2 15 2 6" xfId="22965" xr:uid="{00000000-0005-0000-0000-0000B8590000}"/>
    <cellStyle name="Normal 2 2 2 15 3" xfId="22966" xr:uid="{00000000-0005-0000-0000-0000B9590000}"/>
    <cellStyle name="Normal 2 2 2 15 3 2" xfId="22967" xr:uid="{00000000-0005-0000-0000-0000BA590000}"/>
    <cellStyle name="Normal 2 2 2 15 3 2 2" xfId="22968" xr:uid="{00000000-0005-0000-0000-0000BB590000}"/>
    <cellStyle name="Normal 2 2 2 15 3 2 3" xfId="22969" xr:uid="{00000000-0005-0000-0000-0000BC590000}"/>
    <cellStyle name="Normal 2 2 2 15 3 3" xfId="22970" xr:uid="{00000000-0005-0000-0000-0000BD590000}"/>
    <cellStyle name="Normal 2 2 2 15 3 4" xfId="22971" xr:uid="{00000000-0005-0000-0000-0000BE590000}"/>
    <cellStyle name="Normal 2 2 2 15 3 5" xfId="22972" xr:uid="{00000000-0005-0000-0000-0000BF590000}"/>
    <cellStyle name="Normal 2 2 2 15 3 6" xfId="22973" xr:uid="{00000000-0005-0000-0000-0000C0590000}"/>
    <cellStyle name="Normal 2 2 2 15 4" xfId="22974" xr:uid="{00000000-0005-0000-0000-0000C1590000}"/>
    <cellStyle name="Normal 2 2 2 15 4 2" xfId="22975" xr:uid="{00000000-0005-0000-0000-0000C2590000}"/>
    <cellStyle name="Normal 2 2 2 15 4 2 2" xfId="22976" xr:uid="{00000000-0005-0000-0000-0000C3590000}"/>
    <cellStyle name="Normal 2 2 2 15 4 3" xfId="22977" xr:uid="{00000000-0005-0000-0000-0000C4590000}"/>
    <cellStyle name="Normal 2 2 2 15 4 4" xfId="22978" xr:uid="{00000000-0005-0000-0000-0000C5590000}"/>
    <cellStyle name="Normal 2 2 2 15 4 5" xfId="22979" xr:uid="{00000000-0005-0000-0000-0000C6590000}"/>
    <cellStyle name="Normal 2 2 2 15 5" xfId="22980" xr:uid="{00000000-0005-0000-0000-0000C7590000}"/>
    <cellStyle name="Normal 2 2 2 15 5 2" xfId="22981" xr:uid="{00000000-0005-0000-0000-0000C8590000}"/>
    <cellStyle name="Normal 2 2 2 15 5 3" xfId="22982" xr:uid="{00000000-0005-0000-0000-0000C9590000}"/>
    <cellStyle name="Normal 2 2 2 15 5 4" xfId="22983" xr:uid="{00000000-0005-0000-0000-0000CA590000}"/>
    <cellStyle name="Normal 2 2 2 15 6" xfId="22984" xr:uid="{00000000-0005-0000-0000-0000CB590000}"/>
    <cellStyle name="Normal 2 2 2 15 6 2" xfId="22985" xr:uid="{00000000-0005-0000-0000-0000CC590000}"/>
    <cellStyle name="Normal 2 2 2 15 7" xfId="22986" xr:uid="{00000000-0005-0000-0000-0000CD590000}"/>
    <cellStyle name="Normal 2 2 2 15 8" xfId="22987" xr:uid="{00000000-0005-0000-0000-0000CE590000}"/>
    <cellStyle name="Normal 2 2 2 15 9" xfId="22988" xr:uid="{00000000-0005-0000-0000-0000CF590000}"/>
    <cellStyle name="Normal 2 2 2 16" xfId="22989" xr:uid="{00000000-0005-0000-0000-0000D0590000}"/>
    <cellStyle name="Normal 2 2 2 16 10" xfId="22990" xr:uid="{00000000-0005-0000-0000-0000D1590000}"/>
    <cellStyle name="Normal 2 2 2 16 2" xfId="22991" xr:uid="{00000000-0005-0000-0000-0000D2590000}"/>
    <cellStyle name="Normal 2 2 2 16 2 2" xfId="22992" xr:uid="{00000000-0005-0000-0000-0000D3590000}"/>
    <cellStyle name="Normal 2 2 2 16 2 2 2" xfId="22993" xr:uid="{00000000-0005-0000-0000-0000D4590000}"/>
    <cellStyle name="Normal 2 2 2 16 2 2 3" xfId="22994" xr:uid="{00000000-0005-0000-0000-0000D5590000}"/>
    <cellStyle name="Normal 2 2 2 16 2 3" xfId="22995" xr:uid="{00000000-0005-0000-0000-0000D6590000}"/>
    <cellStyle name="Normal 2 2 2 16 2 4" xfId="22996" xr:uid="{00000000-0005-0000-0000-0000D7590000}"/>
    <cellStyle name="Normal 2 2 2 16 2 5" xfId="22997" xr:uid="{00000000-0005-0000-0000-0000D8590000}"/>
    <cellStyle name="Normal 2 2 2 16 2 6" xfId="22998" xr:uid="{00000000-0005-0000-0000-0000D9590000}"/>
    <cellStyle name="Normal 2 2 2 16 3" xfId="22999" xr:uid="{00000000-0005-0000-0000-0000DA590000}"/>
    <cellStyle name="Normal 2 2 2 16 3 2" xfId="23000" xr:uid="{00000000-0005-0000-0000-0000DB590000}"/>
    <cellStyle name="Normal 2 2 2 16 3 2 2" xfId="23001" xr:uid="{00000000-0005-0000-0000-0000DC590000}"/>
    <cellStyle name="Normal 2 2 2 16 3 2 3" xfId="23002" xr:uid="{00000000-0005-0000-0000-0000DD590000}"/>
    <cellStyle name="Normal 2 2 2 16 3 3" xfId="23003" xr:uid="{00000000-0005-0000-0000-0000DE590000}"/>
    <cellStyle name="Normal 2 2 2 16 3 4" xfId="23004" xr:uid="{00000000-0005-0000-0000-0000DF590000}"/>
    <cellStyle name="Normal 2 2 2 16 3 5" xfId="23005" xr:uid="{00000000-0005-0000-0000-0000E0590000}"/>
    <cellStyle name="Normal 2 2 2 16 3 6" xfId="23006" xr:uid="{00000000-0005-0000-0000-0000E1590000}"/>
    <cellStyle name="Normal 2 2 2 16 4" xfId="23007" xr:uid="{00000000-0005-0000-0000-0000E2590000}"/>
    <cellStyle name="Normal 2 2 2 16 4 2" xfId="23008" xr:uid="{00000000-0005-0000-0000-0000E3590000}"/>
    <cellStyle name="Normal 2 2 2 16 4 2 2" xfId="23009" xr:uid="{00000000-0005-0000-0000-0000E4590000}"/>
    <cellStyle name="Normal 2 2 2 16 4 3" xfId="23010" xr:uid="{00000000-0005-0000-0000-0000E5590000}"/>
    <cellStyle name="Normal 2 2 2 16 4 4" xfId="23011" xr:uid="{00000000-0005-0000-0000-0000E6590000}"/>
    <cellStyle name="Normal 2 2 2 16 4 5" xfId="23012" xr:uid="{00000000-0005-0000-0000-0000E7590000}"/>
    <cellStyle name="Normal 2 2 2 16 5" xfId="23013" xr:uid="{00000000-0005-0000-0000-0000E8590000}"/>
    <cellStyle name="Normal 2 2 2 16 5 2" xfId="23014" xr:uid="{00000000-0005-0000-0000-0000E9590000}"/>
    <cellStyle name="Normal 2 2 2 16 5 3" xfId="23015" xr:uid="{00000000-0005-0000-0000-0000EA590000}"/>
    <cellStyle name="Normal 2 2 2 16 5 4" xfId="23016" xr:uid="{00000000-0005-0000-0000-0000EB590000}"/>
    <cellStyle name="Normal 2 2 2 16 6" xfId="23017" xr:uid="{00000000-0005-0000-0000-0000EC590000}"/>
    <cellStyle name="Normal 2 2 2 16 6 2" xfId="23018" xr:uid="{00000000-0005-0000-0000-0000ED590000}"/>
    <cellStyle name="Normal 2 2 2 16 7" xfId="23019" xr:uid="{00000000-0005-0000-0000-0000EE590000}"/>
    <cellStyle name="Normal 2 2 2 16 8" xfId="23020" xr:uid="{00000000-0005-0000-0000-0000EF590000}"/>
    <cellStyle name="Normal 2 2 2 16 9" xfId="23021" xr:uid="{00000000-0005-0000-0000-0000F0590000}"/>
    <cellStyle name="Normal 2 2 2 17" xfId="23022" xr:uid="{00000000-0005-0000-0000-0000F1590000}"/>
    <cellStyle name="Normal 2 2 2 17 10" xfId="23023" xr:uid="{00000000-0005-0000-0000-0000F2590000}"/>
    <cellStyle name="Normal 2 2 2 17 2" xfId="23024" xr:uid="{00000000-0005-0000-0000-0000F3590000}"/>
    <cellStyle name="Normal 2 2 2 17 2 2" xfId="23025" xr:uid="{00000000-0005-0000-0000-0000F4590000}"/>
    <cellStyle name="Normal 2 2 2 17 2 2 2" xfId="23026" xr:uid="{00000000-0005-0000-0000-0000F5590000}"/>
    <cellStyle name="Normal 2 2 2 17 2 2 3" xfId="23027" xr:uid="{00000000-0005-0000-0000-0000F6590000}"/>
    <cellStyle name="Normal 2 2 2 17 2 3" xfId="23028" xr:uid="{00000000-0005-0000-0000-0000F7590000}"/>
    <cellStyle name="Normal 2 2 2 17 2 4" xfId="23029" xr:uid="{00000000-0005-0000-0000-0000F8590000}"/>
    <cellStyle name="Normal 2 2 2 17 2 5" xfId="23030" xr:uid="{00000000-0005-0000-0000-0000F9590000}"/>
    <cellStyle name="Normal 2 2 2 17 2 6" xfId="23031" xr:uid="{00000000-0005-0000-0000-0000FA590000}"/>
    <cellStyle name="Normal 2 2 2 17 3" xfId="23032" xr:uid="{00000000-0005-0000-0000-0000FB590000}"/>
    <cellStyle name="Normal 2 2 2 17 3 2" xfId="23033" xr:uid="{00000000-0005-0000-0000-0000FC590000}"/>
    <cellStyle name="Normal 2 2 2 17 3 2 2" xfId="23034" xr:uid="{00000000-0005-0000-0000-0000FD590000}"/>
    <cellStyle name="Normal 2 2 2 17 3 2 3" xfId="23035" xr:uid="{00000000-0005-0000-0000-0000FE590000}"/>
    <cellStyle name="Normal 2 2 2 17 3 3" xfId="23036" xr:uid="{00000000-0005-0000-0000-0000FF590000}"/>
    <cellStyle name="Normal 2 2 2 17 3 4" xfId="23037" xr:uid="{00000000-0005-0000-0000-0000005A0000}"/>
    <cellStyle name="Normal 2 2 2 17 3 5" xfId="23038" xr:uid="{00000000-0005-0000-0000-0000015A0000}"/>
    <cellStyle name="Normal 2 2 2 17 3 6" xfId="23039" xr:uid="{00000000-0005-0000-0000-0000025A0000}"/>
    <cellStyle name="Normal 2 2 2 17 4" xfId="23040" xr:uid="{00000000-0005-0000-0000-0000035A0000}"/>
    <cellStyle name="Normal 2 2 2 17 4 2" xfId="23041" xr:uid="{00000000-0005-0000-0000-0000045A0000}"/>
    <cellStyle name="Normal 2 2 2 17 4 2 2" xfId="23042" xr:uid="{00000000-0005-0000-0000-0000055A0000}"/>
    <cellStyle name="Normal 2 2 2 17 4 3" xfId="23043" xr:uid="{00000000-0005-0000-0000-0000065A0000}"/>
    <cellStyle name="Normal 2 2 2 17 4 4" xfId="23044" xr:uid="{00000000-0005-0000-0000-0000075A0000}"/>
    <cellStyle name="Normal 2 2 2 17 4 5" xfId="23045" xr:uid="{00000000-0005-0000-0000-0000085A0000}"/>
    <cellStyle name="Normal 2 2 2 17 5" xfId="23046" xr:uid="{00000000-0005-0000-0000-0000095A0000}"/>
    <cellStyle name="Normal 2 2 2 17 5 2" xfId="23047" xr:uid="{00000000-0005-0000-0000-00000A5A0000}"/>
    <cellStyle name="Normal 2 2 2 17 5 3" xfId="23048" xr:uid="{00000000-0005-0000-0000-00000B5A0000}"/>
    <cellStyle name="Normal 2 2 2 17 5 4" xfId="23049" xr:uid="{00000000-0005-0000-0000-00000C5A0000}"/>
    <cellStyle name="Normal 2 2 2 17 6" xfId="23050" xr:uid="{00000000-0005-0000-0000-00000D5A0000}"/>
    <cellStyle name="Normal 2 2 2 17 6 2" xfId="23051" xr:uid="{00000000-0005-0000-0000-00000E5A0000}"/>
    <cellStyle name="Normal 2 2 2 17 7" xfId="23052" xr:uid="{00000000-0005-0000-0000-00000F5A0000}"/>
    <cellStyle name="Normal 2 2 2 17 8" xfId="23053" xr:uid="{00000000-0005-0000-0000-0000105A0000}"/>
    <cellStyle name="Normal 2 2 2 17 9" xfId="23054" xr:uid="{00000000-0005-0000-0000-0000115A0000}"/>
    <cellStyle name="Normal 2 2 2 18" xfId="23055" xr:uid="{00000000-0005-0000-0000-0000125A0000}"/>
    <cellStyle name="Normal 2 2 2 18 10" xfId="23056" xr:uid="{00000000-0005-0000-0000-0000135A0000}"/>
    <cellStyle name="Normal 2 2 2 18 2" xfId="23057" xr:uid="{00000000-0005-0000-0000-0000145A0000}"/>
    <cellStyle name="Normal 2 2 2 18 2 2" xfId="23058" xr:uid="{00000000-0005-0000-0000-0000155A0000}"/>
    <cellStyle name="Normal 2 2 2 18 2 2 2" xfId="23059" xr:uid="{00000000-0005-0000-0000-0000165A0000}"/>
    <cellStyle name="Normal 2 2 2 18 2 2 3" xfId="23060" xr:uid="{00000000-0005-0000-0000-0000175A0000}"/>
    <cellStyle name="Normal 2 2 2 18 2 3" xfId="23061" xr:uid="{00000000-0005-0000-0000-0000185A0000}"/>
    <cellStyle name="Normal 2 2 2 18 2 4" xfId="23062" xr:uid="{00000000-0005-0000-0000-0000195A0000}"/>
    <cellStyle name="Normal 2 2 2 18 2 5" xfId="23063" xr:uid="{00000000-0005-0000-0000-00001A5A0000}"/>
    <cellStyle name="Normal 2 2 2 18 2 6" xfId="23064" xr:uid="{00000000-0005-0000-0000-00001B5A0000}"/>
    <cellStyle name="Normal 2 2 2 18 3" xfId="23065" xr:uid="{00000000-0005-0000-0000-00001C5A0000}"/>
    <cellStyle name="Normal 2 2 2 18 3 2" xfId="23066" xr:uid="{00000000-0005-0000-0000-00001D5A0000}"/>
    <cellStyle name="Normal 2 2 2 18 3 2 2" xfId="23067" xr:uid="{00000000-0005-0000-0000-00001E5A0000}"/>
    <cellStyle name="Normal 2 2 2 18 3 2 3" xfId="23068" xr:uid="{00000000-0005-0000-0000-00001F5A0000}"/>
    <cellStyle name="Normal 2 2 2 18 3 3" xfId="23069" xr:uid="{00000000-0005-0000-0000-0000205A0000}"/>
    <cellStyle name="Normal 2 2 2 18 3 4" xfId="23070" xr:uid="{00000000-0005-0000-0000-0000215A0000}"/>
    <cellStyle name="Normal 2 2 2 18 3 5" xfId="23071" xr:uid="{00000000-0005-0000-0000-0000225A0000}"/>
    <cellStyle name="Normal 2 2 2 18 3 6" xfId="23072" xr:uid="{00000000-0005-0000-0000-0000235A0000}"/>
    <cellStyle name="Normal 2 2 2 18 4" xfId="23073" xr:uid="{00000000-0005-0000-0000-0000245A0000}"/>
    <cellStyle name="Normal 2 2 2 18 4 2" xfId="23074" xr:uid="{00000000-0005-0000-0000-0000255A0000}"/>
    <cellStyle name="Normal 2 2 2 18 4 2 2" xfId="23075" xr:uid="{00000000-0005-0000-0000-0000265A0000}"/>
    <cellStyle name="Normal 2 2 2 18 4 3" xfId="23076" xr:uid="{00000000-0005-0000-0000-0000275A0000}"/>
    <cellStyle name="Normal 2 2 2 18 4 4" xfId="23077" xr:uid="{00000000-0005-0000-0000-0000285A0000}"/>
    <cellStyle name="Normal 2 2 2 18 4 5" xfId="23078" xr:uid="{00000000-0005-0000-0000-0000295A0000}"/>
    <cellStyle name="Normal 2 2 2 18 5" xfId="23079" xr:uid="{00000000-0005-0000-0000-00002A5A0000}"/>
    <cellStyle name="Normal 2 2 2 18 5 2" xfId="23080" xr:uid="{00000000-0005-0000-0000-00002B5A0000}"/>
    <cellStyle name="Normal 2 2 2 18 5 3" xfId="23081" xr:uid="{00000000-0005-0000-0000-00002C5A0000}"/>
    <cellStyle name="Normal 2 2 2 18 5 4" xfId="23082" xr:uid="{00000000-0005-0000-0000-00002D5A0000}"/>
    <cellStyle name="Normal 2 2 2 18 6" xfId="23083" xr:uid="{00000000-0005-0000-0000-00002E5A0000}"/>
    <cellStyle name="Normal 2 2 2 18 6 2" xfId="23084" xr:uid="{00000000-0005-0000-0000-00002F5A0000}"/>
    <cellStyle name="Normal 2 2 2 18 7" xfId="23085" xr:uid="{00000000-0005-0000-0000-0000305A0000}"/>
    <cellStyle name="Normal 2 2 2 18 8" xfId="23086" xr:uid="{00000000-0005-0000-0000-0000315A0000}"/>
    <cellStyle name="Normal 2 2 2 18 9" xfId="23087" xr:uid="{00000000-0005-0000-0000-0000325A0000}"/>
    <cellStyle name="Normal 2 2 2 19" xfId="23088" xr:uid="{00000000-0005-0000-0000-0000335A0000}"/>
    <cellStyle name="Normal 2 2 2 19 10" xfId="23089" xr:uid="{00000000-0005-0000-0000-0000345A0000}"/>
    <cellStyle name="Normal 2 2 2 19 2" xfId="23090" xr:uid="{00000000-0005-0000-0000-0000355A0000}"/>
    <cellStyle name="Normal 2 2 2 19 2 2" xfId="23091" xr:uid="{00000000-0005-0000-0000-0000365A0000}"/>
    <cellStyle name="Normal 2 2 2 19 2 2 2" xfId="23092" xr:uid="{00000000-0005-0000-0000-0000375A0000}"/>
    <cellStyle name="Normal 2 2 2 19 2 2 3" xfId="23093" xr:uid="{00000000-0005-0000-0000-0000385A0000}"/>
    <cellStyle name="Normal 2 2 2 19 2 3" xfId="23094" xr:uid="{00000000-0005-0000-0000-0000395A0000}"/>
    <cellStyle name="Normal 2 2 2 19 2 4" xfId="23095" xr:uid="{00000000-0005-0000-0000-00003A5A0000}"/>
    <cellStyle name="Normal 2 2 2 19 2 5" xfId="23096" xr:uid="{00000000-0005-0000-0000-00003B5A0000}"/>
    <cellStyle name="Normal 2 2 2 19 2 6" xfId="23097" xr:uid="{00000000-0005-0000-0000-00003C5A0000}"/>
    <cellStyle name="Normal 2 2 2 19 3" xfId="23098" xr:uid="{00000000-0005-0000-0000-00003D5A0000}"/>
    <cellStyle name="Normal 2 2 2 19 3 2" xfId="23099" xr:uid="{00000000-0005-0000-0000-00003E5A0000}"/>
    <cellStyle name="Normal 2 2 2 19 3 2 2" xfId="23100" xr:uid="{00000000-0005-0000-0000-00003F5A0000}"/>
    <cellStyle name="Normal 2 2 2 19 3 2 3" xfId="23101" xr:uid="{00000000-0005-0000-0000-0000405A0000}"/>
    <cellStyle name="Normal 2 2 2 19 3 3" xfId="23102" xr:uid="{00000000-0005-0000-0000-0000415A0000}"/>
    <cellStyle name="Normal 2 2 2 19 3 4" xfId="23103" xr:uid="{00000000-0005-0000-0000-0000425A0000}"/>
    <cellStyle name="Normal 2 2 2 19 3 5" xfId="23104" xr:uid="{00000000-0005-0000-0000-0000435A0000}"/>
    <cellStyle name="Normal 2 2 2 19 3 6" xfId="23105" xr:uid="{00000000-0005-0000-0000-0000445A0000}"/>
    <cellStyle name="Normal 2 2 2 19 4" xfId="23106" xr:uid="{00000000-0005-0000-0000-0000455A0000}"/>
    <cellStyle name="Normal 2 2 2 19 4 2" xfId="23107" xr:uid="{00000000-0005-0000-0000-0000465A0000}"/>
    <cellStyle name="Normal 2 2 2 19 4 2 2" xfId="23108" xr:uid="{00000000-0005-0000-0000-0000475A0000}"/>
    <cellStyle name="Normal 2 2 2 19 4 3" xfId="23109" xr:uid="{00000000-0005-0000-0000-0000485A0000}"/>
    <cellStyle name="Normal 2 2 2 19 4 4" xfId="23110" xr:uid="{00000000-0005-0000-0000-0000495A0000}"/>
    <cellStyle name="Normal 2 2 2 19 4 5" xfId="23111" xr:uid="{00000000-0005-0000-0000-00004A5A0000}"/>
    <cellStyle name="Normal 2 2 2 19 5" xfId="23112" xr:uid="{00000000-0005-0000-0000-00004B5A0000}"/>
    <cellStyle name="Normal 2 2 2 19 5 2" xfId="23113" xr:uid="{00000000-0005-0000-0000-00004C5A0000}"/>
    <cellStyle name="Normal 2 2 2 19 5 3" xfId="23114" xr:uid="{00000000-0005-0000-0000-00004D5A0000}"/>
    <cellStyle name="Normal 2 2 2 19 5 4" xfId="23115" xr:uid="{00000000-0005-0000-0000-00004E5A0000}"/>
    <cellStyle name="Normal 2 2 2 19 6" xfId="23116" xr:uid="{00000000-0005-0000-0000-00004F5A0000}"/>
    <cellStyle name="Normal 2 2 2 19 6 2" xfId="23117" xr:uid="{00000000-0005-0000-0000-0000505A0000}"/>
    <cellStyle name="Normal 2 2 2 19 7" xfId="23118" xr:uid="{00000000-0005-0000-0000-0000515A0000}"/>
    <cellStyle name="Normal 2 2 2 19 8" xfId="23119" xr:uid="{00000000-0005-0000-0000-0000525A0000}"/>
    <cellStyle name="Normal 2 2 2 19 9" xfId="23120" xr:uid="{00000000-0005-0000-0000-0000535A0000}"/>
    <cellStyle name="Normal 2 2 2 2" xfId="23121" xr:uid="{00000000-0005-0000-0000-0000545A0000}"/>
    <cellStyle name="Normal 2 2 2 2 10" xfId="23122" xr:uid="{00000000-0005-0000-0000-0000555A0000}"/>
    <cellStyle name="Normal 2 2 2 2 11" xfId="23123" xr:uid="{00000000-0005-0000-0000-0000565A0000}"/>
    <cellStyle name="Normal 2 2 2 2 2" xfId="23124" xr:uid="{00000000-0005-0000-0000-0000575A0000}"/>
    <cellStyle name="Normal 2 2 2 2 2 2" xfId="23125" xr:uid="{00000000-0005-0000-0000-0000585A0000}"/>
    <cellStyle name="Normal 2 2 2 2 2 2 2" xfId="23126" xr:uid="{00000000-0005-0000-0000-0000595A0000}"/>
    <cellStyle name="Normal 2 2 2 2 2 2 2 2" xfId="23127" xr:uid="{00000000-0005-0000-0000-00005A5A0000}"/>
    <cellStyle name="Normal 2 2 2 2 2 2 2 3" xfId="23128" xr:uid="{00000000-0005-0000-0000-00005B5A0000}"/>
    <cellStyle name="Normal 2 2 2 2 2 2 3" xfId="23129" xr:uid="{00000000-0005-0000-0000-00005C5A0000}"/>
    <cellStyle name="Normal 2 2 2 2 2 2 4" xfId="23130" xr:uid="{00000000-0005-0000-0000-00005D5A0000}"/>
    <cellStyle name="Normal 2 2 2 2 2 2 5" xfId="23131" xr:uid="{00000000-0005-0000-0000-00005E5A0000}"/>
    <cellStyle name="Normal 2 2 2 2 2 2 6" xfId="23132" xr:uid="{00000000-0005-0000-0000-00005F5A0000}"/>
    <cellStyle name="Normal 2 2 2 2 2 3" xfId="23133" xr:uid="{00000000-0005-0000-0000-0000605A0000}"/>
    <cellStyle name="Normal 2 2 2 2 2 3 2" xfId="23134" xr:uid="{00000000-0005-0000-0000-0000615A0000}"/>
    <cellStyle name="Normal 2 2 2 2 2 3 2 2" xfId="23135" xr:uid="{00000000-0005-0000-0000-0000625A0000}"/>
    <cellStyle name="Normal 2 2 2 2 2 3 3" xfId="23136" xr:uid="{00000000-0005-0000-0000-0000635A0000}"/>
    <cellStyle name="Normal 2 2 2 2 2 3 4" xfId="23137" xr:uid="{00000000-0005-0000-0000-0000645A0000}"/>
    <cellStyle name="Normal 2 2 2 2 2 3 5" xfId="23138" xr:uid="{00000000-0005-0000-0000-0000655A0000}"/>
    <cellStyle name="Normal 2 2 2 2 2 4" xfId="23139" xr:uid="{00000000-0005-0000-0000-0000665A0000}"/>
    <cellStyle name="Normal 2 2 2 2 2 4 2" xfId="23140" xr:uid="{00000000-0005-0000-0000-0000675A0000}"/>
    <cellStyle name="Normal 2 2 2 2 2 4 3" xfId="23141" xr:uid="{00000000-0005-0000-0000-0000685A0000}"/>
    <cellStyle name="Normal 2 2 2 2 2 4 4" xfId="23142" xr:uid="{00000000-0005-0000-0000-0000695A0000}"/>
    <cellStyle name="Normal 2 2 2 2 2 5" xfId="23143" xr:uid="{00000000-0005-0000-0000-00006A5A0000}"/>
    <cellStyle name="Normal 2 2 2 2 2 5 2" xfId="23144" xr:uid="{00000000-0005-0000-0000-00006B5A0000}"/>
    <cellStyle name="Normal 2 2 2 2 2 6" xfId="23145" xr:uid="{00000000-0005-0000-0000-00006C5A0000}"/>
    <cellStyle name="Normal 2 2 2 2 2 7" xfId="23146" xr:uid="{00000000-0005-0000-0000-00006D5A0000}"/>
    <cellStyle name="Normal 2 2 2 2 2 8" xfId="23147" xr:uid="{00000000-0005-0000-0000-00006E5A0000}"/>
    <cellStyle name="Normal 2 2 2 2 2 9" xfId="23148" xr:uid="{00000000-0005-0000-0000-00006F5A0000}"/>
    <cellStyle name="Normal 2 2 2 2 3" xfId="23149" xr:uid="{00000000-0005-0000-0000-0000705A0000}"/>
    <cellStyle name="Normal 2 2 2 2 3 2" xfId="23150" xr:uid="{00000000-0005-0000-0000-0000715A0000}"/>
    <cellStyle name="Normal 2 2 2 2 3 2 2" xfId="23151" xr:uid="{00000000-0005-0000-0000-0000725A0000}"/>
    <cellStyle name="Normal 2 2 2 2 3 2 2 2" xfId="23152" xr:uid="{00000000-0005-0000-0000-0000735A0000}"/>
    <cellStyle name="Normal 2 2 2 2 3 2 2 3" xfId="23153" xr:uid="{00000000-0005-0000-0000-0000745A0000}"/>
    <cellStyle name="Normal 2 2 2 2 3 2 3" xfId="23154" xr:uid="{00000000-0005-0000-0000-0000755A0000}"/>
    <cellStyle name="Normal 2 2 2 2 3 2 4" xfId="23155" xr:uid="{00000000-0005-0000-0000-0000765A0000}"/>
    <cellStyle name="Normal 2 2 2 2 3 2 5" xfId="23156" xr:uid="{00000000-0005-0000-0000-0000775A0000}"/>
    <cellStyle name="Normal 2 2 2 2 3 2 6" xfId="23157" xr:uid="{00000000-0005-0000-0000-0000785A0000}"/>
    <cellStyle name="Normal 2 2 2 2 3 3" xfId="23158" xr:uid="{00000000-0005-0000-0000-0000795A0000}"/>
    <cellStyle name="Normal 2 2 2 2 3 3 2" xfId="23159" xr:uid="{00000000-0005-0000-0000-00007A5A0000}"/>
    <cellStyle name="Normal 2 2 2 2 3 3 2 2" xfId="23160" xr:uid="{00000000-0005-0000-0000-00007B5A0000}"/>
    <cellStyle name="Normal 2 2 2 2 3 3 3" xfId="23161" xr:uid="{00000000-0005-0000-0000-00007C5A0000}"/>
    <cellStyle name="Normal 2 2 2 2 3 3 4" xfId="23162" xr:uid="{00000000-0005-0000-0000-00007D5A0000}"/>
    <cellStyle name="Normal 2 2 2 2 3 3 5" xfId="23163" xr:uid="{00000000-0005-0000-0000-00007E5A0000}"/>
    <cellStyle name="Normal 2 2 2 2 3 4" xfId="23164" xr:uid="{00000000-0005-0000-0000-00007F5A0000}"/>
    <cellStyle name="Normal 2 2 2 2 3 4 2" xfId="23165" xr:uid="{00000000-0005-0000-0000-0000805A0000}"/>
    <cellStyle name="Normal 2 2 2 2 3 4 3" xfId="23166" xr:uid="{00000000-0005-0000-0000-0000815A0000}"/>
    <cellStyle name="Normal 2 2 2 2 3 4 4" xfId="23167" xr:uid="{00000000-0005-0000-0000-0000825A0000}"/>
    <cellStyle name="Normal 2 2 2 2 3 5" xfId="23168" xr:uid="{00000000-0005-0000-0000-0000835A0000}"/>
    <cellStyle name="Normal 2 2 2 2 3 5 2" xfId="23169" xr:uid="{00000000-0005-0000-0000-0000845A0000}"/>
    <cellStyle name="Normal 2 2 2 2 3 6" xfId="23170" xr:uid="{00000000-0005-0000-0000-0000855A0000}"/>
    <cellStyle name="Normal 2 2 2 2 3 7" xfId="23171" xr:uid="{00000000-0005-0000-0000-0000865A0000}"/>
    <cellStyle name="Normal 2 2 2 2 3 8" xfId="23172" xr:uid="{00000000-0005-0000-0000-0000875A0000}"/>
    <cellStyle name="Normal 2 2 2 2 3 9" xfId="23173" xr:uid="{00000000-0005-0000-0000-0000885A0000}"/>
    <cellStyle name="Normal 2 2 2 2 4" xfId="23174" xr:uid="{00000000-0005-0000-0000-0000895A0000}"/>
    <cellStyle name="Normal 2 2 2 2 4 2" xfId="23175" xr:uid="{00000000-0005-0000-0000-00008A5A0000}"/>
    <cellStyle name="Normal 2 2 2 2 4 2 2" xfId="23176" xr:uid="{00000000-0005-0000-0000-00008B5A0000}"/>
    <cellStyle name="Normal 2 2 2 2 4 2 3" xfId="23177" xr:uid="{00000000-0005-0000-0000-00008C5A0000}"/>
    <cellStyle name="Normal 2 2 2 2 4 3" xfId="23178" xr:uid="{00000000-0005-0000-0000-00008D5A0000}"/>
    <cellStyle name="Normal 2 2 2 2 4 4" xfId="23179" xr:uid="{00000000-0005-0000-0000-00008E5A0000}"/>
    <cellStyle name="Normal 2 2 2 2 4 5" xfId="23180" xr:uid="{00000000-0005-0000-0000-00008F5A0000}"/>
    <cellStyle name="Normal 2 2 2 2 4 6" xfId="23181" xr:uid="{00000000-0005-0000-0000-0000905A0000}"/>
    <cellStyle name="Normal 2 2 2 2 5" xfId="23182" xr:uid="{00000000-0005-0000-0000-0000915A0000}"/>
    <cellStyle name="Normal 2 2 2 2 5 2" xfId="23183" xr:uid="{00000000-0005-0000-0000-0000925A0000}"/>
    <cellStyle name="Normal 2 2 2 2 5 2 2" xfId="23184" xr:uid="{00000000-0005-0000-0000-0000935A0000}"/>
    <cellStyle name="Normal 2 2 2 2 5 3" xfId="23185" xr:uid="{00000000-0005-0000-0000-0000945A0000}"/>
    <cellStyle name="Normal 2 2 2 2 5 4" xfId="23186" xr:uid="{00000000-0005-0000-0000-0000955A0000}"/>
    <cellStyle name="Normal 2 2 2 2 5 5" xfId="23187" xr:uid="{00000000-0005-0000-0000-0000965A0000}"/>
    <cellStyle name="Normal 2 2 2 2 6" xfId="23188" xr:uid="{00000000-0005-0000-0000-0000975A0000}"/>
    <cellStyle name="Normal 2 2 2 2 6 2" xfId="23189" xr:uid="{00000000-0005-0000-0000-0000985A0000}"/>
    <cellStyle name="Normal 2 2 2 2 6 3" xfId="23190" xr:uid="{00000000-0005-0000-0000-0000995A0000}"/>
    <cellStyle name="Normal 2 2 2 2 6 4" xfId="23191" xr:uid="{00000000-0005-0000-0000-00009A5A0000}"/>
    <cellStyle name="Normal 2 2 2 2 7" xfId="23192" xr:uid="{00000000-0005-0000-0000-00009B5A0000}"/>
    <cellStyle name="Normal 2 2 2 2 7 2" xfId="23193" xr:uid="{00000000-0005-0000-0000-00009C5A0000}"/>
    <cellStyle name="Normal 2 2 2 2 8" xfId="23194" xr:uid="{00000000-0005-0000-0000-00009D5A0000}"/>
    <cellStyle name="Normal 2 2 2 2 9" xfId="23195" xr:uid="{00000000-0005-0000-0000-00009E5A0000}"/>
    <cellStyle name="Normal 2 2 2 20" xfId="23196" xr:uid="{00000000-0005-0000-0000-00009F5A0000}"/>
    <cellStyle name="Normal 2 2 2 20 10" xfId="23197" xr:uid="{00000000-0005-0000-0000-0000A05A0000}"/>
    <cellStyle name="Normal 2 2 2 20 2" xfId="23198" xr:uid="{00000000-0005-0000-0000-0000A15A0000}"/>
    <cellStyle name="Normal 2 2 2 20 2 2" xfId="23199" xr:uid="{00000000-0005-0000-0000-0000A25A0000}"/>
    <cellStyle name="Normal 2 2 2 20 2 2 2" xfId="23200" xr:uid="{00000000-0005-0000-0000-0000A35A0000}"/>
    <cellStyle name="Normal 2 2 2 20 2 2 3" xfId="23201" xr:uid="{00000000-0005-0000-0000-0000A45A0000}"/>
    <cellStyle name="Normal 2 2 2 20 2 3" xfId="23202" xr:uid="{00000000-0005-0000-0000-0000A55A0000}"/>
    <cellStyle name="Normal 2 2 2 20 2 4" xfId="23203" xr:uid="{00000000-0005-0000-0000-0000A65A0000}"/>
    <cellStyle name="Normal 2 2 2 20 2 5" xfId="23204" xr:uid="{00000000-0005-0000-0000-0000A75A0000}"/>
    <cellStyle name="Normal 2 2 2 20 2 6" xfId="23205" xr:uid="{00000000-0005-0000-0000-0000A85A0000}"/>
    <cellStyle name="Normal 2 2 2 20 3" xfId="23206" xr:uid="{00000000-0005-0000-0000-0000A95A0000}"/>
    <cellStyle name="Normal 2 2 2 20 3 2" xfId="23207" xr:uid="{00000000-0005-0000-0000-0000AA5A0000}"/>
    <cellStyle name="Normal 2 2 2 20 3 2 2" xfId="23208" xr:uid="{00000000-0005-0000-0000-0000AB5A0000}"/>
    <cellStyle name="Normal 2 2 2 20 3 2 3" xfId="23209" xr:uid="{00000000-0005-0000-0000-0000AC5A0000}"/>
    <cellStyle name="Normal 2 2 2 20 3 3" xfId="23210" xr:uid="{00000000-0005-0000-0000-0000AD5A0000}"/>
    <cellStyle name="Normal 2 2 2 20 3 4" xfId="23211" xr:uid="{00000000-0005-0000-0000-0000AE5A0000}"/>
    <cellStyle name="Normal 2 2 2 20 3 5" xfId="23212" xr:uid="{00000000-0005-0000-0000-0000AF5A0000}"/>
    <cellStyle name="Normal 2 2 2 20 3 6" xfId="23213" xr:uid="{00000000-0005-0000-0000-0000B05A0000}"/>
    <cellStyle name="Normal 2 2 2 20 4" xfId="23214" xr:uid="{00000000-0005-0000-0000-0000B15A0000}"/>
    <cellStyle name="Normal 2 2 2 20 4 2" xfId="23215" xr:uid="{00000000-0005-0000-0000-0000B25A0000}"/>
    <cellStyle name="Normal 2 2 2 20 4 2 2" xfId="23216" xr:uid="{00000000-0005-0000-0000-0000B35A0000}"/>
    <cellStyle name="Normal 2 2 2 20 4 3" xfId="23217" xr:uid="{00000000-0005-0000-0000-0000B45A0000}"/>
    <cellStyle name="Normal 2 2 2 20 4 4" xfId="23218" xr:uid="{00000000-0005-0000-0000-0000B55A0000}"/>
    <cellStyle name="Normal 2 2 2 20 4 5" xfId="23219" xr:uid="{00000000-0005-0000-0000-0000B65A0000}"/>
    <cellStyle name="Normal 2 2 2 20 5" xfId="23220" xr:uid="{00000000-0005-0000-0000-0000B75A0000}"/>
    <cellStyle name="Normal 2 2 2 20 5 2" xfId="23221" xr:uid="{00000000-0005-0000-0000-0000B85A0000}"/>
    <cellStyle name="Normal 2 2 2 20 5 3" xfId="23222" xr:uid="{00000000-0005-0000-0000-0000B95A0000}"/>
    <cellStyle name="Normal 2 2 2 20 5 4" xfId="23223" xr:uid="{00000000-0005-0000-0000-0000BA5A0000}"/>
    <cellStyle name="Normal 2 2 2 20 6" xfId="23224" xr:uid="{00000000-0005-0000-0000-0000BB5A0000}"/>
    <cellStyle name="Normal 2 2 2 20 6 2" xfId="23225" xr:uid="{00000000-0005-0000-0000-0000BC5A0000}"/>
    <cellStyle name="Normal 2 2 2 20 7" xfId="23226" xr:uid="{00000000-0005-0000-0000-0000BD5A0000}"/>
    <cellStyle name="Normal 2 2 2 20 8" xfId="23227" xr:uid="{00000000-0005-0000-0000-0000BE5A0000}"/>
    <cellStyle name="Normal 2 2 2 20 9" xfId="23228" xr:uid="{00000000-0005-0000-0000-0000BF5A0000}"/>
    <cellStyle name="Normal 2 2 2 21" xfId="23229" xr:uid="{00000000-0005-0000-0000-0000C05A0000}"/>
    <cellStyle name="Normal 2 2 2 21 10" xfId="23230" xr:uid="{00000000-0005-0000-0000-0000C15A0000}"/>
    <cellStyle name="Normal 2 2 2 21 2" xfId="23231" xr:uid="{00000000-0005-0000-0000-0000C25A0000}"/>
    <cellStyle name="Normal 2 2 2 21 2 2" xfId="23232" xr:uid="{00000000-0005-0000-0000-0000C35A0000}"/>
    <cellStyle name="Normal 2 2 2 21 2 2 2" xfId="23233" xr:uid="{00000000-0005-0000-0000-0000C45A0000}"/>
    <cellStyle name="Normal 2 2 2 21 2 2 3" xfId="23234" xr:uid="{00000000-0005-0000-0000-0000C55A0000}"/>
    <cellStyle name="Normal 2 2 2 21 2 3" xfId="23235" xr:uid="{00000000-0005-0000-0000-0000C65A0000}"/>
    <cellStyle name="Normal 2 2 2 21 2 4" xfId="23236" xr:uid="{00000000-0005-0000-0000-0000C75A0000}"/>
    <cellStyle name="Normal 2 2 2 21 2 5" xfId="23237" xr:uid="{00000000-0005-0000-0000-0000C85A0000}"/>
    <cellStyle name="Normal 2 2 2 21 2 6" xfId="23238" xr:uid="{00000000-0005-0000-0000-0000C95A0000}"/>
    <cellStyle name="Normal 2 2 2 21 3" xfId="23239" xr:uid="{00000000-0005-0000-0000-0000CA5A0000}"/>
    <cellStyle name="Normal 2 2 2 21 3 2" xfId="23240" xr:uid="{00000000-0005-0000-0000-0000CB5A0000}"/>
    <cellStyle name="Normal 2 2 2 21 3 2 2" xfId="23241" xr:uid="{00000000-0005-0000-0000-0000CC5A0000}"/>
    <cellStyle name="Normal 2 2 2 21 3 2 3" xfId="23242" xr:uid="{00000000-0005-0000-0000-0000CD5A0000}"/>
    <cellStyle name="Normal 2 2 2 21 3 3" xfId="23243" xr:uid="{00000000-0005-0000-0000-0000CE5A0000}"/>
    <cellStyle name="Normal 2 2 2 21 3 4" xfId="23244" xr:uid="{00000000-0005-0000-0000-0000CF5A0000}"/>
    <cellStyle name="Normal 2 2 2 21 3 5" xfId="23245" xr:uid="{00000000-0005-0000-0000-0000D05A0000}"/>
    <cellStyle name="Normal 2 2 2 21 3 6" xfId="23246" xr:uid="{00000000-0005-0000-0000-0000D15A0000}"/>
    <cellStyle name="Normal 2 2 2 21 4" xfId="23247" xr:uid="{00000000-0005-0000-0000-0000D25A0000}"/>
    <cellStyle name="Normal 2 2 2 21 4 2" xfId="23248" xr:uid="{00000000-0005-0000-0000-0000D35A0000}"/>
    <cellStyle name="Normal 2 2 2 21 4 2 2" xfId="23249" xr:uid="{00000000-0005-0000-0000-0000D45A0000}"/>
    <cellStyle name="Normal 2 2 2 21 4 3" xfId="23250" xr:uid="{00000000-0005-0000-0000-0000D55A0000}"/>
    <cellStyle name="Normal 2 2 2 21 4 4" xfId="23251" xr:uid="{00000000-0005-0000-0000-0000D65A0000}"/>
    <cellStyle name="Normal 2 2 2 21 4 5" xfId="23252" xr:uid="{00000000-0005-0000-0000-0000D75A0000}"/>
    <cellStyle name="Normal 2 2 2 21 5" xfId="23253" xr:uid="{00000000-0005-0000-0000-0000D85A0000}"/>
    <cellStyle name="Normal 2 2 2 21 5 2" xfId="23254" xr:uid="{00000000-0005-0000-0000-0000D95A0000}"/>
    <cellStyle name="Normal 2 2 2 21 5 3" xfId="23255" xr:uid="{00000000-0005-0000-0000-0000DA5A0000}"/>
    <cellStyle name="Normal 2 2 2 21 5 4" xfId="23256" xr:uid="{00000000-0005-0000-0000-0000DB5A0000}"/>
    <cellStyle name="Normal 2 2 2 21 6" xfId="23257" xr:uid="{00000000-0005-0000-0000-0000DC5A0000}"/>
    <cellStyle name="Normal 2 2 2 21 6 2" xfId="23258" xr:uid="{00000000-0005-0000-0000-0000DD5A0000}"/>
    <cellStyle name="Normal 2 2 2 21 7" xfId="23259" xr:uid="{00000000-0005-0000-0000-0000DE5A0000}"/>
    <cellStyle name="Normal 2 2 2 21 8" xfId="23260" xr:uid="{00000000-0005-0000-0000-0000DF5A0000}"/>
    <cellStyle name="Normal 2 2 2 21 9" xfId="23261" xr:uid="{00000000-0005-0000-0000-0000E05A0000}"/>
    <cellStyle name="Normal 2 2 2 22" xfId="23262" xr:uid="{00000000-0005-0000-0000-0000E15A0000}"/>
    <cellStyle name="Normal 2 2 2 22 10" xfId="23263" xr:uid="{00000000-0005-0000-0000-0000E25A0000}"/>
    <cellStyle name="Normal 2 2 2 22 2" xfId="23264" xr:uid="{00000000-0005-0000-0000-0000E35A0000}"/>
    <cellStyle name="Normal 2 2 2 22 2 2" xfId="23265" xr:uid="{00000000-0005-0000-0000-0000E45A0000}"/>
    <cellStyle name="Normal 2 2 2 22 2 2 2" xfId="23266" xr:uid="{00000000-0005-0000-0000-0000E55A0000}"/>
    <cellStyle name="Normal 2 2 2 22 2 2 3" xfId="23267" xr:uid="{00000000-0005-0000-0000-0000E65A0000}"/>
    <cellStyle name="Normal 2 2 2 22 2 3" xfId="23268" xr:uid="{00000000-0005-0000-0000-0000E75A0000}"/>
    <cellStyle name="Normal 2 2 2 22 2 4" xfId="23269" xr:uid="{00000000-0005-0000-0000-0000E85A0000}"/>
    <cellStyle name="Normal 2 2 2 22 2 5" xfId="23270" xr:uid="{00000000-0005-0000-0000-0000E95A0000}"/>
    <cellStyle name="Normal 2 2 2 22 2 6" xfId="23271" xr:uid="{00000000-0005-0000-0000-0000EA5A0000}"/>
    <cellStyle name="Normal 2 2 2 22 3" xfId="23272" xr:uid="{00000000-0005-0000-0000-0000EB5A0000}"/>
    <cellStyle name="Normal 2 2 2 22 3 2" xfId="23273" xr:uid="{00000000-0005-0000-0000-0000EC5A0000}"/>
    <cellStyle name="Normal 2 2 2 22 3 2 2" xfId="23274" xr:uid="{00000000-0005-0000-0000-0000ED5A0000}"/>
    <cellStyle name="Normal 2 2 2 22 3 2 3" xfId="23275" xr:uid="{00000000-0005-0000-0000-0000EE5A0000}"/>
    <cellStyle name="Normal 2 2 2 22 3 3" xfId="23276" xr:uid="{00000000-0005-0000-0000-0000EF5A0000}"/>
    <cellStyle name="Normal 2 2 2 22 3 4" xfId="23277" xr:uid="{00000000-0005-0000-0000-0000F05A0000}"/>
    <cellStyle name="Normal 2 2 2 22 3 5" xfId="23278" xr:uid="{00000000-0005-0000-0000-0000F15A0000}"/>
    <cellStyle name="Normal 2 2 2 22 3 6" xfId="23279" xr:uid="{00000000-0005-0000-0000-0000F25A0000}"/>
    <cellStyle name="Normal 2 2 2 22 4" xfId="23280" xr:uid="{00000000-0005-0000-0000-0000F35A0000}"/>
    <cellStyle name="Normal 2 2 2 22 4 2" xfId="23281" xr:uid="{00000000-0005-0000-0000-0000F45A0000}"/>
    <cellStyle name="Normal 2 2 2 22 4 2 2" xfId="23282" xr:uid="{00000000-0005-0000-0000-0000F55A0000}"/>
    <cellStyle name="Normal 2 2 2 22 4 3" xfId="23283" xr:uid="{00000000-0005-0000-0000-0000F65A0000}"/>
    <cellStyle name="Normal 2 2 2 22 4 4" xfId="23284" xr:uid="{00000000-0005-0000-0000-0000F75A0000}"/>
    <cellStyle name="Normal 2 2 2 22 4 5" xfId="23285" xr:uid="{00000000-0005-0000-0000-0000F85A0000}"/>
    <cellStyle name="Normal 2 2 2 22 5" xfId="23286" xr:uid="{00000000-0005-0000-0000-0000F95A0000}"/>
    <cellStyle name="Normal 2 2 2 22 5 2" xfId="23287" xr:uid="{00000000-0005-0000-0000-0000FA5A0000}"/>
    <cellStyle name="Normal 2 2 2 22 5 3" xfId="23288" xr:uid="{00000000-0005-0000-0000-0000FB5A0000}"/>
    <cellStyle name="Normal 2 2 2 22 5 4" xfId="23289" xr:uid="{00000000-0005-0000-0000-0000FC5A0000}"/>
    <cellStyle name="Normal 2 2 2 22 6" xfId="23290" xr:uid="{00000000-0005-0000-0000-0000FD5A0000}"/>
    <cellStyle name="Normal 2 2 2 22 6 2" xfId="23291" xr:uid="{00000000-0005-0000-0000-0000FE5A0000}"/>
    <cellStyle name="Normal 2 2 2 22 7" xfId="23292" xr:uid="{00000000-0005-0000-0000-0000FF5A0000}"/>
    <cellStyle name="Normal 2 2 2 22 8" xfId="23293" xr:uid="{00000000-0005-0000-0000-0000005B0000}"/>
    <cellStyle name="Normal 2 2 2 22 9" xfId="23294" xr:uid="{00000000-0005-0000-0000-0000015B0000}"/>
    <cellStyle name="Normal 2 2 2 23" xfId="23295" xr:uid="{00000000-0005-0000-0000-0000025B0000}"/>
    <cellStyle name="Normal 2 2 2 23 10" xfId="23296" xr:uid="{00000000-0005-0000-0000-0000035B0000}"/>
    <cellStyle name="Normal 2 2 2 23 2" xfId="23297" xr:uid="{00000000-0005-0000-0000-0000045B0000}"/>
    <cellStyle name="Normal 2 2 2 23 2 2" xfId="23298" xr:uid="{00000000-0005-0000-0000-0000055B0000}"/>
    <cellStyle name="Normal 2 2 2 23 2 2 2" xfId="23299" xr:uid="{00000000-0005-0000-0000-0000065B0000}"/>
    <cellStyle name="Normal 2 2 2 23 2 2 3" xfId="23300" xr:uid="{00000000-0005-0000-0000-0000075B0000}"/>
    <cellStyle name="Normal 2 2 2 23 2 3" xfId="23301" xr:uid="{00000000-0005-0000-0000-0000085B0000}"/>
    <cellStyle name="Normal 2 2 2 23 2 4" xfId="23302" xr:uid="{00000000-0005-0000-0000-0000095B0000}"/>
    <cellStyle name="Normal 2 2 2 23 2 5" xfId="23303" xr:uid="{00000000-0005-0000-0000-00000A5B0000}"/>
    <cellStyle name="Normal 2 2 2 23 2 6" xfId="23304" xr:uid="{00000000-0005-0000-0000-00000B5B0000}"/>
    <cellStyle name="Normal 2 2 2 23 3" xfId="23305" xr:uid="{00000000-0005-0000-0000-00000C5B0000}"/>
    <cellStyle name="Normal 2 2 2 23 3 2" xfId="23306" xr:uid="{00000000-0005-0000-0000-00000D5B0000}"/>
    <cellStyle name="Normal 2 2 2 23 3 2 2" xfId="23307" xr:uid="{00000000-0005-0000-0000-00000E5B0000}"/>
    <cellStyle name="Normal 2 2 2 23 3 2 3" xfId="23308" xr:uid="{00000000-0005-0000-0000-00000F5B0000}"/>
    <cellStyle name="Normal 2 2 2 23 3 3" xfId="23309" xr:uid="{00000000-0005-0000-0000-0000105B0000}"/>
    <cellStyle name="Normal 2 2 2 23 3 4" xfId="23310" xr:uid="{00000000-0005-0000-0000-0000115B0000}"/>
    <cellStyle name="Normal 2 2 2 23 3 5" xfId="23311" xr:uid="{00000000-0005-0000-0000-0000125B0000}"/>
    <cellStyle name="Normal 2 2 2 23 3 6" xfId="23312" xr:uid="{00000000-0005-0000-0000-0000135B0000}"/>
    <cellStyle name="Normal 2 2 2 23 4" xfId="23313" xr:uid="{00000000-0005-0000-0000-0000145B0000}"/>
    <cellStyle name="Normal 2 2 2 23 4 2" xfId="23314" xr:uid="{00000000-0005-0000-0000-0000155B0000}"/>
    <cellStyle name="Normal 2 2 2 23 4 2 2" xfId="23315" xr:uid="{00000000-0005-0000-0000-0000165B0000}"/>
    <cellStyle name="Normal 2 2 2 23 4 3" xfId="23316" xr:uid="{00000000-0005-0000-0000-0000175B0000}"/>
    <cellStyle name="Normal 2 2 2 23 4 4" xfId="23317" xr:uid="{00000000-0005-0000-0000-0000185B0000}"/>
    <cellStyle name="Normal 2 2 2 23 4 5" xfId="23318" xr:uid="{00000000-0005-0000-0000-0000195B0000}"/>
    <cellStyle name="Normal 2 2 2 23 5" xfId="23319" xr:uid="{00000000-0005-0000-0000-00001A5B0000}"/>
    <cellStyle name="Normal 2 2 2 23 5 2" xfId="23320" xr:uid="{00000000-0005-0000-0000-00001B5B0000}"/>
    <cellStyle name="Normal 2 2 2 23 5 3" xfId="23321" xr:uid="{00000000-0005-0000-0000-00001C5B0000}"/>
    <cellStyle name="Normal 2 2 2 23 5 4" xfId="23322" xr:uid="{00000000-0005-0000-0000-00001D5B0000}"/>
    <cellStyle name="Normal 2 2 2 23 6" xfId="23323" xr:uid="{00000000-0005-0000-0000-00001E5B0000}"/>
    <cellStyle name="Normal 2 2 2 23 6 2" xfId="23324" xr:uid="{00000000-0005-0000-0000-00001F5B0000}"/>
    <cellStyle name="Normal 2 2 2 23 7" xfId="23325" xr:uid="{00000000-0005-0000-0000-0000205B0000}"/>
    <cellStyle name="Normal 2 2 2 23 8" xfId="23326" xr:uid="{00000000-0005-0000-0000-0000215B0000}"/>
    <cellStyle name="Normal 2 2 2 23 9" xfId="23327" xr:uid="{00000000-0005-0000-0000-0000225B0000}"/>
    <cellStyle name="Normal 2 2 2 24" xfId="23328" xr:uid="{00000000-0005-0000-0000-0000235B0000}"/>
    <cellStyle name="Normal 2 2 2 24 10" xfId="23329" xr:uid="{00000000-0005-0000-0000-0000245B0000}"/>
    <cellStyle name="Normal 2 2 2 24 2" xfId="23330" xr:uid="{00000000-0005-0000-0000-0000255B0000}"/>
    <cellStyle name="Normal 2 2 2 24 2 2" xfId="23331" xr:uid="{00000000-0005-0000-0000-0000265B0000}"/>
    <cellStyle name="Normal 2 2 2 24 2 2 2" xfId="23332" xr:uid="{00000000-0005-0000-0000-0000275B0000}"/>
    <cellStyle name="Normal 2 2 2 24 2 2 3" xfId="23333" xr:uid="{00000000-0005-0000-0000-0000285B0000}"/>
    <cellStyle name="Normal 2 2 2 24 2 3" xfId="23334" xr:uid="{00000000-0005-0000-0000-0000295B0000}"/>
    <cellStyle name="Normal 2 2 2 24 2 4" xfId="23335" xr:uid="{00000000-0005-0000-0000-00002A5B0000}"/>
    <cellStyle name="Normal 2 2 2 24 2 5" xfId="23336" xr:uid="{00000000-0005-0000-0000-00002B5B0000}"/>
    <cellStyle name="Normal 2 2 2 24 2 6" xfId="23337" xr:uid="{00000000-0005-0000-0000-00002C5B0000}"/>
    <cellStyle name="Normal 2 2 2 24 3" xfId="23338" xr:uid="{00000000-0005-0000-0000-00002D5B0000}"/>
    <cellStyle name="Normal 2 2 2 24 3 2" xfId="23339" xr:uid="{00000000-0005-0000-0000-00002E5B0000}"/>
    <cellStyle name="Normal 2 2 2 24 3 2 2" xfId="23340" xr:uid="{00000000-0005-0000-0000-00002F5B0000}"/>
    <cellStyle name="Normal 2 2 2 24 3 2 3" xfId="23341" xr:uid="{00000000-0005-0000-0000-0000305B0000}"/>
    <cellStyle name="Normal 2 2 2 24 3 3" xfId="23342" xr:uid="{00000000-0005-0000-0000-0000315B0000}"/>
    <cellStyle name="Normal 2 2 2 24 3 4" xfId="23343" xr:uid="{00000000-0005-0000-0000-0000325B0000}"/>
    <cellStyle name="Normal 2 2 2 24 3 5" xfId="23344" xr:uid="{00000000-0005-0000-0000-0000335B0000}"/>
    <cellStyle name="Normal 2 2 2 24 3 6" xfId="23345" xr:uid="{00000000-0005-0000-0000-0000345B0000}"/>
    <cellStyle name="Normal 2 2 2 24 4" xfId="23346" xr:uid="{00000000-0005-0000-0000-0000355B0000}"/>
    <cellStyle name="Normal 2 2 2 24 4 2" xfId="23347" xr:uid="{00000000-0005-0000-0000-0000365B0000}"/>
    <cellStyle name="Normal 2 2 2 24 4 2 2" xfId="23348" xr:uid="{00000000-0005-0000-0000-0000375B0000}"/>
    <cellStyle name="Normal 2 2 2 24 4 3" xfId="23349" xr:uid="{00000000-0005-0000-0000-0000385B0000}"/>
    <cellStyle name="Normal 2 2 2 24 4 4" xfId="23350" xr:uid="{00000000-0005-0000-0000-0000395B0000}"/>
    <cellStyle name="Normal 2 2 2 24 4 5" xfId="23351" xr:uid="{00000000-0005-0000-0000-00003A5B0000}"/>
    <cellStyle name="Normal 2 2 2 24 5" xfId="23352" xr:uid="{00000000-0005-0000-0000-00003B5B0000}"/>
    <cellStyle name="Normal 2 2 2 24 5 2" xfId="23353" xr:uid="{00000000-0005-0000-0000-00003C5B0000}"/>
    <cellStyle name="Normal 2 2 2 24 5 3" xfId="23354" xr:uid="{00000000-0005-0000-0000-00003D5B0000}"/>
    <cellStyle name="Normal 2 2 2 24 5 4" xfId="23355" xr:uid="{00000000-0005-0000-0000-00003E5B0000}"/>
    <cellStyle name="Normal 2 2 2 24 6" xfId="23356" xr:uid="{00000000-0005-0000-0000-00003F5B0000}"/>
    <cellStyle name="Normal 2 2 2 24 6 2" xfId="23357" xr:uid="{00000000-0005-0000-0000-0000405B0000}"/>
    <cellStyle name="Normal 2 2 2 24 7" xfId="23358" xr:uid="{00000000-0005-0000-0000-0000415B0000}"/>
    <cellStyle name="Normal 2 2 2 24 8" xfId="23359" xr:uid="{00000000-0005-0000-0000-0000425B0000}"/>
    <cellStyle name="Normal 2 2 2 24 9" xfId="23360" xr:uid="{00000000-0005-0000-0000-0000435B0000}"/>
    <cellStyle name="Normal 2 2 2 25" xfId="23361" xr:uid="{00000000-0005-0000-0000-0000445B0000}"/>
    <cellStyle name="Normal 2 2 2 25 10" xfId="23362" xr:uid="{00000000-0005-0000-0000-0000455B0000}"/>
    <cellStyle name="Normal 2 2 2 25 2" xfId="23363" xr:uid="{00000000-0005-0000-0000-0000465B0000}"/>
    <cellStyle name="Normal 2 2 2 25 2 2" xfId="23364" xr:uid="{00000000-0005-0000-0000-0000475B0000}"/>
    <cellStyle name="Normal 2 2 2 25 2 2 2" xfId="23365" xr:uid="{00000000-0005-0000-0000-0000485B0000}"/>
    <cellStyle name="Normal 2 2 2 25 2 2 3" xfId="23366" xr:uid="{00000000-0005-0000-0000-0000495B0000}"/>
    <cellStyle name="Normal 2 2 2 25 2 3" xfId="23367" xr:uid="{00000000-0005-0000-0000-00004A5B0000}"/>
    <cellStyle name="Normal 2 2 2 25 2 4" xfId="23368" xr:uid="{00000000-0005-0000-0000-00004B5B0000}"/>
    <cellStyle name="Normal 2 2 2 25 2 5" xfId="23369" xr:uid="{00000000-0005-0000-0000-00004C5B0000}"/>
    <cellStyle name="Normal 2 2 2 25 2 6" xfId="23370" xr:uid="{00000000-0005-0000-0000-00004D5B0000}"/>
    <cellStyle name="Normal 2 2 2 25 3" xfId="23371" xr:uid="{00000000-0005-0000-0000-00004E5B0000}"/>
    <cellStyle name="Normal 2 2 2 25 3 2" xfId="23372" xr:uid="{00000000-0005-0000-0000-00004F5B0000}"/>
    <cellStyle name="Normal 2 2 2 25 3 2 2" xfId="23373" xr:uid="{00000000-0005-0000-0000-0000505B0000}"/>
    <cellStyle name="Normal 2 2 2 25 3 2 3" xfId="23374" xr:uid="{00000000-0005-0000-0000-0000515B0000}"/>
    <cellStyle name="Normal 2 2 2 25 3 3" xfId="23375" xr:uid="{00000000-0005-0000-0000-0000525B0000}"/>
    <cellStyle name="Normal 2 2 2 25 3 4" xfId="23376" xr:uid="{00000000-0005-0000-0000-0000535B0000}"/>
    <cellStyle name="Normal 2 2 2 25 3 5" xfId="23377" xr:uid="{00000000-0005-0000-0000-0000545B0000}"/>
    <cellStyle name="Normal 2 2 2 25 3 6" xfId="23378" xr:uid="{00000000-0005-0000-0000-0000555B0000}"/>
    <cellStyle name="Normal 2 2 2 25 4" xfId="23379" xr:uid="{00000000-0005-0000-0000-0000565B0000}"/>
    <cellStyle name="Normal 2 2 2 25 4 2" xfId="23380" xr:uid="{00000000-0005-0000-0000-0000575B0000}"/>
    <cellStyle name="Normal 2 2 2 25 4 2 2" xfId="23381" xr:uid="{00000000-0005-0000-0000-0000585B0000}"/>
    <cellStyle name="Normal 2 2 2 25 4 3" xfId="23382" xr:uid="{00000000-0005-0000-0000-0000595B0000}"/>
    <cellStyle name="Normal 2 2 2 25 4 4" xfId="23383" xr:uid="{00000000-0005-0000-0000-00005A5B0000}"/>
    <cellStyle name="Normal 2 2 2 25 4 5" xfId="23384" xr:uid="{00000000-0005-0000-0000-00005B5B0000}"/>
    <cellStyle name="Normal 2 2 2 25 5" xfId="23385" xr:uid="{00000000-0005-0000-0000-00005C5B0000}"/>
    <cellStyle name="Normal 2 2 2 25 5 2" xfId="23386" xr:uid="{00000000-0005-0000-0000-00005D5B0000}"/>
    <cellStyle name="Normal 2 2 2 25 5 3" xfId="23387" xr:uid="{00000000-0005-0000-0000-00005E5B0000}"/>
    <cellStyle name="Normal 2 2 2 25 5 4" xfId="23388" xr:uid="{00000000-0005-0000-0000-00005F5B0000}"/>
    <cellStyle name="Normal 2 2 2 25 6" xfId="23389" xr:uid="{00000000-0005-0000-0000-0000605B0000}"/>
    <cellStyle name="Normal 2 2 2 25 6 2" xfId="23390" xr:uid="{00000000-0005-0000-0000-0000615B0000}"/>
    <cellStyle name="Normal 2 2 2 25 7" xfId="23391" xr:uid="{00000000-0005-0000-0000-0000625B0000}"/>
    <cellStyle name="Normal 2 2 2 25 8" xfId="23392" xr:uid="{00000000-0005-0000-0000-0000635B0000}"/>
    <cellStyle name="Normal 2 2 2 25 9" xfId="23393" xr:uid="{00000000-0005-0000-0000-0000645B0000}"/>
    <cellStyle name="Normal 2 2 2 26" xfId="23394" xr:uid="{00000000-0005-0000-0000-0000655B0000}"/>
    <cellStyle name="Normal 2 2 2 26 10" xfId="23395" xr:uid="{00000000-0005-0000-0000-0000665B0000}"/>
    <cellStyle name="Normal 2 2 2 26 2" xfId="23396" xr:uid="{00000000-0005-0000-0000-0000675B0000}"/>
    <cellStyle name="Normal 2 2 2 26 2 2" xfId="23397" xr:uid="{00000000-0005-0000-0000-0000685B0000}"/>
    <cellStyle name="Normal 2 2 2 26 2 2 2" xfId="23398" xr:uid="{00000000-0005-0000-0000-0000695B0000}"/>
    <cellStyle name="Normal 2 2 2 26 2 2 3" xfId="23399" xr:uid="{00000000-0005-0000-0000-00006A5B0000}"/>
    <cellStyle name="Normal 2 2 2 26 2 3" xfId="23400" xr:uid="{00000000-0005-0000-0000-00006B5B0000}"/>
    <cellStyle name="Normal 2 2 2 26 2 4" xfId="23401" xr:uid="{00000000-0005-0000-0000-00006C5B0000}"/>
    <cellStyle name="Normal 2 2 2 26 2 5" xfId="23402" xr:uid="{00000000-0005-0000-0000-00006D5B0000}"/>
    <cellStyle name="Normal 2 2 2 26 2 6" xfId="23403" xr:uid="{00000000-0005-0000-0000-00006E5B0000}"/>
    <cellStyle name="Normal 2 2 2 26 3" xfId="23404" xr:uid="{00000000-0005-0000-0000-00006F5B0000}"/>
    <cellStyle name="Normal 2 2 2 26 3 2" xfId="23405" xr:uid="{00000000-0005-0000-0000-0000705B0000}"/>
    <cellStyle name="Normal 2 2 2 26 3 2 2" xfId="23406" xr:uid="{00000000-0005-0000-0000-0000715B0000}"/>
    <cellStyle name="Normal 2 2 2 26 3 2 3" xfId="23407" xr:uid="{00000000-0005-0000-0000-0000725B0000}"/>
    <cellStyle name="Normal 2 2 2 26 3 3" xfId="23408" xr:uid="{00000000-0005-0000-0000-0000735B0000}"/>
    <cellStyle name="Normal 2 2 2 26 3 4" xfId="23409" xr:uid="{00000000-0005-0000-0000-0000745B0000}"/>
    <cellStyle name="Normal 2 2 2 26 3 5" xfId="23410" xr:uid="{00000000-0005-0000-0000-0000755B0000}"/>
    <cellStyle name="Normal 2 2 2 26 3 6" xfId="23411" xr:uid="{00000000-0005-0000-0000-0000765B0000}"/>
    <cellStyle name="Normal 2 2 2 26 4" xfId="23412" xr:uid="{00000000-0005-0000-0000-0000775B0000}"/>
    <cellStyle name="Normal 2 2 2 26 4 2" xfId="23413" xr:uid="{00000000-0005-0000-0000-0000785B0000}"/>
    <cellStyle name="Normal 2 2 2 26 4 2 2" xfId="23414" xr:uid="{00000000-0005-0000-0000-0000795B0000}"/>
    <cellStyle name="Normal 2 2 2 26 4 3" xfId="23415" xr:uid="{00000000-0005-0000-0000-00007A5B0000}"/>
    <cellStyle name="Normal 2 2 2 26 4 4" xfId="23416" xr:uid="{00000000-0005-0000-0000-00007B5B0000}"/>
    <cellStyle name="Normal 2 2 2 26 4 5" xfId="23417" xr:uid="{00000000-0005-0000-0000-00007C5B0000}"/>
    <cellStyle name="Normal 2 2 2 26 5" xfId="23418" xr:uid="{00000000-0005-0000-0000-00007D5B0000}"/>
    <cellStyle name="Normal 2 2 2 26 5 2" xfId="23419" xr:uid="{00000000-0005-0000-0000-00007E5B0000}"/>
    <cellStyle name="Normal 2 2 2 26 5 3" xfId="23420" xr:uid="{00000000-0005-0000-0000-00007F5B0000}"/>
    <cellStyle name="Normal 2 2 2 26 5 4" xfId="23421" xr:uid="{00000000-0005-0000-0000-0000805B0000}"/>
    <cellStyle name="Normal 2 2 2 26 6" xfId="23422" xr:uid="{00000000-0005-0000-0000-0000815B0000}"/>
    <cellStyle name="Normal 2 2 2 26 6 2" xfId="23423" xr:uid="{00000000-0005-0000-0000-0000825B0000}"/>
    <cellStyle name="Normal 2 2 2 26 7" xfId="23424" xr:uid="{00000000-0005-0000-0000-0000835B0000}"/>
    <cellStyle name="Normal 2 2 2 26 8" xfId="23425" xr:uid="{00000000-0005-0000-0000-0000845B0000}"/>
    <cellStyle name="Normal 2 2 2 26 9" xfId="23426" xr:uid="{00000000-0005-0000-0000-0000855B0000}"/>
    <cellStyle name="Normal 2 2 2 27" xfId="23427" xr:uid="{00000000-0005-0000-0000-0000865B0000}"/>
    <cellStyle name="Normal 2 2 2 27 10" xfId="23428" xr:uid="{00000000-0005-0000-0000-0000875B0000}"/>
    <cellStyle name="Normal 2 2 2 27 2" xfId="23429" xr:uid="{00000000-0005-0000-0000-0000885B0000}"/>
    <cellStyle name="Normal 2 2 2 27 2 2" xfId="23430" xr:uid="{00000000-0005-0000-0000-0000895B0000}"/>
    <cellStyle name="Normal 2 2 2 27 2 2 2" xfId="23431" xr:uid="{00000000-0005-0000-0000-00008A5B0000}"/>
    <cellStyle name="Normal 2 2 2 27 2 2 3" xfId="23432" xr:uid="{00000000-0005-0000-0000-00008B5B0000}"/>
    <cellStyle name="Normal 2 2 2 27 2 3" xfId="23433" xr:uid="{00000000-0005-0000-0000-00008C5B0000}"/>
    <cellStyle name="Normal 2 2 2 27 2 4" xfId="23434" xr:uid="{00000000-0005-0000-0000-00008D5B0000}"/>
    <cellStyle name="Normal 2 2 2 27 2 5" xfId="23435" xr:uid="{00000000-0005-0000-0000-00008E5B0000}"/>
    <cellStyle name="Normal 2 2 2 27 2 6" xfId="23436" xr:uid="{00000000-0005-0000-0000-00008F5B0000}"/>
    <cellStyle name="Normal 2 2 2 27 3" xfId="23437" xr:uid="{00000000-0005-0000-0000-0000905B0000}"/>
    <cellStyle name="Normal 2 2 2 27 3 2" xfId="23438" xr:uid="{00000000-0005-0000-0000-0000915B0000}"/>
    <cellStyle name="Normal 2 2 2 27 3 2 2" xfId="23439" xr:uid="{00000000-0005-0000-0000-0000925B0000}"/>
    <cellStyle name="Normal 2 2 2 27 3 2 3" xfId="23440" xr:uid="{00000000-0005-0000-0000-0000935B0000}"/>
    <cellStyle name="Normal 2 2 2 27 3 3" xfId="23441" xr:uid="{00000000-0005-0000-0000-0000945B0000}"/>
    <cellStyle name="Normal 2 2 2 27 3 4" xfId="23442" xr:uid="{00000000-0005-0000-0000-0000955B0000}"/>
    <cellStyle name="Normal 2 2 2 27 3 5" xfId="23443" xr:uid="{00000000-0005-0000-0000-0000965B0000}"/>
    <cellStyle name="Normal 2 2 2 27 3 6" xfId="23444" xr:uid="{00000000-0005-0000-0000-0000975B0000}"/>
    <cellStyle name="Normal 2 2 2 27 4" xfId="23445" xr:uid="{00000000-0005-0000-0000-0000985B0000}"/>
    <cellStyle name="Normal 2 2 2 27 4 2" xfId="23446" xr:uid="{00000000-0005-0000-0000-0000995B0000}"/>
    <cellStyle name="Normal 2 2 2 27 4 2 2" xfId="23447" xr:uid="{00000000-0005-0000-0000-00009A5B0000}"/>
    <cellStyle name="Normal 2 2 2 27 4 3" xfId="23448" xr:uid="{00000000-0005-0000-0000-00009B5B0000}"/>
    <cellStyle name="Normal 2 2 2 27 4 4" xfId="23449" xr:uid="{00000000-0005-0000-0000-00009C5B0000}"/>
    <cellStyle name="Normal 2 2 2 27 4 5" xfId="23450" xr:uid="{00000000-0005-0000-0000-00009D5B0000}"/>
    <cellStyle name="Normal 2 2 2 27 5" xfId="23451" xr:uid="{00000000-0005-0000-0000-00009E5B0000}"/>
    <cellStyle name="Normal 2 2 2 27 5 2" xfId="23452" xr:uid="{00000000-0005-0000-0000-00009F5B0000}"/>
    <cellStyle name="Normal 2 2 2 27 5 3" xfId="23453" xr:uid="{00000000-0005-0000-0000-0000A05B0000}"/>
    <cellStyle name="Normal 2 2 2 27 5 4" xfId="23454" xr:uid="{00000000-0005-0000-0000-0000A15B0000}"/>
    <cellStyle name="Normal 2 2 2 27 6" xfId="23455" xr:uid="{00000000-0005-0000-0000-0000A25B0000}"/>
    <cellStyle name="Normal 2 2 2 27 6 2" xfId="23456" xr:uid="{00000000-0005-0000-0000-0000A35B0000}"/>
    <cellStyle name="Normal 2 2 2 27 7" xfId="23457" xr:uid="{00000000-0005-0000-0000-0000A45B0000}"/>
    <cellStyle name="Normal 2 2 2 27 8" xfId="23458" xr:uid="{00000000-0005-0000-0000-0000A55B0000}"/>
    <cellStyle name="Normal 2 2 2 27 9" xfId="23459" xr:uid="{00000000-0005-0000-0000-0000A65B0000}"/>
    <cellStyle name="Normal 2 2 2 28" xfId="23460" xr:uid="{00000000-0005-0000-0000-0000A75B0000}"/>
    <cellStyle name="Normal 2 2 2 28 10" xfId="23461" xr:uid="{00000000-0005-0000-0000-0000A85B0000}"/>
    <cellStyle name="Normal 2 2 2 28 2" xfId="23462" xr:uid="{00000000-0005-0000-0000-0000A95B0000}"/>
    <cellStyle name="Normal 2 2 2 28 2 2" xfId="23463" xr:uid="{00000000-0005-0000-0000-0000AA5B0000}"/>
    <cellStyle name="Normal 2 2 2 28 2 2 2" xfId="23464" xr:uid="{00000000-0005-0000-0000-0000AB5B0000}"/>
    <cellStyle name="Normal 2 2 2 28 2 2 3" xfId="23465" xr:uid="{00000000-0005-0000-0000-0000AC5B0000}"/>
    <cellStyle name="Normal 2 2 2 28 2 3" xfId="23466" xr:uid="{00000000-0005-0000-0000-0000AD5B0000}"/>
    <cellStyle name="Normal 2 2 2 28 2 4" xfId="23467" xr:uid="{00000000-0005-0000-0000-0000AE5B0000}"/>
    <cellStyle name="Normal 2 2 2 28 2 5" xfId="23468" xr:uid="{00000000-0005-0000-0000-0000AF5B0000}"/>
    <cellStyle name="Normal 2 2 2 28 2 6" xfId="23469" xr:uid="{00000000-0005-0000-0000-0000B05B0000}"/>
    <cellStyle name="Normal 2 2 2 28 3" xfId="23470" xr:uid="{00000000-0005-0000-0000-0000B15B0000}"/>
    <cellStyle name="Normal 2 2 2 28 3 2" xfId="23471" xr:uid="{00000000-0005-0000-0000-0000B25B0000}"/>
    <cellStyle name="Normal 2 2 2 28 3 2 2" xfId="23472" xr:uid="{00000000-0005-0000-0000-0000B35B0000}"/>
    <cellStyle name="Normal 2 2 2 28 3 2 3" xfId="23473" xr:uid="{00000000-0005-0000-0000-0000B45B0000}"/>
    <cellStyle name="Normal 2 2 2 28 3 3" xfId="23474" xr:uid="{00000000-0005-0000-0000-0000B55B0000}"/>
    <cellStyle name="Normal 2 2 2 28 3 4" xfId="23475" xr:uid="{00000000-0005-0000-0000-0000B65B0000}"/>
    <cellStyle name="Normal 2 2 2 28 3 5" xfId="23476" xr:uid="{00000000-0005-0000-0000-0000B75B0000}"/>
    <cellStyle name="Normal 2 2 2 28 3 6" xfId="23477" xr:uid="{00000000-0005-0000-0000-0000B85B0000}"/>
    <cellStyle name="Normal 2 2 2 28 4" xfId="23478" xr:uid="{00000000-0005-0000-0000-0000B95B0000}"/>
    <cellStyle name="Normal 2 2 2 28 4 2" xfId="23479" xr:uid="{00000000-0005-0000-0000-0000BA5B0000}"/>
    <cellStyle name="Normal 2 2 2 28 4 2 2" xfId="23480" xr:uid="{00000000-0005-0000-0000-0000BB5B0000}"/>
    <cellStyle name="Normal 2 2 2 28 4 3" xfId="23481" xr:uid="{00000000-0005-0000-0000-0000BC5B0000}"/>
    <cellStyle name="Normal 2 2 2 28 4 4" xfId="23482" xr:uid="{00000000-0005-0000-0000-0000BD5B0000}"/>
    <cellStyle name="Normal 2 2 2 28 4 5" xfId="23483" xr:uid="{00000000-0005-0000-0000-0000BE5B0000}"/>
    <cellStyle name="Normal 2 2 2 28 5" xfId="23484" xr:uid="{00000000-0005-0000-0000-0000BF5B0000}"/>
    <cellStyle name="Normal 2 2 2 28 5 2" xfId="23485" xr:uid="{00000000-0005-0000-0000-0000C05B0000}"/>
    <cellStyle name="Normal 2 2 2 28 5 3" xfId="23486" xr:uid="{00000000-0005-0000-0000-0000C15B0000}"/>
    <cellStyle name="Normal 2 2 2 28 5 4" xfId="23487" xr:uid="{00000000-0005-0000-0000-0000C25B0000}"/>
    <cellStyle name="Normal 2 2 2 28 6" xfId="23488" xr:uid="{00000000-0005-0000-0000-0000C35B0000}"/>
    <cellStyle name="Normal 2 2 2 28 6 2" xfId="23489" xr:uid="{00000000-0005-0000-0000-0000C45B0000}"/>
    <cellStyle name="Normal 2 2 2 28 7" xfId="23490" xr:uid="{00000000-0005-0000-0000-0000C55B0000}"/>
    <cellStyle name="Normal 2 2 2 28 8" xfId="23491" xr:uid="{00000000-0005-0000-0000-0000C65B0000}"/>
    <cellStyle name="Normal 2 2 2 28 9" xfId="23492" xr:uid="{00000000-0005-0000-0000-0000C75B0000}"/>
    <cellStyle name="Normal 2 2 2 29" xfId="23493" xr:uid="{00000000-0005-0000-0000-0000C85B0000}"/>
    <cellStyle name="Normal 2 2 2 29 10" xfId="23494" xr:uid="{00000000-0005-0000-0000-0000C95B0000}"/>
    <cellStyle name="Normal 2 2 2 29 2" xfId="23495" xr:uid="{00000000-0005-0000-0000-0000CA5B0000}"/>
    <cellStyle name="Normal 2 2 2 29 2 2" xfId="23496" xr:uid="{00000000-0005-0000-0000-0000CB5B0000}"/>
    <cellStyle name="Normal 2 2 2 29 2 2 2" xfId="23497" xr:uid="{00000000-0005-0000-0000-0000CC5B0000}"/>
    <cellStyle name="Normal 2 2 2 29 2 2 3" xfId="23498" xr:uid="{00000000-0005-0000-0000-0000CD5B0000}"/>
    <cellStyle name="Normal 2 2 2 29 2 3" xfId="23499" xr:uid="{00000000-0005-0000-0000-0000CE5B0000}"/>
    <cellStyle name="Normal 2 2 2 29 2 4" xfId="23500" xr:uid="{00000000-0005-0000-0000-0000CF5B0000}"/>
    <cellStyle name="Normal 2 2 2 29 2 5" xfId="23501" xr:uid="{00000000-0005-0000-0000-0000D05B0000}"/>
    <cellStyle name="Normal 2 2 2 29 2 6" xfId="23502" xr:uid="{00000000-0005-0000-0000-0000D15B0000}"/>
    <cellStyle name="Normal 2 2 2 29 3" xfId="23503" xr:uid="{00000000-0005-0000-0000-0000D25B0000}"/>
    <cellStyle name="Normal 2 2 2 29 3 2" xfId="23504" xr:uid="{00000000-0005-0000-0000-0000D35B0000}"/>
    <cellStyle name="Normal 2 2 2 29 3 2 2" xfId="23505" xr:uid="{00000000-0005-0000-0000-0000D45B0000}"/>
    <cellStyle name="Normal 2 2 2 29 3 2 3" xfId="23506" xr:uid="{00000000-0005-0000-0000-0000D55B0000}"/>
    <cellStyle name="Normal 2 2 2 29 3 3" xfId="23507" xr:uid="{00000000-0005-0000-0000-0000D65B0000}"/>
    <cellStyle name="Normal 2 2 2 29 3 4" xfId="23508" xr:uid="{00000000-0005-0000-0000-0000D75B0000}"/>
    <cellStyle name="Normal 2 2 2 29 3 5" xfId="23509" xr:uid="{00000000-0005-0000-0000-0000D85B0000}"/>
    <cellStyle name="Normal 2 2 2 29 3 6" xfId="23510" xr:uid="{00000000-0005-0000-0000-0000D95B0000}"/>
    <cellStyle name="Normal 2 2 2 29 4" xfId="23511" xr:uid="{00000000-0005-0000-0000-0000DA5B0000}"/>
    <cellStyle name="Normal 2 2 2 29 4 2" xfId="23512" xr:uid="{00000000-0005-0000-0000-0000DB5B0000}"/>
    <cellStyle name="Normal 2 2 2 29 4 2 2" xfId="23513" xr:uid="{00000000-0005-0000-0000-0000DC5B0000}"/>
    <cellStyle name="Normal 2 2 2 29 4 3" xfId="23514" xr:uid="{00000000-0005-0000-0000-0000DD5B0000}"/>
    <cellStyle name="Normal 2 2 2 29 4 4" xfId="23515" xr:uid="{00000000-0005-0000-0000-0000DE5B0000}"/>
    <cellStyle name="Normal 2 2 2 29 4 5" xfId="23516" xr:uid="{00000000-0005-0000-0000-0000DF5B0000}"/>
    <cellStyle name="Normal 2 2 2 29 5" xfId="23517" xr:uid="{00000000-0005-0000-0000-0000E05B0000}"/>
    <cellStyle name="Normal 2 2 2 29 5 2" xfId="23518" xr:uid="{00000000-0005-0000-0000-0000E15B0000}"/>
    <cellStyle name="Normal 2 2 2 29 5 3" xfId="23519" xr:uid="{00000000-0005-0000-0000-0000E25B0000}"/>
    <cellStyle name="Normal 2 2 2 29 5 4" xfId="23520" xr:uid="{00000000-0005-0000-0000-0000E35B0000}"/>
    <cellStyle name="Normal 2 2 2 29 6" xfId="23521" xr:uid="{00000000-0005-0000-0000-0000E45B0000}"/>
    <cellStyle name="Normal 2 2 2 29 6 2" xfId="23522" xr:uid="{00000000-0005-0000-0000-0000E55B0000}"/>
    <cellStyle name="Normal 2 2 2 29 7" xfId="23523" xr:uid="{00000000-0005-0000-0000-0000E65B0000}"/>
    <cellStyle name="Normal 2 2 2 29 8" xfId="23524" xr:uid="{00000000-0005-0000-0000-0000E75B0000}"/>
    <cellStyle name="Normal 2 2 2 29 9" xfId="23525" xr:uid="{00000000-0005-0000-0000-0000E85B0000}"/>
    <cellStyle name="Normal 2 2 2 3" xfId="23526" xr:uid="{00000000-0005-0000-0000-0000E95B0000}"/>
    <cellStyle name="Normal 2 2 2 3 10" xfId="23527" xr:uid="{00000000-0005-0000-0000-0000EA5B0000}"/>
    <cellStyle name="Normal 2 2 2 3 11" xfId="23528" xr:uid="{00000000-0005-0000-0000-0000EB5B0000}"/>
    <cellStyle name="Normal 2 2 2 3 2" xfId="23529" xr:uid="{00000000-0005-0000-0000-0000EC5B0000}"/>
    <cellStyle name="Normal 2 2 2 3 2 2" xfId="23530" xr:uid="{00000000-0005-0000-0000-0000ED5B0000}"/>
    <cellStyle name="Normal 2 2 2 3 2 2 2" xfId="23531" xr:uid="{00000000-0005-0000-0000-0000EE5B0000}"/>
    <cellStyle name="Normal 2 2 2 3 2 2 2 2" xfId="23532" xr:uid="{00000000-0005-0000-0000-0000EF5B0000}"/>
    <cellStyle name="Normal 2 2 2 3 2 2 2 3" xfId="23533" xr:uid="{00000000-0005-0000-0000-0000F05B0000}"/>
    <cellStyle name="Normal 2 2 2 3 2 2 3" xfId="23534" xr:uid="{00000000-0005-0000-0000-0000F15B0000}"/>
    <cellStyle name="Normal 2 2 2 3 2 2 4" xfId="23535" xr:uid="{00000000-0005-0000-0000-0000F25B0000}"/>
    <cellStyle name="Normal 2 2 2 3 2 2 5" xfId="23536" xr:uid="{00000000-0005-0000-0000-0000F35B0000}"/>
    <cellStyle name="Normal 2 2 2 3 2 2 6" xfId="23537" xr:uid="{00000000-0005-0000-0000-0000F45B0000}"/>
    <cellStyle name="Normal 2 2 2 3 2 3" xfId="23538" xr:uid="{00000000-0005-0000-0000-0000F55B0000}"/>
    <cellStyle name="Normal 2 2 2 3 2 3 2" xfId="23539" xr:uid="{00000000-0005-0000-0000-0000F65B0000}"/>
    <cellStyle name="Normal 2 2 2 3 2 3 2 2" xfId="23540" xr:uid="{00000000-0005-0000-0000-0000F75B0000}"/>
    <cellStyle name="Normal 2 2 2 3 2 3 3" xfId="23541" xr:uid="{00000000-0005-0000-0000-0000F85B0000}"/>
    <cellStyle name="Normal 2 2 2 3 2 3 4" xfId="23542" xr:uid="{00000000-0005-0000-0000-0000F95B0000}"/>
    <cellStyle name="Normal 2 2 2 3 2 3 5" xfId="23543" xr:uid="{00000000-0005-0000-0000-0000FA5B0000}"/>
    <cellStyle name="Normal 2 2 2 3 2 4" xfId="23544" xr:uid="{00000000-0005-0000-0000-0000FB5B0000}"/>
    <cellStyle name="Normal 2 2 2 3 2 4 2" xfId="23545" xr:uid="{00000000-0005-0000-0000-0000FC5B0000}"/>
    <cellStyle name="Normal 2 2 2 3 2 4 3" xfId="23546" xr:uid="{00000000-0005-0000-0000-0000FD5B0000}"/>
    <cellStyle name="Normal 2 2 2 3 2 4 4" xfId="23547" xr:uid="{00000000-0005-0000-0000-0000FE5B0000}"/>
    <cellStyle name="Normal 2 2 2 3 2 5" xfId="23548" xr:uid="{00000000-0005-0000-0000-0000FF5B0000}"/>
    <cellStyle name="Normal 2 2 2 3 2 5 2" xfId="23549" xr:uid="{00000000-0005-0000-0000-0000005C0000}"/>
    <cellStyle name="Normal 2 2 2 3 2 6" xfId="23550" xr:uid="{00000000-0005-0000-0000-0000015C0000}"/>
    <cellStyle name="Normal 2 2 2 3 2 7" xfId="23551" xr:uid="{00000000-0005-0000-0000-0000025C0000}"/>
    <cellStyle name="Normal 2 2 2 3 2 8" xfId="23552" xr:uid="{00000000-0005-0000-0000-0000035C0000}"/>
    <cellStyle name="Normal 2 2 2 3 2 9" xfId="23553" xr:uid="{00000000-0005-0000-0000-0000045C0000}"/>
    <cellStyle name="Normal 2 2 2 3 3" xfId="23554" xr:uid="{00000000-0005-0000-0000-0000055C0000}"/>
    <cellStyle name="Normal 2 2 2 3 3 2" xfId="23555" xr:uid="{00000000-0005-0000-0000-0000065C0000}"/>
    <cellStyle name="Normal 2 2 2 3 3 2 2" xfId="23556" xr:uid="{00000000-0005-0000-0000-0000075C0000}"/>
    <cellStyle name="Normal 2 2 2 3 3 2 2 2" xfId="23557" xr:uid="{00000000-0005-0000-0000-0000085C0000}"/>
    <cellStyle name="Normal 2 2 2 3 3 2 2 3" xfId="23558" xr:uid="{00000000-0005-0000-0000-0000095C0000}"/>
    <cellStyle name="Normal 2 2 2 3 3 2 3" xfId="23559" xr:uid="{00000000-0005-0000-0000-00000A5C0000}"/>
    <cellStyle name="Normal 2 2 2 3 3 2 4" xfId="23560" xr:uid="{00000000-0005-0000-0000-00000B5C0000}"/>
    <cellStyle name="Normal 2 2 2 3 3 2 5" xfId="23561" xr:uid="{00000000-0005-0000-0000-00000C5C0000}"/>
    <cellStyle name="Normal 2 2 2 3 3 2 6" xfId="23562" xr:uid="{00000000-0005-0000-0000-00000D5C0000}"/>
    <cellStyle name="Normal 2 2 2 3 3 3" xfId="23563" xr:uid="{00000000-0005-0000-0000-00000E5C0000}"/>
    <cellStyle name="Normal 2 2 2 3 3 3 2" xfId="23564" xr:uid="{00000000-0005-0000-0000-00000F5C0000}"/>
    <cellStyle name="Normal 2 2 2 3 3 3 2 2" xfId="23565" xr:uid="{00000000-0005-0000-0000-0000105C0000}"/>
    <cellStyle name="Normal 2 2 2 3 3 3 3" xfId="23566" xr:uid="{00000000-0005-0000-0000-0000115C0000}"/>
    <cellStyle name="Normal 2 2 2 3 3 3 4" xfId="23567" xr:uid="{00000000-0005-0000-0000-0000125C0000}"/>
    <cellStyle name="Normal 2 2 2 3 3 3 5" xfId="23568" xr:uid="{00000000-0005-0000-0000-0000135C0000}"/>
    <cellStyle name="Normal 2 2 2 3 3 4" xfId="23569" xr:uid="{00000000-0005-0000-0000-0000145C0000}"/>
    <cellStyle name="Normal 2 2 2 3 3 4 2" xfId="23570" xr:uid="{00000000-0005-0000-0000-0000155C0000}"/>
    <cellStyle name="Normal 2 2 2 3 3 4 3" xfId="23571" xr:uid="{00000000-0005-0000-0000-0000165C0000}"/>
    <cellStyle name="Normal 2 2 2 3 3 4 4" xfId="23572" xr:uid="{00000000-0005-0000-0000-0000175C0000}"/>
    <cellStyle name="Normal 2 2 2 3 3 5" xfId="23573" xr:uid="{00000000-0005-0000-0000-0000185C0000}"/>
    <cellStyle name="Normal 2 2 2 3 3 5 2" xfId="23574" xr:uid="{00000000-0005-0000-0000-0000195C0000}"/>
    <cellStyle name="Normal 2 2 2 3 3 6" xfId="23575" xr:uid="{00000000-0005-0000-0000-00001A5C0000}"/>
    <cellStyle name="Normal 2 2 2 3 3 7" xfId="23576" xr:uid="{00000000-0005-0000-0000-00001B5C0000}"/>
    <cellStyle name="Normal 2 2 2 3 3 8" xfId="23577" xr:uid="{00000000-0005-0000-0000-00001C5C0000}"/>
    <cellStyle name="Normal 2 2 2 3 3 9" xfId="23578" xr:uid="{00000000-0005-0000-0000-00001D5C0000}"/>
    <cellStyle name="Normal 2 2 2 3 4" xfId="23579" xr:uid="{00000000-0005-0000-0000-00001E5C0000}"/>
    <cellStyle name="Normal 2 2 2 3 4 2" xfId="23580" xr:uid="{00000000-0005-0000-0000-00001F5C0000}"/>
    <cellStyle name="Normal 2 2 2 3 4 2 2" xfId="23581" xr:uid="{00000000-0005-0000-0000-0000205C0000}"/>
    <cellStyle name="Normal 2 2 2 3 4 2 3" xfId="23582" xr:uid="{00000000-0005-0000-0000-0000215C0000}"/>
    <cellStyle name="Normal 2 2 2 3 4 3" xfId="23583" xr:uid="{00000000-0005-0000-0000-0000225C0000}"/>
    <cellStyle name="Normal 2 2 2 3 4 4" xfId="23584" xr:uid="{00000000-0005-0000-0000-0000235C0000}"/>
    <cellStyle name="Normal 2 2 2 3 4 5" xfId="23585" xr:uid="{00000000-0005-0000-0000-0000245C0000}"/>
    <cellStyle name="Normal 2 2 2 3 4 6" xfId="23586" xr:uid="{00000000-0005-0000-0000-0000255C0000}"/>
    <cellStyle name="Normal 2 2 2 3 5" xfId="23587" xr:uid="{00000000-0005-0000-0000-0000265C0000}"/>
    <cellStyle name="Normal 2 2 2 3 5 2" xfId="23588" xr:uid="{00000000-0005-0000-0000-0000275C0000}"/>
    <cellStyle name="Normal 2 2 2 3 5 2 2" xfId="23589" xr:uid="{00000000-0005-0000-0000-0000285C0000}"/>
    <cellStyle name="Normal 2 2 2 3 5 3" xfId="23590" xr:uid="{00000000-0005-0000-0000-0000295C0000}"/>
    <cellStyle name="Normal 2 2 2 3 5 4" xfId="23591" xr:uid="{00000000-0005-0000-0000-00002A5C0000}"/>
    <cellStyle name="Normal 2 2 2 3 5 5" xfId="23592" xr:uid="{00000000-0005-0000-0000-00002B5C0000}"/>
    <cellStyle name="Normal 2 2 2 3 6" xfId="23593" xr:uid="{00000000-0005-0000-0000-00002C5C0000}"/>
    <cellStyle name="Normal 2 2 2 3 6 2" xfId="23594" xr:uid="{00000000-0005-0000-0000-00002D5C0000}"/>
    <cellStyle name="Normal 2 2 2 3 6 3" xfId="23595" xr:uid="{00000000-0005-0000-0000-00002E5C0000}"/>
    <cellStyle name="Normal 2 2 2 3 6 4" xfId="23596" xr:uid="{00000000-0005-0000-0000-00002F5C0000}"/>
    <cellStyle name="Normal 2 2 2 3 7" xfId="23597" xr:uid="{00000000-0005-0000-0000-0000305C0000}"/>
    <cellStyle name="Normal 2 2 2 3 7 2" xfId="23598" xr:uid="{00000000-0005-0000-0000-0000315C0000}"/>
    <cellStyle name="Normal 2 2 2 3 8" xfId="23599" xr:uid="{00000000-0005-0000-0000-0000325C0000}"/>
    <cellStyle name="Normal 2 2 2 3 9" xfId="23600" xr:uid="{00000000-0005-0000-0000-0000335C0000}"/>
    <cellStyle name="Normal 2 2 2 30" xfId="23601" xr:uid="{00000000-0005-0000-0000-0000345C0000}"/>
    <cellStyle name="Normal 2 2 2 30 10" xfId="23602" xr:uid="{00000000-0005-0000-0000-0000355C0000}"/>
    <cellStyle name="Normal 2 2 2 30 2" xfId="23603" xr:uid="{00000000-0005-0000-0000-0000365C0000}"/>
    <cellStyle name="Normal 2 2 2 30 2 2" xfId="23604" xr:uid="{00000000-0005-0000-0000-0000375C0000}"/>
    <cellStyle name="Normal 2 2 2 30 2 2 2" xfId="23605" xr:uid="{00000000-0005-0000-0000-0000385C0000}"/>
    <cellStyle name="Normal 2 2 2 30 2 2 3" xfId="23606" xr:uid="{00000000-0005-0000-0000-0000395C0000}"/>
    <cellStyle name="Normal 2 2 2 30 2 3" xfId="23607" xr:uid="{00000000-0005-0000-0000-00003A5C0000}"/>
    <cellStyle name="Normal 2 2 2 30 2 4" xfId="23608" xr:uid="{00000000-0005-0000-0000-00003B5C0000}"/>
    <cellStyle name="Normal 2 2 2 30 2 5" xfId="23609" xr:uid="{00000000-0005-0000-0000-00003C5C0000}"/>
    <cellStyle name="Normal 2 2 2 30 2 6" xfId="23610" xr:uid="{00000000-0005-0000-0000-00003D5C0000}"/>
    <cellStyle name="Normal 2 2 2 30 3" xfId="23611" xr:uid="{00000000-0005-0000-0000-00003E5C0000}"/>
    <cellStyle name="Normal 2 2 2 30 3 2" xfId="23612" xr:uid="{00000000-0005-0000-0000-00003F5C0000}"/>
    <cellStyle name="Normal 2 2 2 30 3 2 2" xfId="23613" xr:uid="{00000000-0005-0000-0000-0000405C0000}"/>
    <cellStyle name="Normal 2 2 2 30 3 2 3" xfId="23614" xr:uid="{00000000-0005-0000-0000-0000415C0000}"/>
    <cellStyle name="Normal 2 2 2 30 3 3" xfId="23615" xr:uid="{00000000-0005-0000-0000-0000425C0000}"/>
    <cellStyle name="Normal 2 2 2 30 3 4" xfId="23616" xr:uid="{00000000-0005-0000-0000-0000435C0000}"/>
    <cellStyle name="Normal 2 2 2 30 3 5" xfId="23617" xr:uid="{00000000-0005-0000-0000-0000445C0000}"/>
    <cellStyle name="Normal 2 2 2 30 3 6" xfId="23618" xr:uid="{00000000-0005-0000-0000-0000455C0000}"/>
    <cellStyle name="Normal 2 2 2 30 4" xfId="23619" xr:uid="{00000000-0005-0000-0000-0000465C0000}"/>
    <cellStyle name="Normal 2 2 2 30 4 2" xfId="23620" xr:uid="{00000000-0005-0000-0000-0000475C0000}"/>
    <cellStyle name="Normal 2 2 2 30 4 2 2" xfId="23621" xr:uid="{00000000-0005-0000-0000-0000485C0000}"/>
    <cellStyle name="Normal 2 2 2 30 4 3" xfId="23622" xr:uid="{00000000-0005-0000-0000-0000495C0000}"/>
    <cellStyle name="Normal 2 2 2 30 4 4" xfId="23623" xr:uid="{00000000-0005-0000-0000-00004A5C0000}"/>
    <cellStyle name="Normal 2 2 2 30 4 5" xfId="23624" xr:uid="{00000000-0005-0000-0000-00004B5C0000}"/>
    <cellStyle name="Normal 2 2 2 30 5" xfId="23625" xr:uid="{00000000-0005-0000-0000-00004C5C0000}"/>
    <cellStyle name="Normal 2 2 2 30 5 2" xfId="23626" xr:uid="{00000000-0005-0000-0000-00004D5C0000}"/>
    <cellStyle name="Normal 2 2 2 30 5 3" xfId="23627" xr:uid="{00000000-0005-0000-0000-00004E5C0000}"/>
    <cellStyle name="Normal 2 2 2 30 5 4" xfId="23628" xr:uid="{00000000-0005-0000-0000-00004F5C0000}"/>
    <cellStyle name="Normal 2 2 2 30 6" xfId="23629" xr:uid="{00000000-0005-0000-0000-0000505C0000}"/>
    <cellStyle name="Normal 2 2 2 30 6 2" xfId="23630" xr:uid="{00000000-0005-0000-0000-0000515C0000}"/>
    <cellStyle name="Normal 2 2 2 30 7" xfId="23631" xr:uid="{00000000-0005-0000-0000-0000525C0000}"/>
    <cellStyle name="Normal 2 2 2 30 8" xfId="23632" xr:uid="{00000000-0005-0000-0000-0000535C0000}"/>
    <cellStyle name="Normal 2 2 2 30 9" xfId="23633" xr:uid="{00000000-0005-0000-0000-0000545C0000}"/>
    <cellStyle name="Normal 2 2 2 31" xfId="23634" xr:uid="{00000000-0005-0000-0000-0000555C0000}"/>
    <cellStyle name="Normal 2 2 2 31 10" xfId="23635" xr:uid="{00000000-0005-0000-0000-0000565C0000}"/>
    <cellStyle name="Normal 2 2 2 31 2" xfId="23636" xr:uid="{00000000-0005-0000-0000-0000575C0000}"/>
    <cellStyle name="Normal 2 2 2 31 2 2" xfId="23637" xr:uid="{00000000-0005-0000-0000-0000585C0000}"/>
    <cellStyle name="Normal 2 2 2 31 2 2 2" xfId="23638" xr:uid="{00000000-0005-0000-0000-0000595C0000}"/>
    <cellStyle name="Normal 2 2 2 31 2 2 3" xfId="23639" xr:uid="{00000000-0005-0000-0000-00005A5C0000}"/>
    <cellStyle name="Normal 2 2 2 31 2 3" xfId="23640" xr:uid="{00000000-0005-0000-0000-00005B5C0000}"/>
    <cellStyle name="Normal 2 2 2 31 2 4" xfId="23641" xr:uid="{00000000-0005-0000-0000-00005C5C0000}"/>
    <cellStyle name="Normal 2 2 2 31 2 5" xfId="23642" xr:uid="{00000000-0005-0000-0000-00005D5C0000}"/>
    <cellStyle name="Normal 2 2 2 31 2 6" xfId="23643" xr:uid="{00000000-0005-0000-0000-00005E5C0000}"/>
    <cellStyle name="Normal 2 2 2 31 3" xfId="23644" xr:uid="{00000000-0005-0000-0000-00005F5C0000}"/>
    <cellStyle name="Normal 2 2 2 31 3 2" xfId="23645" xr:uid="{00000000-0005-0000-0000-0000605C0000}"/>
    <cellStyle name="Normal 2 2 2 31 3 2 2" xfId="23646" xr:uid="{00000000-0005-0000-0000-0000615C0000}"/>
    <cellStyle name="Normal 2 2 2 31 3 2 3" xfId="23647" xr:uid="{00000000-0005-0000-0000-0000625C0000}"/>
    <cellStyle name="Normal 2 2 2 31 3 3" xfId="23648" xr:uid="{00000000-0005-0000-0000-0000635C0000}"/>
    <cellStyle name="Normal 2 2 2 31 3 4" xfId="23649" xr:uid="{00000000-0005-0000-0000-0000645C0000}"/>
    <cellStyle name="Normal 2 2 2 31 3 5" xfId="23650" xr:uid="{00000000-0005-0000-0000-0000655C0000}"/>
    <cellStyle name="Normal 2 2 2 31 3 6" xfId="23651" xr:uid="{00000000-0005-0000-0000-0000665C0000}"/>
    <cellStyle name="Normal 2 2 2 31 4" xfId="23652" xr:uid="{00000000-0005-0000-0000-0000675C0000}"/>
    <cellStyle name="Normal 2 2 2 31 4 2" xfId="23653" xr:uid="{00000000-0005-0000-0000-0000685C0000}"/>
    <cellStyle name="Normal 2 2 2 31 4 2 2" xfId="23654" xr:uid="{00000000-0005-0000-0000-0000695C0000}"/>
    <cellStyle name="Normal 2 2 2 31 4 3" xfId="23655" xr:uid="{00000000-0005-0000-0000-00006A5C0000}"/>
    <cellStyle name="Normal 2 2 2 31 4 4" xfId="23656" xr:uid="{00000000-0005-0000-0000-00006B5C0000}"/>
    <cellStyle name="Normal 2 2 2 31 4 5" xfId="23657" xr:uid="{00000000-0005-0000-0000-00006C5C0000}"/>
    <cellStyle name="Normal 2 2 2 31 5" xfId="23658" xr:uid="{00000000-0005-0000-0000-00006D5C0000}"/>
    <cellStyle name="Normal 2 2 2 31 5 2" xfId="23659" xr:uid="{00000000-0005-0000-0000-00006E5C0000}"/>
    <cellStyle name="Normal 2 2 2 31 5 3" xfId="23660" xr:uid="{00000000-0005-0000-0000-00006F5C0000}"/>
    <cellStyle name="Normal 2 2 2 31 5 4" xfId="23661" xr:uid="{00000000-0005-0000-0000-0000705C0000}"/>
    <cellStyle name="Normal 2 2 2 31 6" xfId="23662" xr:uid="{00000000-0005-0000-0000-0000715C0000}"/>
    <cellStyle name="Normal 2 2 2 31 6 2" xfId="23663" xr:uid="{00000000-0005-0000-0000-0000725C0000}"/>
    <cellStyle name="Normal 2 2 2 31 7" xfId="23664" xr:uid="{00000000-0005-0000-0000-0000735C0000}"/>
    <cellStyle name="Normal 2 2 2 31 8" xfId="23665" xr:uid="{00000000-0005-0000-0000-0000745C0000}"/>
    <cellStyle name="Normal 2 2 2 31 9" xfId="23666" xr:uid="{00000000-0005-0000-0000-0000755C0000}"/>
    <cellStyle name="Normal 2 2 2 32" xfId="23667" xr:uid="{00000000-0005-0000-0000-0000765C0000}"/>
    <cellStyle name="Normal 2 2 2 32 10" xfId="23668" xr:uid="{00000000-0005-0000-0000-0000775C0000}"/>
    <cellStyle name="Normal 2 2 2 32 2" xfId="23669" xr:uid="{00000000-0005-0000-0000-0000785C0000}"/>
    <cellStyle name="Normal 2 2 2 32 2 2" xfId="23670" xr:uid="{00000000-0005-0000-0000-0000795C0000}"/>
    <cellStyle name="Normal 2 2 2 32 2 2 2" xfId="23671" xr:uid="{00000000-0005-0000-0000-00007A5C0000}"/>
    <cellStyle name="Normal 2 2 2 32 2 2 3" xfId="23672" xr:uid="{00000000-0005-0000-0000-00007B5C0000}"/>
    <cellStyle name="Normal 2 2 2 32 2 3" xfId="23673" xr:uid="{00000000-0005-0000-0000-00007C5C0000}"/>
    <cellStyle name="Normal 2 2 2 32 2 4" xfId="23674" xr:uid="{00000000-0005-0000-0000-00007D5C0000}"/>
    <cellStyle name="Normal 2 2 2 32 2 5" xfId="23675" xr:uid="{00000000-0005-0000-0000-00007E5C0000}"/>
    <cellStyle name="Normal 2 2 2 32 2 6" xfId="23676" xr:uid="{00000000-0005-0000-0000-00007F5C0000}"/>
    <cellStyle name="Normal 2 2 2 32 3" xfId="23677" xr:uid="{00000000-0005-0000-0000-0000805C0000}"/>
    <cellStyle name="Normal 2 2 2 32 3 2" xfId="23678" xr:uid="{00000000-0005-0000-0000-0000815C0000}"/>
    <cellStyle name="Normal 2 2 2 32 3 2 2" xfId="23679" xr:uid="{00000000-0005-0000-0000-0000825C0000}"/>
    <cellStyle name="Normal 2 2 2 32 3 2 3" xfId="23680" xr:uid="{00000000-0005-0000-0000-0000835C0000}"/>
    <cellStyle name="Normal 2 2 2 32 3 3" xfId="23681" xr:uid="{00000000-0005-0000-0000-0000845C0000}"/>
    <cellStyle name="Normal 2 2 2 32 3 4" xfId="23682" xr:uid="{00000000-0005-0000-0000-0000855C0000}"/>
    <cellStyle name="Normal 2 2 2 32 3 5" xfId="23683" xr:uid="{00000000-0005-0000-0000-0000865C0000}"/>
    <cellStyle name="Normal 2 2 2 32 3 6" xfId="23684" xr:uid="{00000000-0005-0000-0000-0000875C0000}"/>
    <cellStyle name="Normal 2 2 2 32 4" xfId="23685" xr:uid="{00000000-0005-0000-0000-0000885C0000}"/>
    <cellStyle name="Normal 2 2 2 32 4 2" xfId="23686" xr:uid="{00000000-0005-0000-0000-0000895C0000}"/>
    <cellStyle name="Normal 2 2 2 32 4 2 2" xfId="23687" xr:uid="{00000000-0005-0000-0000-00008A5C0000}"/>
    <cellStyle name="Normal 2 2 2 32 4 3" xfId="23688" xr:uid="{00000000-0005-0000-0000-00008B5C0000}"/>
    <cellStyle name="Normal 2 2 2 32 4 4" xfId="23689" xr:uid="{00000000-0005-0000-0000-00008C5C0000}"/>
    <cellStyle name="Normal 2 2 2 32 4 5" xfId="23690" xr:uid="{00000000-0005-0000-0000-00008D5C0000}"/>
    <cellStyle name="Normal 2 2 2 32 5" xfId="23691" xr:uid="{00000000-0005-0000-0000-00008E5C0000}"/>
    <cellStyle name="Normal 2 2 2 32 5 2" xfId="23692" xr:uid="{00000000-0005-0000-0000-00008F5C0000}"/>
    <cellStyle name="Normal 2 2 2 32 5 3" xfId="23693" xr:uid="{00000000-0005-0000-0000-0000905C0000}"/>
    <cellStyle name="Normal 2 2 2 32 5 4" xfId="23694" xr:uid="{00000000-0005-0000-0000-0000915C0000}"/>
    <cellStyle name="Normal 2 2 2 32 6" xfId="23695" xr:uid="{00000000-0005-0000-0000-0000925C0000}"/>
    <cellStyle name="Normal 2 2 2 32 6 2" xfId="23696" xr:uid="{00000000-0005-0000-0000-0000935C0000}"/>
    <cellStyle name="Normal 2 2 2 32 7" xfId="23697" xr:uid="{00000000-0005-0000-0000-0000945C0000}"/>
    <cellStyle name="Normal 2 2 2 32 8" xfId="23698" xr:uid="{00000000-0005-0000-0000-0000955C0000}"/>
    <cellStyle name="Normal 2 2 2 32 9" xfId="23699" xr:uid="{00000000-0005-0000-0000-0000965C0000}"/>
    <cellStyle name="Normal 2 2 2 33" xfId="23700" xr:uid="{00000000-0005-0000-0000-0000975C0000}"/>
    <cellStyle name="Normal 2 2 2 33 2" xfId="23701" xr:uid="{00000000-0005-0000-0000-0000985C0000}"/>
    <cellStyle name="Normal 2 2 2 33 2 2" xfId="23702" xr:uid="{00000000-0005-0000-0000-0000995C0000}"/>
    <cellStyle name="Normal 2 2 2 33 2 2 2" xfId="23703" xr:uid="{00000000-0005-0000-0000-00009A5C0000}"/>
    <cellStyle name="Normal 2 2 2 33 2 2 3" xfId="23704" xr:uid="{00000000-0005-0000-0000-00009B5C0000}"/>
    <cellStyle name="Normal 2 2 2 33 2 3" xfId="23705" xr:uid="{00000000-0005-0000-0000-00009C5C0000}"/>
    <cellStyle name="Normal 2 2 2 33 2 4" xfId="23706" xr:uid="{00000000-0005-0000-0000-00009D5C0000}"/>
    <cellStyle name="Normal 2 2 2 33 2 5" xfId="23707" xr:uid="{00000000-0005-0000-0000-00009E5C0000}"/>
    <cellStyle name="Normal 2 2 2 33 2 6" xfId="23708" xr:uid="{00000000-0005-0000-0000-00009F5C0000}"/>
    <cellStyle name="Normal 2 2 2 33 3" xfId="23709" xr:uid="{00000000-0005-0000-0000-0000A05C0000}"/>
    <cellStyle name="Normal 2 2 2 33 3 2" xfId="23710" xr:uid="{00000000-0005-0000-0000-0000A15C0000}"/>
    <cellStyle name="Normal 2 2 2 33 3 2 2" xfId="23711" xr:uid="{00000000-0005-0000-0000-0000A25C0000}"/>
    <cellStyle name="Normal 2 2 2 33 3 3" xfId="23712" xr:uid="{00000000-0005-0000-0000-0000A35C0000}"/>
    <cellStyle name="Normal 2 2 2 33 3 4" xfId="23713" xr:uid="{00000000-0005-0000-0000-0000A45C0000}"/>
    <cellStyle name="Normal 2 2 2 33 3 5" xfId="23714" xr:uid="{00000000-0005-0000-0000-0000A55C0000}"/>
    <cellStyle name="Normal 2 2 2 33 4" xfId="23715" xr:uid="{00000000-0005-0000-0000-0000A65C0000}"/>
    <cellStyle name="Normal 2 2 2 33 4 2" xfId="23716" xr:uid="{00000000-0005-0000-0000-0000A75C0000}"/>
    <cellStyle name="Normal 2 2 2 33 4 3" xfId="23717" xr:uid="{00000000-0005-0000-0000-0000A85C0000}"/>
    <cellStyle name="Normal 2 2 2 33 4 4" xfId="23718" xr:uid="{00000000-0005-0000-0000-0000A95C0000}"/>
    <cellStyle name="Normal 2 2 2 33 5" xfId="23719" xr:uid="{00000000-0005-0000-0000-0000AA5C0000}"/>
    <cellStyle name="Normal 2 2 2 33 5 2" xfId="23720" xr:uid="{00000000-0005-0000-0000-0000AB5C0000}"/>
    <cellStyle name="Normal 2 2 2 33 6" xfId="23721" xr:uid="{00000000-0005-0000-0000-0000AC5C0000}"/>
    <cellStyle name="Normal 2 2 2 33 7" xfId="23722" xr:uid="{00000000-0005-0000-0000-0000AD5C0000}"/>
    <cellStyle name="Normal 2 2 2 33 8" xfId="23723" xr:uid="{00000000-0005-0000-0000-0000AE5C0000}"/>
    <cellStyle name="Normal 2 2 2 33 9" xfId="23724" xr:uid="{00000000-0005-0000-0000-0000AF5C0000}"/>
    <cellStyle name="Normal 2 2 2 34" xfId="23725" xr:uid="{00000000-0005-0000-0000-0000B05C0000}"/>
    <cellStyle name="Normal 2 2 2 34 2" xfId="23726" xr:uid="{00000000-0005-0000-0000-0000B15C0000}"/>
    <cellStyle name="Normal 2 2 2 34 3" xfId="23727" xr:uid="{00000000-0005-0000-0000-0000B25C0000}"/>
    <cellStyle name="Normal 2 2 2 34 4" xfId="23728" xr:uid="{00000000-0005-0000-0000-0000B35C0000}"/>
    <cellStyle name="Normal 2 2 2 35" xfId="23729" xr:uid="{00000000-0005-0000-0000-0000B45C0000}"/>
    <cellStyle name="Normal 2 2 2 35 2" xfId="23730" xr:uid="{00000000-0005-0000-0000-0000B55C0000}"/>
    <cellStyle name="Normal 2 2 2 35 2 2" xfId="23731" xr:uid="{00000000-0005-0000-0000-0000B65C0000}"/>
    <cellStyle name="Normal 2 2 2 35 2 3" xfId="23732" xr:uid="{00000000-0005-0000-0000-0000B75C0000}"/>
    <cellStyle name="Normal 2 2 2 35 3" xfId="23733" xr:uid="{00000000-0005-0000-0000-0000B85C0000}"/>
    <cellStyle name="Normal 2 2 2 35 4" xfId="23734" xr:uid="{00000000-0005-0000-0000-0000B95C0000}"/>
    <cellStyle name="Normal 2 2 2 35 5" xfId="23735" xr:uid="{00000000-0005-0000-0000-0000BA5C0000}"/>
    <cellStyle name="Normal 2 2 2 35 6" xfId="23736" xr:uid="{00000000-0005-0000-0000-0000BB5C0000}"/>
    <cellStyle name="Normal 2 2 2 36" xfId="23737" xr:uid="{00000000-0005-0000-0000-0000BC5C0000}"/>
    <cellStyle name="Normal 2 2 2 36 2" xfId="23738" xr:uid="{00000000-0005-0000-0000-0000BD5C0000}"/>
    <cellStyle name="Normal 2 2 2 36 2 2" xfId="23739" xr:uid="{00000000-0005-0000-0000-0000BE5C0000}"/>
    <cellStyle name="Normal 2 2 2 36 3" xfId="23740" xr:uid="{00000000-0005-0000-0000-0000BF5C0000}"/>
    <cellStyle name="Normal 2 2 2 36 4" xfId="23741" xr:uid="{00000000-0005-0000-0000-0000C05C0000}"/>
    <cellStyle name="Normal 2 2 2 36 5" xfId="23742" xr:uid="{00000000-0005-0000-0000-0000C15C0000}"/>
    <cellStyle name="Normal 2 2 2 36 6" xfId="23743" xr:uid="{00000000-0005-0000-0000-0000C25C0000}"/>
    <cellStyle name="Normal 2 2 2 37" xfId="23744" xr:uid="{00000000-0005-0000-0000-0000C35C0000}"/>
    <cellStyle name="Normal 2 2 2 37 2" xfId="23745" xr:uid="{00000000-0005-0000-0000-0000C45C0000}"/>
    <cellStyle name="Normal 2 2 2 37 3" xfId="23746" xr:uid="{00000000-0005-0000-0000-0000C55C0000}"/>
    <cellStyle name="Normal 2 2 2 38" xfId="23747" xr:uid="{00000000-0005-0000-0000-0000C65C0000}"/>
    <cellStyle name="Normal 2 2 2 39" xfId="23748" xr:uid="{00000000-0005-0000-0000-0000C75C0000}"/>
    <cellStyle name="Normal 2 2 2 4" xfId="23749" xr:uid="{00000000-0005-0000-0000-0000C85C0000}"/>
    <cellStyle name="Normal 2 2 2 4 10" xfId="23750" xr:uid="{00000000-0005-0000-0000-0000C95C0000}"/>
    <cellStyle name="Normal 2 2 2 4 11" xfId="23751" xr:uid="{00000000-0005-0000-0000-0000CA5C0000}"/>
    <cellStyle name="Normal 2 2 2 4 2" xfId="23752" xr:uid="{00000000-0005-0000-0000-0000CB5C0000}"/>
    <cellStyle name="Normal 2 2 2 4 2 2" xfId="23753" xr:uid="{00000000-0005-0000-0000-0000CC5C0000}"/>
    <cellStyle name="Normal 2 2 2 4 2 2 2" xfId="23754" xr:uid="{00000000-0005-0000-0000-0000CD5C0000}"/>
    <cellStyle name="Normal 2 2 2 4 2 2 2 2" xfId="23755" xr:uid="{00000000-0005-0000-0000-0000CE5C0000}"/>
    <cellStyle name="Normal 2 2 2 4 2 2 2 3" xfId="23756" xr:uid="{00000000-0005-0000-0000-0000CF5C0000}"/>
    <cellStyle name="Normal 2 2 2 4 2 2 3" xfId="23757" xr:uid="{00000000-0005-0000-0000-0000D05C0000}"/>
    <cellStyle name="Normal 2 2 2 4 2 2 4" xfId="23758" xr:uid="{00000000-0005-0000-0000-0000D15C0000}"/>
    <cellStyle name="Normal 2 2 2 4 2 2 5" xfId="23759" xr:uid="{00000000-0005-0000-0000-0000D25C0000}"/>
    <cellStyle name="Normal 2 2 2 4 2 2 6" xfId="23760" xr:uid="{00000000-0005-0000-0000-0000D35C0000}"/>
    <cellStyle name="Normal 2 2 2 4 2 3" xfId="23761" xr:uid="{00000000-0005-0000-0000-0000D45C0000}"/>
    <cellStyle name="Normal 2 2 2 4 2 3 2" xfId="23762" xr:uid="{00000000-0005-0000-0000-0000D55C0000}"/>
    <cellStyle name="Normal 2 2 2 4 2 3 2 2" xfId="23763" xr:uid="{00000000-0005-0000-0000-0000D65C0000}"/>
    <cellStyle name="Normal 2 2 2 4 2 3 3" xfId="23764" xr:uid="{00000000-0005-0000-0000-0000D75C0000}"/>
    <cellStyle name="Normal 2 2 2 4 2 3 4" xfId="23765" xr:uid="{00000000-0005-0000-0000-0000D85C0000}"/>
    <cellStyle name="Normal 2 2 2 4 2 3 5" xfId="23766" xr:uid="{00000000-0005-0000-0000-0000D95C0000}"/>
    <cellStyle name="Normal 2 2 2 4 2 4" xfId="23767" xr:uid="{00000000-0005-0000-0000-0000DA5C0000}"/>
    <cellStyle name="Normal 2 2 2 4 2 4 2" xfId="23768" xr:uid="{00000000-0005-0000-0000-0000DB5C0000}"/>
    <cellStyle name="Normal 2 2 2 4 2 4 3" xfId="23769" xr:uid="{00000000-0005-0000-0000-0000DC5C0000}"/>
    <cellStyle name="Normal 2 2 2 4 2 4 4" xfId="23770" xr:uid="{00000000-0005-0000-0000-0000DD5C0000}"/>
    <cellStyle name="Normal 2 2 2 4 2 5" xfId="23771" xr:uid="{00000000-0005-0000-0000-0000DE5C0000}"/>
    <cellStyle name="Normal 2 2 2 4 2 5 2" xfId="23772" xr:uid="{00000000-0005-0000-0000-0000DF5C0000}"/>
    <cellStyle name="Normal 2 2 2 4 2 6" xfId="23773" xr:uid="{00000000-0005-0000-0000-0000E05C0000}"/>
    <cellStyle name="Normal 2 2 2 4 2 7" xfId="23774" xr:uid="{00000000-0005-0000-0000-0000E15C0000}"/>
    <cellStyle name="Normal 2 2 2 4 2 8" xfId="23775" xr:uid="{00000000-0005-0000-0000-0000E25C0000}"/>
    <cellStyle name="Normal 2 2 2 4 2 9" xfId="23776" xr:uid="{00000000-0005-0000-0000-0000E35C0000}"/>
    <cellStyle name="Normal 2 2 2 4 3" xfId="23777" xr:uid="{00000000-0005-0000-0000-0000E45C0000}"/>
    <cellStyle name="Normal 2 2 2 4 3 2" xfId="23778" xr:uid="{00000000-0005-0000-0000-0000E55C0000}"/>
    <cellStyle name="Normal 2 2 2 4 3 2 2" xfId="23779" xr:uid="{00000000-0005-0000-0000-0000E65C0000}"/>
    <cellStyle name="Normal 2 2 2 4 3 2 2 2" xfId="23780" xr:uid="{00000000-0005-0000-0000-0000E75C0000}"/>
    <cellStyle name="Normal 2 2 2 4 3 2 2 3" xfId="23781" xr:uid="{00000000-0005-0000-0000-0000E85C0000}"/>
    <cellStyle name="Normal 2 2 2 4 3 2 3" xfId="23782" xr:uid="{00000000-0005-0000-0000-0000E95C0000}"/>
    <cellStyle name="Normal 2 2 2 4 3 2 4" xfId="23783" xr:uid="{00000000-0005-0000-0000-0000EA5C0000}"/>
    <cellStyle name="Normal 2 2 2 4 3 2 5" xfId="23784" xr:uid="{00000000-0005-0000-0000-0000EB5C0000}"/>
    <cellStyle name="Normal 2 2 2 4 3 2 6" xfId="23785" xr:uid="{00000000-0005-0000-0000-0000EC5C0000}"/>
    <cellStyle name="Normal 2 2 2 4 3 3" xfId="23786" xr:uid="{00000000-0005-0000-0000-0000ED5C0000}"/>
    <cellStyle name="Normal 2 2 2 4 3 3 2" xfId="23787" xr:uid="{00000000-0005-0000-0000-0000EE5C0000}"/>
    <cellStyle name="Normal 2 2 2 4 3 3 2 2" xfId="23788" xr:uid="{00000000-0005-0000-0000-0000EF5C0000}"/>
    <cellStyle name="Normal 2 2 2 4 3 3 3" xfId="23789" xr:uid="{00000000-0005-0000-0000-0000F05C0000}"/>
    <cellStyle name="Normal 2 2 2 4 3 3 4" xfId="23790" xr:uid="{00000000-0005-0000-0000-0000F15C0000}"/>
    <cellStyle name="Normal 2 2 2 4 3 3 5" xfId="23791" xr:uid="{00000000-0005-0000-0000-0000F25C0000}"/>
    <cellStyle name="Normal 2 2 2 4 3 4" xfId="23792" xr:uid="{00000000-0005-0000-0000-0000F35C0000}"/>
    <cellStyle name="Normal 2 2 2 4 3 4 2" xfId="23793" xr:uid="{00000000-0005-0000-0000-0000F45C0000}"/>
    <cellStyle name="Normal 2 2 2 4 3 4 3" xfId="23794" xr:uid="{00000000-0005-0000-0000-0000F55C0000}"/>
    <cellStyle name="Normal 2 2 2 4 3 4 4" xfId="23795" xr:uid="{00000000-0005-0000-0000-0000F65C0000}"/>
    <cellStyle name="Normal 2 2 2 4 3 5" xfId="23796" xr:uid="{00000000-0005-0000-0000-0000F75C0000}"/>
    <cellStyle name="Normal 2 2 2 4 3 5 2" xfId="23797" xr:uid="{00000000-0005-0000-0000-0000F85C0000}"/>
    <cellStyle name="Normal 2 2 2 4 3 6" xfId="23798" xr:uid="{00000000-0005-0000-0000-0000F95C0000}"/>
    <cellStyle name="Normal 2 2 2 4 3 7" xfId="23799" xr:uid="{00000000-0005-0000-0000-0000FA5C0000}"/>
    <cellStyle name="Normal 2 2 2 4 3 8" xfId="23800" xr:uid="{00000000-0005-0000-0000-0000FB5C0000}"/>
    <cellStyle name="Normal 2 2 2 4 3 9" xfId="23801" xr:uid="{00000000-0005-0000-0000-0000FC5C0000}"/>
    <cellStyle name="Normal 2 2 2 4 4" xfId="23802" xr:uid="{00000000-0005-0000-0000-0000FD5C0000}"/>
    <cellStyle name="Normal 2 2 2 4 4 2" xfId="23803" xr:uid="{00000000-0005-0000-0000-0000FE5C0000}"/>
    <cellStyle name="Normal 2 2 2 4 4 2 2" xfId="23804" xr:uid="{00000000-0005-0000-0000-0000FF5C0000}"/>
    <cellStyle name="Normal 2 2 2 4 4 2 3" xfId="23805" xr:uid="{00000000-0005-0000-0000-0000005D0000}"/>
    <cellStyle name="Normal 2 2 2 4 4 3" xfId="23806" xr:uid="{00000000-0005-0000-0000-0000015D0000}"/>
    <cellStyle name="Normal 2 2 2 4 4 4" xfId="23807" xr:uid="{00000000-0005-0000-0000-0000025D0000}"/>
    <cellStyle name="Normal 2 2 2 4 4 5" xfId="23808" xr:uid="{00000000-0005-0000-0000-0000035D0000}"/>
    <cellStyle name="Normal 2 2 2 4 4 6" xfId="23809" xr:uid="{00000000-0005-0000-0000-0000045D0000}"/>
    <cellStyle name="Normal 2 2 2 4 5" xfId="23810" xr:uid="{00000000-0005-0000-0000-0000055D0000}"/>
    <cellStyle name="Normal 2 2 2 4 5 2" xfId="23811" xr:uid="{00000000-0005-0000-0000-0000065D0000}"/>
    <cellStyle name="Normal 2 2 2 4 5 2 2" xfId="23812" xr:uid="{00000000-0005-0000-0000-0000075D0000}"/>
    <cellStyle name="Normal 2 2 2 4 5 3" xfId="23813" xr:uid="{00000000-0005-0000-0000-0000085D0000}"/>
    <cellStyle name="Normal 2 2 2 4 5 4" xfId="23814" xr:uid="{00000000-0005-0000-0000-0000095D0000}"/>
    <cellStyle name="Normal 2 2 2 4 5 5" xfId="23815" xr:uid="{00000000-0005-0000-0000-00000A5D0000}"/>
    <cellStyle name="Normal 2 2 2 4 6" xfId="23816" xr:uid="{00000000-0005-0000-0000-00000B5D0000}"/>
    <cellStyle name="Normal 2 2 2 4 6 2" xfId="23817" xr:uid="{00000000-0005-0000-0000-00000C5D0000}"/>
    <cellStyle name="Normal 2 2 2 4 6 3" xfId="23818" xr:uid="{00000000-0005-0000-0000-00000D5D0000}"/>
    <cellStyle name="Normal 2 2 2 4 6 4" xfId="23819" xr:uid="{00000000-0005-0000-0000-00000E5D0000}"/>
    <cellStyle name="Normal 2 2 2 4 7" xfId="23820" xr:uid="{00000000-0005-0000-0000-00000F5D0000}"/>
    <cellStyle name="Normal 2 2 2 4 7 2" xfId="23821" xr:uid="{00000000-0005-0000-0000-0000105D0000}"/>
    <cellStyle name="Normal 2 2 2 4 8" xfId="23822" xr:uid="{00000000-0005-0000-0000-0000115D0000}"/>
    <cellStyle name="Normal 2 2 2 4 9" xfId="23823" xr:uid="{00000000-0005-0000-0000-0000125D0000}"/>
    <cellStyle name="Normal 2 2 2 40" xfId="23824" xr:uid="{00000000-0005-0000-0000-0000135D0000}"/>
    <cellStyle name="Normal 2 2 2 41" xfId="23825" xr:uid="{00000000-0005-0000-0000-0000145D0000}"/>
    <cellStyle name="Normal 2 2 2 5" xfId="23826" xr:uid="{00000000-0005-0000-0000-0000155D0000}"/>
    <cellStyle name="Normal 2 2 2 5 10" xfId="23827" xr:uid="{00000000-0005-0000-0000-0000165D0000}"/>
    <cellStyle name="Normal 2 2 2 5 11" xfId="23828" xr:uid="{00000000-0005-0000-0000-0000175D0000}"/>
    <cellStyle name="Normal 2 2 2 5 2" xfId="23829" xr:uid="{00000000-0005-0000-0000-0000185D0000}"/>
    <cellStyle name="Normal 2 2 2 5 2 2" xfId="23830" xr:uid="{00000000-0005-0000-0000-0000195D0000}"/>
    <cellStyle name="Normal 2 2 2 5 2 2 2" xfId="23831" xr:uid="{00000000-0005-0000-0000-00001A5D0000}"/>
    <cellStyle name="Normal 2 2 2 5 2 2 2 2" xfId="23832" xr:uid="{00000000-0005-0000-0000-00001B5D0000}"/>
    <cellStyle name="Normal 2 2 2 5 2 2 2 3" xfId="23833" xr:uid="{00000000-0005-0000-0000-00001C5D0000}"/>
    <cellStyle name="Normal 2 2 2 5 2 2 3" xfId="23834" xr:uid="{00000000-0005-0000-0000-00001D5D0000}"/>
    <cellStyle name="Normal 2 2 2 5 2 2 4" xfId="23835" xr:uid="{00000000-0005-0000-0000-00001E5D0000}"/>
    <cellStyle name="Normal 2 2 2 5 2 2 5" xfId="23836" xr:uid="{00000000-0005-0000-0000-00001F5D0000}"/>
    <cellStyle name="Normal 2 2 2 5 2 2 6" xfId="23837" xr:uid="{00000000-0005-0000-0000-0000205D0000}"/>
    <cellStyle name="Normal 2 2 2 5 2 3" xfId="23838" xr:uid="{00000000-0005-0000-0000-0000215D0000}"/>
    <cellStyle name="Normal 2 2 2 5 2 3 2" xfId="23839" xr:uid="{00000000-0005-0000-0000-0000225D0000}"/>
    <cellStyle name="Normal 2 2 2 5 2 3 2 2" xfId="23840" xr:uid="{00000000-0005-0000-0000-0000235D0000}"/>
    <cellStyle name="Normal 2 2 2 5 2 3 3" xfId="23841" xr:uid="{00000000-0005-0000-0000-0000245D0000}"/>
    <cellStyle name="Normal 2 2 2 5 2 3 4" xfId="23842" xr:uid="{00000000-0005-0000-0000-0000255D0000}"/>
    <cellStyle name="Normal 2 2 2 5 2 3 5" xfId="23843" xr:uid="{00000000-0005-0000-0000-0000265D0000}"/>
    <cellStyle name="Normal 2 2 2 5 2 4" xfId="23844" xr:uid="{00000000-0005-0000-0000-0000275D0000}"/>
    <cellStyle name="Normal 2 2 2 5 2 4 2" xfId="23845" xr:uid="{00000000-0005-0000-0000-0000285D0000}"/>
    <cellStyle name="Normal 2 2 2 5 2 4 3" xfId="23846" xr:uid="{00000000-0005-0000-0000-0000295D0000}"/>
    <cellStyle name="Normal 2 2 2 5 2 4 4" xfId="23847" xr:uid="{00000000-0005-0000-0000-00002A5D0000}"/>
    <cellStyle name="Normal 2 2 2 5 2 5" xfId="23848" xr:uid="{00000000-0005-0000-0000-00002B5D0000}"/>
    <cellStyle name="Normal 2 2 2 5 2 5 2" xfId="23849" xr:uid="{00000000-0005-0000-0000-00002C5D0000}"/>
    <cellStyle name="Normal 2 2 2 5 2 6" xfId="23850" xr:uid="{00000000-0005-0000-0000-00002D5D0000}"/>
    <cellStyle name="Normal 2 2 2 5 2 7" xfId="23851" xr:uid="{00000000-0005-0000-0000-00002E5D0000}"/>
    <cellStyle name="Normal 2 2 2 5 2 8" xfId="23852" xr:uid="{00000000-0005-0000-0000-00002F5D0000}"/>
    <cellStyle name="Normal 2 2 2 5 2 9" xfId="23853" xr:uid="{00000000-0005-0000-0000-0000305D0000}"/>
    <cellStyle name="Normal 2 2 2 5 3" xfId="23854" xr:uid="{00000000-0005-0000-0000-0000315D0000}"/>
    <cellStyle name="Normal 2 2 2 5 3 2" xfId="23855" xr:uid="{00000000-0005-0000-0000-0000325D0000}"/>
    <cellStyle name="Normal 2 2 2 5 3 2 2" xfId="23856" xr:uid="{00000000-0005-0000-0000-0000335D0000}"/>
    <cellStyle name="Normal 2 2 2 5 3 2 2 2" xfId="23857" xr:uid="{00000000-0005-0000-0000-0000345D0000}"/>
    <cellStyle name="Normal 2 2 2 5 3 2 2 3" xfId="23858" xr:uid="{00000000-0005-0000-0000-0000355D0000}"/>
    <cellStyle name="Normal 2 2 2 5 3 2 3" xfId="23859" xr:uid="{00000000-0005-0000-0000-0000365D0000}"/>
    <cellStyle name="Normal 2 2 2 5 3 2 4" xfId="23860" xr:uid="{00000000-0005-0000-0000-0000375D0000}"/>
    <cellStyle name="Normal 2 2 2 5 3 2 5" xfId="23861" xr:uid="{00000000-0005-0000-0000-0000385D0000}"/>
    <cellStyle name="Normal 2 2 2 5 3 2 6" xfId="23862" xr:uid="{00000000-0005-0000-0000-0000395D0000}"/>
    <cellStyle name="Normal 2 2 2 5 3 3" xfId="23863" xr:uid="{00000000-0005-0000-0000-00003A5D0000}"/>
    <cellStyle name="Normal 2 2 2 5 3 3 2" xfId="23864" xr:uid="{00000000-0005-0000-0000-00003B5D0000}"/>
    <cellStyle name="Normal 2 2 2 5 3 3 2 2" xfId="23865" xr:uid="{00000000-0005-0000-0000-00003C5D0000}"/>
    <cellStyle name="Normal 2 2 2 5 3 3 3" xfId="23866" xr:uid="{00000000-0005-0000-0000-00003D5D0000}"/>
    <cellStyle name="Normal 2 2 2 5 3 3 4" xfId="23867" xr:uid="{00000000-0005-0000-0000-00003E5D0000}"/>
    <cellStyle name="Normal 2 2 2 5 3 3 5" xfId="23868" xr:uid="{00000000-0005-0000-0000-00003F5D0000}"/>
    <cellStyle name="Normal 2 2 2 5 3 4" xfId="23869" xr:uid="{00000000-0005-0000-0000-0000405D0000}"/>
    <cellStyle name="Normal 2 2 2 5 3 4 2" xfId="23870" xr:uid="{00000000-0005-0000-0000-0000415D0000}"/>
    <cellStyle name="Normal 2 2 2 5 3 4 3" xfId="23871" xr:uid="{00000000-0005-0000-0000-0000425D0000}"/>
    <cellStyle name="Normal 2 2 2 5 3 4 4" xfId="23872" xr:uid="{00000000-0005-0000-0000-0000435D0000}"/>
    <cellStyle name="Normal 2 2 2 5 3 5" xfId="23873" xr:uid="{00000000-0005-0000-0000-0000445D0000}"/>
    <cellStyle name="Normal 2 2 2 5 3 5 2" xfId="23874" xr:uid="{00000000-0005-0000-0000-0000455D0000}"/>
    <cellStyle name="Normal 2 2 2 5 3 6" xfId="23875" xr:uid="{00000000-0005-0000-0000-0000465D0000}"/>
    <cellStyle name="Normal 2 2 2 5 3 7" xfId="23876" xr:uid="{00000000-0005-0000-0000-0000475D0000}"/>
    <cellStyle name="Normal 2 2 2 5 3 8" xfId="23877" xr:uid="{00000000-0005-0000-0000-0000485D0000}"/>
    <cellStyle name="Normal 2 2 2 5 3 9" xfId="23878" xr:uid="{00000000-0005-0000-0000-0000495D0000}"/>
    <cellStyle name="Normal 2 2 2 5 4" xfId="23879" xr:uid="{00000000-0005-0000-0000-00004A5D0000}"/>
    <cellStyle name="Normal 2 2 2 5 4 2" xfId="23880" xr:uid="{00000000-0005-0000-0000-00004B5D0000}"/>
    <cellStyle name="Normal 2 2 2 5 4 2 2" xfId="23881" xr:uid="{00000000-0005-0000-0000-00004C5D0000}"/>
    <cellStyle name="Normal 2 2 2 5 4 2 3" xfId="23882" xr:uid="{00000000-0005-0000-0000-00004D5D0000}"/>
    <cellStyle name="Normal 2 2 2 5 4 3" xfId="23883" xr:uid="{00000000-0005-0000-0000-00004E5D0000}"/>
    <cellStyle name="Normal 2 2 2 5 4 4" xfId="23884" xr:uid="{00000000-0005-0000-0000-00004F5D0000}"/>
    <cellStyle name="Normal 2 2 2 5 4 5" xfId="23885" xr:uid="{00000000-0005-0000-0000-0000505D0000}"/>
    <cellStyle name="Normal 2 2 2 5 4 6" xfId="23886" xr:uid="{00000000-0005-0000-0000-0000515D0000}"/>
    <cellStyle name="Normal 2 2 2 5 5" xfId="23887" xr:uid="{00000000-0005-0000-0000-0000525D0000}"/>
    <cellStyle name="Normal 2 2 2 5 5 2" xfId="23888" xr:uid="{00000000-0005-0000-0000-0000535D0000}"/>
    <cellStyle name="Normal 2 2 2 5 5 2 2" xfId="23889" xr:uid="{00000000-0005-0000-0000-0000545D0000}"/>
    <cellStyle name="Normal 2 2 2 5 5 3" xfId="23890" xr:uid="{00000000-0005-0000-0000-0000555D0000}"/>
    <cellStyle name="Normal 2 2 2 5 5 4" xfId="23891" xr:uid="{00000000-0005-0000-0000-0000565D0000}"/>
    <cellStyle name="Normal 2 2 2 5 5 5" xfId="23892" xr:uid="{00000000-0005-0000-0000-0000575D0000}"/>
    <cellStyle name="Normal 2 2 2 5 6" xfId="23893" xr:uid="{00000000-0005-0000-0000-0000585D0000}"/>
    <cellStyle name="Normal 2 2 2 5 6 2" xfId="23894" xr:uid="{00000000-0005-0000-0000-0000595D0000}"/>
    <cellStyle name="Normal 2 2 2 5 6 3" xfId="23895" xr:uid="{00000000-0005-0000-0000-00005A5D0000}"/>
    <cellStyle name="Normal 2 2 2 5 6 4" xfId="23896" xr:uid="{00000000-0005-0000-0000-00005B5D0000}"/>
    <cellStyle name="Normal 2 2 2 5 7" xfId="23897" xr:uid="{00000000-0005-0000-0000-00005C5D0000}"/>
    <cellStyle name="Normal 2 2 2 5 7 2" xfId="23898" xr:uid="{00000000-0005-0000-0000-00005D5D0000}"/>
    <cellStyle name="Normal 2 2 2 5 8" xfId="23899" xr:uid="{00000000-0005-0000-0000-00005E5D0000}"/>
    <cellStyle name="Normal 2 2 2 5 9" xfId="23900" xr:uid="{00000000-0005-0000-0000-00005F5D0000}"/>
    <cellStyle name="Normal 2 2 2 6" xfId="23901" xr:uid="{00000000-0005-0000-0000-0000605D0000}"/>
    <cellStyle name="Normal 2 2 2 6 10" xfId="23902" xr:uid="{00000000-0005-0000-0000-0000615D0000}"/>
    <cellStyle name="Normal 2 2 2 6 11" xfId="23903" xr:uid="{00000000-0005-0000-0000-0000625D0000}"/>
    <cellStyle name="Normal 2 2 2 6 2" xfId="23904" xr:uid="{00000000-0005-0000-0000-0000635D0000}"/>
    <cellStyle name="Normal 2 2 2 6 2 2" xfId="23905" xr:uid="{00000000-0005-0000-0000-0000645D0000}"/>
    <cellStyle name="Normal 2 2 2 6 2 2 2" xfId="23906" xr:uid="{00000000-0005-0000-0000-0000655D0000}"/>
    <cellStyle name="Normal 2 2 2 6 2 2 2 2" xfId="23907" xr:uid="{00000000-0005-0000-0000-0000665D0000}"/>
    <cellStyle name="Normal 2 2 2 6 2 2 2 3" xfId="23908" xr:uid="{00000000-0005-0000-0000-0000675D0000}"/>
    <cellStyle name="Normal 2 2 2 6 2 2 3" xfId="23909" xr:uid="{00000000-0005-0000-0000-0000685D0000}"/>
    <cellStyle name="Normal 2 2 2 6 2 2 4" xfId="23910" xr:uid="{00000000-0005-0000-0000-0000695D0000}"/>
    <cellStyle name="Normal 2 2 2 6 2 2 5" xfId="23911" xr:uid="{00000000-0005-0000-0000-00006A5D0000}"/>
    <cellStyle name="Normal 2 2 2 6 2 2 6" xfId="23912" xr:uid="{00000000-0005-0000-0000-00006B5D0000}"/>
    <cellStyle name="Normal 2 2 2 6 2 3" xfId="23913" xr:uid="{00000000-0005-0000-0000-00006C5D0000}"/>
    <cellStyle name="Normal 2 2 2 6 2 3 2" xfId="23914" xr:uid="{00000000-0005-0000-0000-00006D5D0000}"/>
    <cellStyle name="Normal 2 2 2 6 2 3 2 2" xfId="23915" xr:uid="{00000000-0005-0000-0000-00006E5D0000}"/>
    <cellStyle name="Normal 2 2 2 6 2 3 3" xfId="23916" xr:uid="{00000000-0005-0000-0000-00006F5D0000}"/>
    <cellStyle name="Normal 2 2 2 6 2 3 4" xfId="23917" xr:uid="{00000000-0005-0000-0000-0000705D0000}"/>
    <cellStyle name="Normal 2 2 2 6 2 3 5" xfId="23918" xr:uid="{00000000-0005-0000-0000-0000715D0000}"/>
    <cellStyle name="Normal 2 2 2 6 2 4" xfId="23919" xr:uid="{00000000-0005-0000-0000-0000725D0000}"/>
    <cellStyle name="Normal 2 2 2 6 2 4 2" xfId="23920" xr:uid="{00000000-0005-0000-0000-0000735D0000}"/>
    <cellStyle name="Normal 2 2 2 6 2 4 3" xfId="23921" xr:uid="{00000000-0005-0000-0000-0000745D0000}"/>
    <cellStyle name="Normal 2 2 2 6 2 4 4" xfId="23922" xr:uid="{00000000-0005-0000-0000-0000755D0000}"/>
    <cellStyle name="Normal 2 2 2 6 2 5" xfId="23923" xr:uid="{00000000-0005-0000-0000-0000765D0000}"/>
    <cellStyle name="Normal 2 2 2 6 2 5 2" xfId="23924" xr:uid="{00000000-0005-0000-0000-0000775D0000}"/>
    <cellStyle name="Normal 2 2 2 6 2 6" xfId="23925" xr:uid="{00000000-0005-0000-0000-0000785D0000}"/>
    <cellStyle name="Normal 2 2 2 6 2 7" xfId="23926" xr:uid="{00000000-0005-0000-0000-0000795D0000}"/>
    <cellStyle name="Normal 2 2 2 6 2 8" xfId="23927" xr:uid="{00000000-0005-0000-0000-00007A5D0000}"/>
    <cellStyle name="Normal 2 2 2 6 2 9" xfId="23928" xr:uid="{00000000-0005-0000-0000-00007B5D0000}"/>
    <cellStyle name="Normal 2 2 2 6 3" xfId="23929" xr:uid="{00000000-0005-0000-0000-00007C5D0000}"/>
    <cellStyle name="Normal 2 2 2 6 3 2" xfId="23930" xr:uid="{00000000-0005-0000-0000-00007D5D0000}"/>
    <cellStyle name="Normal 2 2 2 6 3 2 2" xfId="23931" xr:uid="{00000000-0005-0000-0000-00007E5D0000}"/>
    <cellStyle name="Normal 2 2 2 6 3 2 2 2" xfId="23932" xr:uid="{00000000-0005-0000-0000-00007F5D0000}"/>
    <cellStyle name="Normal 2 2 2 6 3 2 2 3" xfId="23933" xr:uid="{00000000-0005-0000-0000-0000805D0000}"/>
    <cellStyle name="Normal 2 2 2 6 3 2 3" xfId="23934" xr:uid="{00000000-0005-0000-0000-0000815D0000}"/>
    <cellStyle name="Normal 2 2 2 6 3 2 4" xfId="23935" xr:uid="{00000000-0005-0000-0000-0000825D0000}"/>
    <cellStyle name="Normal 2 2 2 6 3 2 5" xfId="23936" xr:uid="{00000000-0005-0000-0000-0000835D0000}"/>
    <cellStyle name="Normal 2 2 2 6 3 2 6" xfId="23937" xr:uid="{00000000-0005-0000-0000-0000845D0000}"/>
    <cellStyle name="Normal 2 2 2 6 3 3" xfId="23938" xr:uid="{00000000-0005-0000-0000-0000855D0000}"/>
    <cellStyle name="Normal 2 2 2 6 3 3 2" xfId="23939" xr:uid="{00000000-0005-0000-0000-0000865D0000}"/>
    <cellStyle name="Normal 2 2 2 6 3 3 2 2" xfId="23940" xr:uid="{00000000-0005-0000-0000-0000875D0000}"/>
    <cellStyle name="Normal 2 2 2 6 3 3 3" xfId="23941" xr:uid="{00000000-0005-0000-0000-0000885D0000}"/>
    <cellStyle name="Normal 2 2 2 6 3 3 4" xfId="23942" xr:uid="{00000000-0005-0000-0000-0000895D0000}"/>
    <cellStyle name="Normal 2 2 2 6 3 3 5" xfId="23943" xr:uid="{00000000-0005-0000-0000-00008A5D0000}"/>
    <cellStyle name="Normal 2 2 2 6 3 4" xfId="23944" xr:uid="{00000000-0005-0000-0000-00008B5D0000}"/>
    <cellStyle name="Normal 2 2 2 6 3 4 2" xfId="23945" xr:uid="{00000000-0005-0000-0000-00008C5D0000}"/>
    <cellStyle name="Normal 2 2 2 6 3 4 3" xfId="23946" xr:uid="{00000000-0005-0000-0000-00008D5D0000}"/>
    <cellStyle name="Normal 2 2 2 6 3 4 4" xfId="23947" xr:uid="{00000000-0005-0000-0000-00008E5D0000}"/>
    <cellStyle name="Normal 2 2 2 6 3 5" xfId="23948" xr:uid="{00000000-0005-0000-0000-00008F5D0000}"/>
    <cellStyle name="Normal 2 2 2 6 3 5 2" xfId="23949" xr:uid="{00000000-0005-0000-0000-0000905D0000}"/>
    <cellStyle name="Normal 2 2 2 6 3 6" xfId="23950" xr:uid="{00000000-0005-0000-0000-0000915D0000}"/>
    <cellStyle name="Normal 2 2 2 6 3 7" xfId="23951" xr:uid="{00000000-0005-0000-0000-0000925D0000}"/>
    <cellStyle name="Normal 2 2 2 6 3 8" xfId="23952" xr:uid="{00000000-0005-0000-0000-0000935D0000}"/>
    <cellStyle name="Normal 2 2 2 6 3 9" xfId="23953" xr:uid="{00000000-0005-0000-0000-0000945D0000}"/>
    <cellStyle name="Normal 2 2 2 6 4" xfId="23954" xr:uid="{00000000-0005-0000-0000-0000955D0000}"/>
    <cellStyle name="Normal 2 2 2 6 4 2" xfId="23955" xr:uid="{00000000-0005-0000-0000-0000965D0000}"/>
    <cellStyle name="Normal 2 2 2 6 4 2 2" xfId="23956" xr:uid="{00000000-0005-0000-0000-0000975D0000}"/>
    <cellStyle name="Normal 2 2 2 6 4 2 3" xfId="23957" xr:uid="{00000000-0005-0000-0000-0000985D0000}"/>
    <cellStyle name="Normal 2 2 2 6 4 3" xfId="23958" xr:uid="{00000000-0005-0000-0000-0000995D0000}"/>
    <cellStyle name="Normal 2 2 2 6 4 4" xfId="23959" xr:uid="{00000000-0005-0000-0000-00009A5D0000}"/>
    <cellStyle name="Normal 2 2 2 6 4 5" xfId="23960" xr:uid="{00000000-0005-0000-0000-00009B5D0000}"/>
    <cellStyle name="Normal 2 2 2 6 4 6" xfId="23961" xr:uid="{00000000-0005-0000-0000-00009C5D0000}"/>
    <cellStyle name="Normal 2 2 2 6 5" xfId="23962" xr:uid="{00000000-0005-0000-0000-00009D5D0000}"/>
    <cellStyle name="Normal 2 2 2 6 5 2" xfId="23963" xr:uid="{00000000-0005-0000-0000-00009E5D0000}"/>
    <cellStyle name="Normal 2 2 2 6 5 2 2" xfId="23964" xr:uid="{00000000-0005-0000-0000-00009F5D0000}"/>
    <cellStyle name="Normal 2 2 2 6 5 3" xfId="23965" xr:uid="{00000000-0005-0000-0000-0000A05D0000}"/>
    <cellStyle name="Normal 2 2 2 6 5 4" xfId="23966" xr:uid="{00000000-0005-0000-0000-0000A15D0000}"/>
    <cellStyle name="Normal 2 2 2 6 5 5" xfId="23967" xr:uid="{00000000-0005-0000-0000-0000A25D0000}"/>
    <cellStyle name="Normal 2 2 2 6 6" xfId="23968" xr:uid="{00000000-0005-0000-0000-0000A35D0000}"/>
    <cellStyle name="Normal 2 2 2 6 6 2" xfId="23969" xr:uid="{00000000-0005-0000-0000-0000A45D0000}"/>
    <cellStyle name="Normal 2 2 2 6 6 3" xfId="23970" xr:uid="{00000000-0005-0000-0000-0000A55D0000}"/>
    <cellStyle name="Normal 2 2 2 6 6 4" xfId="23971" xr:uid="{00000000-0005-0000-0000-0000A65D0000}"/>
    <cellStyle name="Normal 2 2 2 6 7" xfId="23972" xr:uid="{00000000-0005-0000-0000-0000A75D0000}"/>
    <cellStyle name="Normal 2 2 2 6 7 2" xfId="23973" xr:uid="{00000000-0005-0000-0000-0000A85D0000}"/>
    <cellStyle name="Normal 2 2 2 6 8" xfId="23974" xr:uid="{00000000-0005-0000-0000-0000A95D0000}"/>
    <cellStyle name="Normal 2 2 2 6 9" xfId="23975" xr:uid="{00000000-0005-0000-0000-0000AA5D0000}"/>
    <cellStyle name="Normal 2 2 2 7" xfId="23976" xr:uid="{00000000-0005-0000-0000-0000AB5D0000}"/>
    <cellStyle name="Normal 2 2 2 7 10" xfId="23977" xr:uid="{00000000-0005-0000-0000-0000AC5D0000}"/>
    <cellStyle name="Normal 2 2 2 7 11" xfId="23978" xr:uid="{00000000-0005-0000-0000-0000AD5D0000}"/>
    <cellStyle name="Normal 2 2 2 7 2" xfId="23979" xr:uid="{00000000-0005-0000-0000-0000AE5D0000}"/>
    <cellStyle name="Normal 2 2 2 7 2 2" xfId="23980" xr:uid="{00000000-0005-0000-0000-0000AF5D0000}"/>
    <cellStyle name="Normal 2 2 2 7 2 2 2" xfId="23981" xr:uid="{00000000-0005-0000-0000-0000B05D0000}"/>
    <cellStyle name="Normal 2 2 2 7 2 2 2 2" xfId="23982" xr:uid="{00000000-0005-0000-0000-0000B15D0000}"/>
    <cellStyle name="Normal 2 2 2 7 2 2 2 3" xfId="23983" xr:uid="{00000000-0005-0000-0000-0000B25D0000}"/>
    <cellStyle name="Normal 2 2 2 7 2 2 3" xfId="23984" xr:uid="{00000000-0005-0000-0000-0000B35D0000}"/>
    <cellStyle name="Normal 2 2 2 7 2 2 4" xfId="23985" xr:uid="{00000000-0005-0000-0000-0000B45D0000}"/>
    <cellStyle name="Normal 2 2 2 7 2 2 5" xfId="23986" xr:uid="{00000000-0005-0000-0000-0000B55D0000}"/>
    <cellStyle name="Normal 2 2 2 7 2 2 6" xfId="23987" xr:uid="{00000000-0005-0000-0000-0000B65D0000}"/>
    <cellStyle name="Normal 2 2 2 7 2 3" xfId="23988" xr:uid="{00000000-0005-0000-0000-0000B75D0000}"/>
    <cellStyle name="Normal 2 2 2 7 2 3 2" xfId="23989" xr:uid="{00000000-0005-0000-0000-0000B85D0000}"/>
    <cellStyle name="Normal 2 2 2 7 2 3 2 2" xfId="23990" xr:uid="{00000000-0005-0000-0000-0000B95D0000}"/>
    <cellStyle name="Normal 2 2 2 7 2 3 3" xfId="23991" xr:uid="{00000000-0005-0000-0000-0000BA5D0000}"/>
    <cellStyle name="Normal 2 2 2 7 2 3 4" xfId="23992" xr:uid="{00000000-0005-0000-0000-0000BB5D0000}"/>
    <cellStyle name="Normal 2 2 2 7 2 3 5" xfId="23993" xr:uid="{00000000-0005-0000-0000-0000BC5D0000}"/>
    <cellStyle name="Normal 2 2 2 7 2 4" xfId="23994" xr:uid="{00000000-0005-0000-0000-0000BD5D0000}"/>
    <cellStyle name="Normal 2 2 2 7 2 4 2" xfId="23995" xr:uid="{00000000-0005-0000-0000-0000BE5D0000}"/>
    <cellStyle name="Normal 2 2 2 7 2 4 3" xfId="23996" xr:uid="{00000000-0005-0000-0000-0000BF5D0000}"/>
    <cellStyle name="Normal 2 2 2 7 2 4 4" xfId="23997" xr:uid="{00000000-0005-0000-0000-0000C05D0000}"/>
    <cellStyle name="Normal 2 2 2 7 2 5" xfId="23998" xr:uid="{00000000-0005-0000-0000-0000C15D0000}"/>
    <cellStyle name="Normal 2 2 2 7 2 5 2" xfId="23999" xr:uid="{00000000-0005-0000-0000-0000C25D0000}"/>
    <cellStyle name="Normal 2 2 2 7 2 6" xfId="24000" xr:uid="{00000000-0005-0000-0000-0000C35D0000}"/>
    <cellStyle name="Normal 2 2 2 7 2 7" xfId="24001" xr:uid="{00000000-0005-0000-0000-0000C45D0000}"/>
    <cellStyle name="Normal 2 2 2 7 2 8" xfId="24002" xr:uid="{00000000-0005-0000-0000-0000C55D0000}"/>
    <cellStyle name="Normal 2 2 2 7 2 9" xfId="24003" xr:uid="{00000000-0005-0000-0000-0000C65D0000}"/>
    <cellStyle name="Normal 2 2 2 7 3" xfId="24004" xr:uid="{00000000-0005-0000-0000-0000C75D0000}"/>
    <cellStyle name="Normal 2 2 2 7 3 2" xfId="24005" xr:uid="{00000000-0005-0000-0000-0000C85D0000}"/>
    <cellStyle name="Normal 2 2 2 7 3 2 2" xfId="24006" xr:uid="{00000000-0005-0000-0000-0000C95D0000}"/>
    <cellStyle name="Normal 2 2 2 7 3 2 2 2" xfId="24007" xr:uid="{00000000-0005-0000-0000-0000CA5D0000}"/>
    <cellStyle name="Normal 2 2 2 7 3 2 2 3" xfId="24008" xr:uid="{00000000-0005-0000-0000-0000CB5D0000}"/>
    <cellStyle name="Normal 2 2 2 7 3 2 3" xfId="24009" xr:uid="{00000000-0005-0000-0000-0000CC5D0000}"/>
    <cellStyle name="Normal 2 2 2 7 3 2 4" xfId="24010" xr:uid="{00000000-0005-0000-0000-0000CD5D0000}"/>
    <cellStyle name="Normal 2 2 2 7 3 2 5" xfId="24011" xr:uid="{00000000-0005-0000-0000-0000CE5D0000}"/>
    <cellStyle name="Normal 2 2 2 7 3 2 6" xfId="24012" xr:uid="{00000000-0005-0000-0000-0000CF5D0000}"/>
    <cellStyle name="Normal 2 2 2 7 3 3" xfId="24013" xr:uid="{00000000-0005-0000-0000-0000D05D0000}"/>
    <cellStyle name="Normal 2 2 2 7 3 3 2" xfId="24014" xr:uid="{00000000-0005-0000-0000-0000D15D0000}"/>
    <cellStyle name="Normal 2 2 2 7 3 3 2 2" xfId="24015" xr:uid="{00000000-0005-0000-0000-0000D25D0000}"/>
    <cellStyle name="Normal 2 2 2 7 3 3 3" xfId="24016" xr:uid="{00000000-0005-0000-0000-0000D35D0000}"/>
    <cellStyle name="Normal 2 2 2 7 3 3 4" xfId="24017" xr:uid="{00000000-0005-0000-0000-0000D45D0000}"/>
    <cellStyle name="Normal 2 2 2 7 3 3 5" xfId="24018" xr:uid="{00000000-0005-0000-0000-0000D55D0000}"/>
    <cellStyle name="Normal 2 2 2 7 3 4" xfId="24019" xr:uid="{00000000-0005-0000-0000-0000D65D0000}"/>
    <cellStyle name="Normal 2 2 2 7 3 4 2" xfId="24020" xr:uid="{00000000-0005-0000-0000-0000D75D0000}"/>
    <cellStyle name="Normal 2 2 2 7 3 4 3" xfId="24021" xr:uid="{00000000-0005-0000-0000-0000D85D0000}"/>
    <cellStyle name="Normal 2 2 2 7 3 4 4" xfId="24022" xr:uid="{00000000-0005-0000-0000-0000D95D0000}"/>
    <cellStyle name="Normal 2 2 2 7 3 5" xfId="24023" xr:uid="{00000000-0005-0000-0000-0000DA5D0000}"/>
    <cellStyle name="Normal 2 2 2 7 3 5 2" xfId="24024" xr:uid="{00000000-0005-0000-0000-0000DB5D0000}"/>
    <cellStyle name="Normal 2 2 2 7 3 6" xfId="24025" xr:uid="{00000000-0005-0000-0000-0000DC5D0000}"/>
    <cellStyle name="Normal 2 2 2 7 3 7" xfId="24026" xr:uid="{00000000-0005-0000-0000-0000DD5D0000}"/>
    <cellStyle name="Normal 2 2 2 7 3 8" xfId="24027" xr:uid="{00000000-0005-0000-0000-0000DE5D0000}"/>
    <cellStyle name="Normal 2 2 2 7 3 9" xfId="24028" xr:uid="{00000000-0005-0000-0000-0000DF5D0000}"/>
    <cellStyle name="Normal 2 2 2 7 4" xfId="24029" xr:uid="{00000000-0005-0000-0000-0000E05D0000}"/>
    <cellStyle name="Normal 2 2 2 7 4 2" xfId="24030" xr:uid="{00000000-0005-0000-0000-0000E15D0000}"/>
    <cellStyle name="Normal 2 2 2 7 4 2 2" xfId="24031" xr:uid="{00000000-0005-0000-0000-0000E25D0000}"/>
    <cellStyle name="Normal 2 2 2 7 4 2 3" xfId="24032" xr:uid="{00000000-0005-0000-0000-0000E35D0000}"/>
    <cellStyle name="Normal 2 2 2 7 4 3" xfId="24033" xr:uid="{00000000-0005-0000-0000-0000E45D0000}"/>
    <cellStyle name="Normal 2 2 2 7 4 4" xfId="24034" xr:uid="{00000000-0005-0000-0000-0000E55D0000}"/>
    <cellStyle name="Normal 2 2 2 7 4 5" xfId="24035" xr:uid="{00000000-0005-0000-0000-0000E65D0000}"/>
    <cellStyle name="Normal 2 2 2 7 4 6" xfId="24036" xr:uid="{00000000-0005-0000-0000-0000E75D0000}"/>
    <cellStyle name="Normal 2 2 2 7 5" xfId="24037" xr:uid="{00000000-0005-0000-0000-0000E85D0000}"/>
    <cellStyle name="Normal 2 2 2 7 5 2" xfId="24038" xr:uid="{00000000-0005-0000-0000-0000E95D0000}"/>
    <cellStyle name="Normal 2 2 2 7 5 2 2" xfId="24039" xr:uid="{00000000-0005-0000-0000-0000EA5D0000}"/>
    <cellStyle name="Normal 2 2 2 7 5 3" xfId="24040" xr:uid="{00000000-0005-0000-0000-0000EB5D0000}"/>
    <cellStyle name="Normal 2 2 2 7 5 4" xfId="24041" xr:uid="{00000000-0005-0000-0000-0000EC5D0000}"/>
    <cellStyle name="Normal 2 2 2 7 5 5" xfId="24042" xr:uid="{00000000-0005-0000-0000-0000ED5D0000}"/>
    <cellStyle name="Normal 2 2 2 7 6" xfId="24043" xr:uid="{00000000-0005-0000-0000-0000EE5D0000}"/>
    <cellStyle name="Normal 2 2 2 7 6 2" xfId="24044" xr:uid="{00000000-0005-0000-0000-0000EF5D0000}"/>
    <cellStyle name="Normal 2 2 2 7 6 3" xfId="24045" xr:uid="{00000000-0005-0000-0000-0000F05D0000}"/>
    <cellStyle name="Normal 2 2 2 7 6 4" xfId="24046" xr:uid="{00000000-0005-0000-0000-0000F15D0000}"/>
    <cellStyle name="Normal 2 2 2 7 7" xfId="24047" xr:uid="{00000000-0005-0000-0000-0000F25D0000}"/>
    <cellStyle name="Normal 2 2 2 7 7 2" xfId="24048" xr:uid="{00000000-0005-0000-0000-0000F35D0000}"/>
    <cellStyle name="Normal 2 2 2 7 8" xfId="24049" xr:uid="{00000000-0005-0000-0000-0000F45D0000}"/>
    <cellStyle name="Normal 2 2 2 7 9" xfId="24050" xr:uid="{00000000-0005-0000-0000-0000F55D0000}"/>
    <cellStyle name="Normal 2 2 2 8" xfId="24051" xr:uid="{00000000-0005-0000-0000-0000F65D0000}"/>
    <cellStyle name="Normal 2 2 2 8 10" xfId="24052" xr:uid="{00000000-0005-0000-0000-0000F75D0000}"/>
    <cellStyle name="Normal 2 2 2 8 2" xfId="24053" xr:uid="{00000000-0005-0000-0000-0000F85D0000}"/>
    <cellStyle name="Normal 2 2 2 8 2 2" xfId="24054" xr:uid="{00000000-0005-0000-0000-0000F95D0000}"/>
    <cellStyle name="Normal 2 2 2 8 2 2 2" xfId="24055" xr:uid="{00000000-0005-0000-0000-0000FA5D0000}"/>
    <cellStyle name="Normal 2 2 2 8 2 2 3" xfId="24056" xr:uid="{00000000-0005-0000-0000-0000FB5D0000}"/>
    <cellStyle name="Normal 2 2 2 8 2 3" xfId="24057" xr:uid="{00000000-0005-0000-0000-0000FC5D0000}"/>
    <cellStyle name="Normal 2 2 2 8 2 4" xfId="24058" xr:uid="{00000000-0005-0000-0000-0000FD5D0000}"/>
    <cellStyle name="Normal 2 2 2 8 2 5" xfId="24059" xr:uid="{00000000-0005-0000-0000-0000FE5D0000}"/>
    <cellStyle name="Normal 2 2 2 8 2 6" xfId="24060" xr:uid="{00000000-0005-0000-0000-0000FF5D0000}"/>
    <cellStyle name="Normal 2 2 2 8 3" xfId="24061" xr:uid="{00000000-0005-0000-0000-0000005E0000}"/>
    <cellStyle name="Normal 2 2 2 8 3 2" xfId="24062" xr:uid="{00000000-0005-0000-0000-0000015E0000}"/>
    <cellStyle name="Normal 2 2 2 8 3 2 2" xfId="24063" xr:uid="{00000000-0005-0000-0000-0000025E0000}"/>
    <cellStyle name="Normal 2 2 2 8 3 2 3" xfId="24064" xr:uid="{00000000-0005-0000-0000-0000035E0000}"/>
    <cellStyle name="Normal 2 2 2 8 3 3" xfId="24065" xr:uid="{00000000-0005-0000-0000-0000045E0000}"/>
    <cellStyle name="Normal 2 2 2 8 3 4" xfId="24066" xr:uid="{00000000-0005-0000-0000-0000055E0000}"/>
    <cellStyle name="Normal 2 2 2 8 3 5" xfId="24067" xr:uid="{00000000-0005-0000-0000-0000065E0000}"/>
    <cellStyle name="Normal 2 2 2 8 3 6" xfId="24068" xr:uid="{00000000-0005-0000-0000-0000075E0000}"/>
    <cellStyle name="Normal 2 2 2 8 4" xfId="24069" xr:uid="{00000000-0005-0000-0000-0000085E0000}"/>
    <cellStyle name="Normal 2 2 2 8 4 2" xfId="24070" xr:uid="{00000000-0005-0000-0000-0000095E0000}"/>
    <cellStyle name="Normal 2 2 2 8 4 2 2" xfId="24071" xr:uid="{00000000-0005-0000-0000-00000A5E0000}"/>
    <cellStyle name="Normal 2 2 2 8 4 3" xfId="24072" xr:uid="{00000000-0005-0000-0000-00000B5E0000}"/>
    <cellStyle name="Normal 2 2 2 8 4 4" xfId="24073" xr:uid="{00000000-0005-0000-0000-00000C5E0000}"/>
    <cellStyle name="Normal 2 2 2 8 4 5" xfId="24074" xr:uid="{00000000-0005-0000-0000-00000D5E0000}"/>
    <cellStyle name="Normal 2 2 2 8 5" xfId="24075" xr:uid="{00000000-0005-0000-0000-00000E5E0000}"/>
    <cellStyle name="Normal 2 2 2 8 5 2" xfId="24076" xr:uid="{00000000-0005-0000-0000-00000F5E0000}"/>
    <cellStyle name="Normal 2 2 2 8 5 3" xfId="24077" xr:uid="{00000000-0005-0000-0000-0000105E0000}"/>
    <cellStyle name="Normal 2 2 2 8 5 4" xfId="24078" xr:uid="{00000000-0005-0000-0000-0000115E0000}"/>
    <cellStyle name="Normal 2 2 2 8 6" xfId="24079" xr:uid="{00000000-0005-0000-0000-0000125E0000}"/>
    <cellStyle name="Normal 2 2 2 8 6 2" xfId="24080" xr:uid="{00000000-0005-0000-0000-0000135E0000}"/>
    <cellStyle name="Normal 2 2 2 8 7" xfId="24081" xr:uid="{00000000-0005-0000-0000-0000145E0000}"/>
    <cellStyle name="Normal 2 2 2 8 8" xfId="24082" xr:uid="{00000000-0005-0000-0000-0000155E0000}"/>
    <cellStyle name="Normal 2 2 2 8 9" xfId="24083" xr:uid="{00000000-0005-0000-0000-0000165E0000}"/>
    <cellStyle name="Normal 2 2 2 9" xfId="24084" xr:uid="{00000000-0005-0000-0000-0000175E0000}"/>
    <cellStyle name="Normal 2 2 2 9 10" xfId="24085" xr:uid="{00000000-0005-0000-0000-0000185E0000}"/>
    <cellStyle name="Normal 2 2 2 9 2" xfId="24086" xr:uid="{00000000-0005-0000-0000-0000195E0000}"/>
    <cellStyle name="Normal 2 2 2 9 2 2" xfId="24087" xr:uid="{00000000-0005-0000-0000-00001A5E0000}"/>
    <cellStyle name="Normal 2 2 2 9 2 2 2" xfId="24088" xr:uid="{00000000-0005-0000-0000-00001B5E0000}"/>
    <cellStyle name="Normal 2 2 2 9 2 2 3" xfId="24089" xr:uid="{00000000-0005-0000-0000-00001C5E0000}"/>
    <cellStyle name="Normal 2 2 2 9 2 3" xfId="24090" xr:uid="{00000000-0005-0000-0000-00001D5E0000}"/>
    <cellStyle name="Normal 2 2 2 9 2 4" xfId="24091" xr:uid="{00000000-0005-0000-0000-00001E5E0000}"/>
    <cellStyle name="Normal 2 2 2 9 2 5" xfId="24092" xr:uid="{00000000-0005-0000-0000-00001F5E0000}"/>
    <cellStyle name="Normal 2 2 2 9 2 6" xfId="24093" xr:uid="{00000000-0005-0000-0000-0000205E0000}"/>
    <cellStyle name="Normal 2 2 2 9 3" xfId="24094" xr:uid="{00000000-0005-0000-0000-0000215E0000}"/>
    <cellStyle name="Normal 2 2 2 9 3 2" xfId="24095" xr:uid="{00000000-0005-0000-0000-0000225E0000}"/>
    <cellStyle name="Normal 2 2 2 9 3 2 2" xfId="24096" xr:uid="{00000000-0005-0000-0000-0000235E0000}"/>
    <cellStyle name="Normal 2 2 2 9 3 2 3" xfId="24097" xr:uid="{00000000-0005-0000-0000-0000245E0000}"/>
    <cellStyle name="Normal 2 2 2 9 3 3" xfId="24098" xr:uid="{00000000-0005-0000-0000-0000255E0000}"/>
    <cellStyle name="Normal 2 2 2 9 3 4" xfId="24099" xr:uid="{00000000-0005-0000-0000-0000265E0000}"/>
    <cellStyle name="Normal 2 2 2 9 3 5" xfId="24100" xr:uid="{00000000-0005-0000-0000-0000275E0000}"/>
    <cellStyle name="Normal 2 2 2 9 3 6" xfId="24101" xr:uid="{00000000-0005-0000-0000-0000285E0000}"/>
    <cellStyle name="Normal 2 2 2 9 4" xfId="24102" xr:uid="{00000000-0005-0000-0000-0000295E0000}"/>
    <cellStyle name="Normal 2 2 2 9 4 2" xfId="24103" xr:uid="{00000000-0005-0000-0000-00002A5E0000}"/>
    <cellStyle name="Normal 2 2 2 9 4 2 2" xfId="24104" xr:uid="{00000000-0005-0000-0000-00002B5E0000}"/>
    <cellStyle name="Normal 2 2 2 9 4 3" xfId="24105" xr:uid="{00000000-0005-0000-0000-00002C5E0000}"/>
    <cellStyle name="Normal 2 2 2 9 4 4" xfId="24106" xr:uid="{00000000-0005-0000-0000-00002D5E0000}"/>
    <cellStyle name="Normal 2 2 2 9 4 5" xfId="24107" xr:uid="{00000000-0005-0000-0000-00002E5E0000}"/>
    <cellStyle name="Normal 2 2 2 9 5" xfId="24108" xr:uid="{00000000-0005-0000-0000-00002F5E0000}"/>
    <cellStyle name="Normal 2 2 2 9 5 2" xfId="24109" xr:uid="{00000000-0005-0000-0000-0000305E0000}"/>
    <cellStyle name="Normal 2 2 2 9 5 3" xfId="24110" xr:uid="{00000000-0005-0000-0000-0000315E0000}"/>
    <cellStyle name="Normal 2 2 2 9 5 4" xfId="24111" xr:uid="{00000000-0005-0000-0000-0000325E0000}"/>
    <cellStyle name="Normal 2 2 2 9 6" xfId="24112" xr:uid="{00000000-0005-0000-0000-0000335E0000}"/>
    <cellStyle name="Normal 2 2 2 9 6 2" xfId="24113" xr:uid="{00000000-0005-0000-0000-0000345E0000}"/>
    <cellStyle name="Normal 2 2 2 9 7" xfId="24114" xr:uid="{00000000-0005-0000-0000-0000355E0000}"/>
    <cellStyle name="Normal 2 2 2 9 8" xfId="24115" xr:uid="{00000000-0005-0000-0000-0000365E0000}"/>
    <cellStyle name="Normal 2 2 2 9 9" xfId="24116" xr:uid="{00000000-0005-0000-0000-0000375E0000}"/>
    <cellStyle name="Normal 2 2 20" xfId="24117" xr:uid="{00000000-0005-0000-0000-0000385E0000}"/>
    <cellStyle name="Normal 2 2 21" xfId="24118" xr:uid="{00000000-0005-0000-0000-0000395E0000}"/>
    <cellStyle name="Normal 2 2 22" xfId="24119" xr:uid="{00000000-0005-0000-0000-00003A5E0000}"/>
    <cellStyle name="Normal 2 2 23" xfId="24120" xr:uid="{00000000-0005-0000-0000-00003B5E0000}"/>
    <cellStyle name="Normal 2 2 24" xfId="24121" xr:uid="{00000000-0005-0000-0000-00003C5E0000}"/>
    <cellStyle name="Normal 2 2 25" xfId="24122" xr:uid="{00000000-0005-0000-0000-00003D5E0000}"/>
    <cellStyle name="Normal 2 2 25 2" xfId="24123" xr:uid="{00000000-0005-0000-0000-00003E5E0000}"/>
    <cellStyle name="Normal 2 2 25 2 2" xfId="24124" xr:uid="{00000000-0005-0000-0000-00003F5E0000}"/>
    <cellStyle name="Normal 2 2 25 2 2 2" xfId="24125" xr:uid="{00000000-0005-0000-0000-0000405E0000}"/>
    <cellStyle name="Normal 2 2 25 2 2 3" xfId="24126" xr:uid="{00000000-0005-0000-0000-0000415E0000}"/>
    <cellStyle name="Normal 2 2 25 2 3" xfId="24127" xr:uid="{00000000-0005-0000-0000-0000425E0000}"/>
    <cellStyle name="Normal 2 2 25 2 4" xfId="24128" xr:uid="{00000000-0005-0000-0000-0000435E0000}"/>
    <cellStyle name="Normal 2 2 25 2 5" xfId="24129" xr:uid="{00000000-0005-0000-0000-0000445E0000}"/>
    <cellStyle name="Normal 2 2 25 2 6" xfId="24130" xr:uid="{00000000-0005-0000-0000-0000455E0000}"/>
    <cellStyle name="Normal 2 2 25 3" xfId="24131" xr:uid="{00000000-0005-0000-0000-0000465E0000}"/>
    <cellStyle name="Normal 2 2 25 3 2" xfId="24132" xr:uid="{00000000-0005-0000-0000-0000475E0000}"/>
    <cellStyle name="Normal 2 2 25 3 2 2" xfId="24133" xr:uid="{00000000-0005-0000-0000-0000485E0000}"/>
    <cellStyle name="Normal 2 2 25 3 3" xfId="24134" xr:uid="{00000000-0005-0000-0000-0000495E0000}"/>
    <cellStyle name="Normal 2 2 25 3 4" xfId="24135" xr:uid="{00000000-0005-0000-0000-00004A5E0000}"/>
    <cellStyle name="Normal 2 2 25 3 5" xfId="24136" xr:uid="{00000000-0005-0000-0000-00004B5E0000}"/>
    <cellStyle name="Normal 2 2 25 4" xfId="24137" xr:uid="{00000000-0005-0000-0000-00004C5E0000}"/>
    <cellStyle name="Normal 2 2 25 4 2" xfId="24138" xr:uid="{00000000-0005-0000-0000-00004D5E0000}"/>
    <cellStyle name="Normal 2 2 25 4 3" xfId="24139" xr:uid="{00000000-0005-0000-0000-00004E5E0000}"/>
    <cellStyle name="Normal 2 2 25 4 4" xfId="24140" xr:uid="{00000000-0005-0000-0000-00004F5E0000}"/>
    <cellStyle name="Normal 2 2 25 5" xfId="24141" xr:uid="{00000000-0005-0000-0000-0000505E0000}"/>
    <cellStyle name="Normal 2 2 25 5 2" xfId="24142" xr:uid="{00000000-0005-0000-0000-0000515E0000}"/>
    <cellStyle name="Normal 2 2 25 6" xfId="24143" xr:uid="{00000000-0005-0000-0000-0000525E0000}"/>
    <cellStyle name="Normal 2 2 25 7" xfId="24144" xr:uid="{00000000-0005-0000-0000-0000535E0000}"/>
    <cellStyle name="Normal 2 2 25 8" xfId="24145" xr:uid="{00000000-0005-0000-0000-0000545E0000}"/>
    <cellStyle name="Normal 2 2 25 9" xfId="24146" xr:uid="{00000000-0005-0000-0000-0000555E0000}"/>
    <cellStyle name="Normal 2 2 26" xfId="24147" xr:uid="{00000000-0005-0000-0000-0000565E0000}"/>
    <cellStyle name="Normal 2 2 26 2" xfId="24148" xr:uid="{00000000-0005-0000-0000-0000575E0000}"/>
    <cellStyle name="Normal 2 2 26 2 2" xfId="24149" xr:uid="{00000000-0005-0000-0000-0000585E0000}"/>
    <cellStyle name="Normal 2 2 26 3" xfId="24150" xr:uid="{00000000-0005-0000-0000-0000595E0000}"/>
    <cellStyle name="Normal 2 2 26 4" xfId="24151" xr:uid="{00000000-0005-0000-0000-00005A5E0000}"/>
    <cellStyle name="Normal 2 2 26 5" xfId="24152" xr:uid="{00000000-0005-0000-0000-00005B5E0000}"/>
    <cellStyle name="Normal 2 2 26 6" xfId="24153" xr:uid="{00000000-0005-0000-0000-00005C5E0000}"/>
    <cellStyle name="Normal 2 2 27" xfId="24154" xr:uid="{00000000-0005-0000-0000-00005D5E0000}"/>
    <cellStyle name="Normal 2 2 27 2" xfId="24155" xr:uid="{00000000-0005-0000-0000-00005E5E0000}"/>
    <cellStyle name="Normal 2 2 28" xfId="24156" xr:uid="{00000000-0005-0000-0000-00005F5E0000}"/>
    <cellStyle name="Normal 2 2 28 2" xfId="24157" xr:uid="{00000000-0005-0000-0000-0000605E0000}"/>
    <cellStyle name="Normal 2 2 28 3" xfId="24158" xr:uid="{00000000-0005-0000-0000-0000615E0000}"/>
    <cellStyle name="Normal 2 2 29" xfId="24159" xr:uid="{00000000-0005-0000-0000-0000625E0000}"/>
    <cellStyle name="Normal 2 2 29 2" xfId="24160" xr:uid="{00000000-0005-0000-0000-0000635E0000}"/>
    <cellStyle name="Normal 2 2 29 3" xfId="24161" xr:uid="{00000000-0005-0000-0000-0000645E0000}"/>
    <cellStyle name="Normal 2 2 3" xfId="24162" xr:uid="{00000000-0005-0000-0000-0000655E0000}"/>
    <cellStyle name="Normal 2 2 3 2" xfId="24163" xr:uid="{00000000-0005-0000-0000-0000665E0000}"/>
    <cellStyle name="Normal 2 2 3 3" xfId="24164" xr:uid="{00000000-0005-0000-0000-0000675E0000}"/>
    <cellStyle name="Normal 2 2 3 4" xfId="24165" xr:uid="{00000000-0005-0000-0000-0000685E0000}"/>
    <cellStyle name="Normal 2 2 30" xfId="24166" xr:uid="{00000000-0005-0000-0000-0000695E0000}"/>
    <cellStyle name="Normal 2 2 31" xfId="24167" xr:uid="{00000000-0005-0000-0000-00006A5E0000}"/>
    <cellStyle name="Normal 2 2 32" xfId="24168" xr:uid="{00000000-0005-0000-0000-00006B5E0000}"/>
    <cellStyle name="Normal 2 2 33" xfId="24169" xr:uid="{00000000-0005-0000-0000-00006C5E0000}"/>
    <cellStyle name="Normal 2 2 34" xfId="24170" xr:uid="{00000000-0005-0000-0000-00006D5E0000}"/>
    <cellStyle name="Normal 2 2 35" xfId="24171" xr:uid="{00000000-0005-0000-0000-00006E5E0000}"/>
    <cellStyle name="Normal 2 2 36" xfId="24172" xr:uid="{00000000-0005-0000-0000-00006F5E0000}"/>
    <cellStyle name="Normal 2 2 37" xfId="24173" xr:uid="{00000000-0005-0000-0000-0000705E0000}"/>
    <cellStyle name="Normal 2 2 38" xfId="24174" xr:uid="{00000000-0005-0000-0000-0000715E0000}"/>
    <cellStyle name="Normal 2 2 39" xfId="24175" xr:uid="{00000000-0005-0000-0000-0000725E0000}"/>
    <cellStyle name="Normal 2 2 4" xfId="24176" xr:uid="{00000000-0005-0000-0000-0000735E0000}"/>
    <cellStyle name="Normal 2 2 4 2" xfId="24177" xr:uid="{00000000-0005-0000-0000-0000745E0000}"/>
    <cellStyle name="Normal 2 2 4 3" xfId="24178" xr:uid="{00000000-0005-0000-0000-0000755E0000}"/>
    <cellStyle name="Normal 2 2 4 3 2" xfId="24179" xr:uid="{00000000-0005-0000-0000-0000765E0000}"/>
    <cellStyle name="Normal 2 2 4 4" xfId="24180" xr:uid="{00000000-0005-0000-0000-0000775E0000}"/>
    <cellStyle name="Normal 2 2 40" xfId="24181" xr:uid="{00000000-0005-0000-0000-0000785E0000}"/>
    <cellStyle name="Normal 2 2 41" xfId="24182" xr:uid="{00000000-0005-0000-0000-0000795E0000}"/>
    <cellStyle name="Normal 2 2 42" xfId="24183" xr:uid="{00000000-0005-0000-0000-00007A5E0000}"/>
    <cellStyle name="Normal 2 2 43" xfId="24184" xr:uid="{00000000-0005-0000-0000-00007B5E0000}"/>
    <cellStyle name="Normal 2 2 44" xfId="24185" xr:uid="{00000000-0005-0000-0000-00007C5E0000}"/>
    <cellStyle name="Normal 2 2 45" xfId="24186" xr:uid="{00000000-0005-0000-0000-00007D5E0000}"/>
    <cellStyle name="Normal 2 2 46" xfId="24187" xr:uid="{00000000-0005-0000-0000-00007E5E0000}"/>
    <cellStyle name="Normal 2 2 47" xfId="24188" xr:uid="{00000000-0005-0000-0000-00007F5E0000}"/>
    <cellStyle name="Normal 2 2 48" xfId="24189" xr:uid="{00000000-0005-0000-0000-0000805E0000}"/>
    <cellStyle name="Normal 2 2 49" xfId="24190" xr:uid="{00000000-0005-0000-0000-0000815E0000}"/>
    <cellStyle name="Normal 2 2 5" xfId="24191" xr:uid="{00000000-0005-0000-0000-0000825E0000}"/>
    <cellStyle name="Normal 2 2 5 2" xfId="24192" xr:uid="{00000000-0005-0000-0000-0000835E0000}"/>
    <cellStyle name="Normal 2 2 5 3" xfId="24193" xr:uid="{00000000-0005-0000-0000-0000845E0000}"/>
    <cellStyle name="Normal 2 2 5 3 2" xfId="24194" xr:uid="{00000000-0005-0000-0000-0000855E0000}"/>
    <cellStyle name="Normal 2 2 5 4" xfId="24195" xr:uid="{00000000-0005-0000-0000-0000865E0000}"/>
    <cellStyle name="Normal 2 2 50" xfId="24196" xr:uid="{00000000-0005-0000-0000-0000875E0000}"/>
    <cellStyle name="Normal 2 2 51" xfId="24197" xr:uid="{00000000-0005-0000-0000-0000885E0000}"/>
    <cellStyle name="Normal 2 2 52" xfId="24198" xr:uid="{00000000-0005-0000-0000-0000895E0000}"/>
    <cellStyle name="Normal 2 2 53" xfId="24199" xr:uid="{00000000-0005-0000-0000-00008A5E0000}"/>
    <cellStyle name="Normal 2 2 6" xfId="24200" xr:uid="{00000000-0005-0000-0000-00008B5E0000}"/>
    <cellStyle name="Normal 2 2 6 2" xfId="24201" xr:uid="{00000000-0005-0000-0000-00008C5E0000}"/>
    <cellStyle name="Normal 2 2 6 3" xfId="24202" xr:uid="{00000000-0005-0000-0000-00008D5E0000}"/>
    <cellStyle name="Normal 2 2 6 3 2" xfId="24203" xr:uid="{00000000-0005-0000-0000-00008E5E0000}"/>
    <cellStyle name="Normal 2 2 6 4" xfId="24204" xr:uid="{00000000-0005-0000-0000-00008F5E0000}"/>
    <cellStyle name="Normal 2 2 7" xfId="24205" xr:uid="{00000000-0005-0000-0000-0000905E0000}"/>
    <cellStyle name="Normal 2 2 7 2" xfId="24206" xr:uid="{00000000-0005-0000-0000-0000915E0000}"/>
    <cellStyle name="Normal 2 2 7 3" xfId="24207" xr:uid="{00000000-0005-0000-0000-0000925E0000}"/>
    <cellStyle name="Normal 2 2 7 3 2" xfId="24208" xr:uid="{00000000-0005-0000-0000-0000935E0000}"/>
    <cellStyle name="Normal 2 2 7 4" xfId="24209" xr:uid="{00000000-0005-0000-0000-0000945E0000}"/>
    <cellStyle name="Normal 2 2 8" xfId="24210" xr:uid="{00000000-0005-0000-0000-0000955E0000}"/>
    <cellStyle name="Normal 2 2 8 2" xfId="24211" xr:uid="{00000000-0005-0000-0000-0000965E0000}"/>
    <cellStyle name="Normal 2 2 8 3" xfId="24212" xr:uid="{00000000-0005-0000-0000-0000975E0000}"/>
    <cellStyle name="Normal 2 2 8 3 2" xfId="24213" xr:uid="{00000000-0005-0000-0000-0000985E0000}"/>
    <cellStyle name="Normal 2 2 8 4" xfId="24214" xr:uid="{00000000-0005-0000-0000-0000995E0000}"/>
    <cellStyle name="Normal 2 2 9" xfId="24215" xr:uid="{00000000-0005-0000-0000-00009A5E0000}"/>
    <cellStyle name="Normal 2 2 9 2" xfId="24216" xr:uid="{00000000-0005-0000-0000-00009B5E0000}"/>
    <cellStyle name="Normal 2 2 9 3" xfId="24217" xr:uid="{00000000-0005-0000-0000-00009C5E0000}"/>
    <cellStyle name="Normal 2 2 9 3 2" xfId="24218" xr:uid="{00000000-0005-0000-0000-00009D5E0000}"/>
    <cellStyle name="Normal 2 2 9 4" xfId="24219" xr:uid="{00000000-0005-0000-0000-00009E5E0000}"/>
    <cellStyle name="Normal 2 20" xfId="24220" xr:uid="{00000000-0005-0000-0000-00009F5E0000}"/>
    <cellStyle name="Normal 2 20 10" xfId="24221" xr:uid="{00000000-0005-0000-0000-0000A05E0000}"/>
    <cellStyle name="Normal 2 20 11" xfId="24222" xr:uid="{00000000-0005-0000-0000-0000A15E0000}"/>
    <cellStyle name="Normal 2 20 2" xfId="24223" xr:uid="{00000000-0005-0000-0000-0000A25E0000}"/>
    <cellStyle name="Normal 2 20 2 2" xfId="24224" xr:uid="{00000000-0005-0000-0000-0000A35E0000}"/>
    <cellStyle name="Normal 2 20 3" xfId="24225" xr:uid="{00000000-0005-0000-0000-0000A45E0000}"/>
    <cellStyle name="Normal 2 20 3 2" xfId="24226" xr:uid="{00000000-0005-0000-0000-0000A55E0000}"/>
    <cellStyle name="Normal 2 20 3 2 2" xfId="24227" xr:uid="{00000000-0005-0000-0000-0000A65E0000}"/>
    <cellStyle name="Normal 2 20 3 2 2 2" xfId="24228" xr:uid="{00000000-0005-0000-0000-0000A75E0000}"/>
    <cellStyle name="Normal 2 20 3 2 2 3" xfId="24229" xr:uid="{00000000-0005-0000-0000-0000A85E0000}"/>
    <cellStyle name="Normal 2 20 3 2 3" xfId="24230" xr:uid="{00000000-0005-0000-0000-0000A95E0000}"/>
    <cellStyle name="Normal 2 20 3 2 4" xfId="24231" xr:uid="{00000000-0005-0000-0000-0000AA5E0000}"/>
    <cellStyle name="Normal 2 20 3 2 5" xfId="24232" xr:uid="{00000000-0005-0000-0000-0000AB5E0000}"/>
    <cellStyle name="Normal 2 20 3 2 6" xfId="24233" xr:uid="{00000000-0005-0000-0000-0000AC5E0000}"/>
    <cellStyle name="Normal 2 20 3 3" xfId="24234" xr:uid="{00000000-0005-0000-0000-0000AD5E0000}"/>
    <cellStyle name="Normal 2 20 3 3 2" xfId="24235" xr:uid="{00000000-0005-0000-0000-0000AE5E0000}"/>
    <cellStyle name="Normal 2 20 3 3 2 2" xfId="24236" xr:uid="{00000000-0005-0000-0000-0000AF5E0000}"/>
    <cellStyle name="Normal 2 20 3 3 3" xfId="24237" xr:uid="{00000000-0005-0000-0000-0000B05E0000}"/>
    <cellStyle name="Normal 2 20 3 3 4" xfId="24238" xr:uid="{00000000-0005-0000-0000-0000B15E0000}"/>
    <cellStyle name="Normal 2 20 3 3 5" xfId="24239" xr:uid="{00000000-0005-0000-0000-0000B25E0000}"/>
    <cellStyle name="Normal 2 20 3 4" xfId="24240" xr:uid="{00000000-0005-0000-0000-0000B35E0000}"/>
    <cellStyle name="Normal 2 20 3 4 2" xfId="24241" xr:uid="{00000000-0005-0000-0000-0000B45E0000}"/>
    <cellStyle name="Normal 2 20 3 4 3" xfId="24242" xr:uid="{00000000-0005-0000-0000-0000B55E0000}"/>
    <cellStyle name="Normal 2 20 3 4 4" xfId="24243" xr:uid="{00000000-0005-0000-0000-0000B65E0000}"/>
    <cellStyle name="Normal 2 20 3 5" xfId="24244" xr:uid="{00000000-0005-0000-0000-0000B75E0000}"/>
    <cellStyle name="Normal 2 20 3 5 2" xfId="24245" xr:uid="{00000000-0005-0000-0000-0000B85E0000}"/>
    <cellStyle name="Normal 2 20 3 6" xfId="24246" xr:uid="{00000000-0005-0000-0000-0000B95E0000}"/>
    <cellStyle name="Normal 2 20 3 7" xfId="24247" xr:uid="{00000000-0005-0000-0000-0000BA5E0000}"/>
    <cellStyle name="Normal 2 20 3 8" xfId="24248" xr:uid="{00000000-0005-0000-0000-0000BB5E0000}"/>
    <cellStyle name="Normal 2 20 3 9" xfId="24249" xr:uid="{00000000-0005-0000-0000-0000BC5E0000}"/>
    <cellStyle name="Normal 2 20 4" xfId="24250" xr:uid="{00000000-0005-0000-0000-0000BD5E0000}"/>
    <cellStyle name="Normal 2 20 4 2" xfId="24251" xr:uid="{00000000-0005-0000-0000-0000BE5E0000}"/>
    <cellStyle name="Normal 2 20 4 2 2" xfId="24252" xr:uid="{00000000-0005-0000-0000-0000BF5E0000}"/>
    <cellStyle name="Normal 2 20 4 2 2 2" xfId="24253" xr:uid="{00000000-0005-0000-0000-0000C05E0000}"/>
    <cellStyle name="Normal 2 20 4 2 2 3" xfId="24254" xr:uid="{00000000-0005-0000-0000-0000C15E0000}"/>
    <cellStyle name="Normal 2 20 4 2 3" xfId="24255" xr:uid="{00000000-0005-0000-0000-0000C25E0000}"/>
    <cellStyle name="Normal 2 20 4 2 4" xfId="24256" xr:uid="{00000000-0005-0000-0000-0000C35E0000}"/>
    <cellStyle name="Normal 2 20 4 2 5" xfId="24257" xr:uid="{00000000-0005-0000-0000-0000C45E0000}"/>
    <cellStyle name="Normal 2 20 4 2 6" xfId="24258" xr:uid="{00000000-0005-0000-0000-0000C55E0000}"/>
    <cellStyle name="Normal 2 20 4 3" xfId="24259" xr:uid="{00000000-0005-0000-0000-0000C65E0000}"/>
    <cellStyle name="Normal 2 20 4 3 2" xfId="24260" xr:uid="{00000000-0005-0000-0000-0000C75E0000}"/>
    <cellStyle name="Normal 2 20 4 3 2 2" xfId="24261" xr:uid="{00000000-0005-0000-0000-0000C85E0000}"/>
    <cellStyle name="Normal 2 20 4 3 3" xfId="24262" xr:uid="{00000000-0005-0000-0000-0000C95E0000}"/>
    <cellStyle name="Normal 2 20 4 3 4" xfId="24263" xr:uid="{00000000-0005-0000-0000-0000CA5E0000}"/>
    <cellStyle name="Normal 2 20 4 3 5" xfId="24264" xr:uid="{00000000-0005-0000-0000-0000CB5E0000}"/>
    <cellStyle name="Normal 2 20 4 4" xfId="24265" xr:uid="{00000000-0005-0000-0000-0000CC5E0000}"/>
    <cellStyle name="Normal 2 20 4 4 2" xfId="24266" xr:uid="{00000000-0005-0000-0000-0000CD5E0000}"/>
    <cellStyle name="Normal 2 20 4 4 3" xfId="24267" xr:uid="{00000000-0005-0000-0000-0000CE5E0000}"/>
    <cellStyle name="Normal 2 20 4 4 4" xfId="24268" xr:uid="{00000000-0005-0000-0000-0000CF5E0000}"/>
    <cellStyle name="Normal 2 20 4 5" xfId="24269" xr:uid="{00000000-0005-0000-0000-0000D05E0000}"/>
    <cellStyle name="Normal 2 20 4 5 2" xfId="24270" xr:uid="{00000000-0005-0000-0000-0000D15E0000}"/>
    <cellStyle name="Normal 2 20 4 6" xfId="24271" xr:uid="{00000000-0005-0000-0000-0000D25E0000}"/>
    <cellStyle name="Normal 2 20 4 7" xfId="24272" xr:uid="{00000000-0005-0000-0000-0000D35E0000}"/>
    <cellStyle name="Normal 2 20 4 8" xfId="24273" xr:uid="{00000000-0005-0000-0000-0000D45E0000}"/>
    <cellStyle name="Normal 2 20 4 9" xfId="24274" xr:uid="{00000000-0005-0000-0000-0000D55E0000}"/>
    <cellStyle name="Normal 2 20 5" xfId="24275" xr:uid="{00000000-0005-0000-0000-0000D65E0000}"/>
    <cellStyle name="Normal 2 20 5 2" xfId="24276" xr:uid="{00000000-0005-0000-0000-0000D75E0000}"/>
    <cellStyle name="Normal 2 20 5 2 2" xfId="24277" xr:uid="{00000000-0005-0000-0000-0000D85E0000}"/>
    <cellStyle name="Normal 2 20 5 2 3" xfId="24278" xr:uid="{00000000-0005-0000-0000-0000D95E0000}"/>
    <cellStyle name="Normal 2 20 5 3" xfId="24279" xr:uid="{00000000-0005-0000-0000-0000DA5E0000}"/>
    <cellStyle name="Normal 2 20 5 4" xfId="24280" xr:uid="{00000000-0005-0000-0000-0000DB5E0000}"/>
    <cellStyle name="Normal 2 20 5 5" xfId="24281" xr:uid="{00000000-0005-0000-0000-0000DC5E0000}"/>
    <cellStyle name="Normal 2 20 5 6" xfId="24282" xr:uid="{00000000-0005-0000-0000-0000DD5E0000}"/>
    <cellStyle name="Normal 2 20 6" xfId="24283" xr:uid="{00000000-0005-0000-0000-0000DE5E0000}"/>
    <cellStyle name="Normal 2 20 6 2" xfId="24284" xr:uid="{00000000-0005-0000-0000-0000DF5E0000}"/>
    <cellStyle name="Normal 2 20 6 2 2" xfId="24285" xr:uid="{00000000-0005-0000-0000-0000E05E0000}"/>
    <cellStyle name="Normal 2 20 6 3" xfId="24286" xr:uid="{00000000-0005-0000-0000-0000E15E0000}"/>
    <cellStyle name="Normal 2 20 6 4" xfId="24287" xr:uid="{00000000-0005-0000-0000-0000E25E0000}"/>
    <cellStyle name="Normal 2 20 6 5" xfId="24288" xr:uid="{00000000-0005-0000-0000-0000E35E0000}"/>
    <cellStyle name="Normal 2 20 6 6" xfId="24289" xr:uid="{00000000-0005-0000-0000-0000E45E0000}"/>
    <cellStyle name="Normal 2 20 7" xfId="24290" xr:uid="{00000000-0005-0000-0000-0000E55E0000}"/>
    <cellStyle name="Normal 2 20 7 2" xfId="24291" xr:uid="{00000000-0005-0000-0000-0000E65E0000}"/>
    <cellStyle name="Normal 2 20 7 3" xfId="24292" xr:uid="{00000000-0005-0000-0000-0000E75E0000}"/>
    <cellStyle name="Normal 2 20 7 4" xfId="24293" xr:uid="{00000000-0005-0000-0000-0000E85E0000}"/>
    <cellStyle name="Normal 2 20 7 5" xfId="24294" xr:uid="{00000000-0005-0000-0000-0000E95E0000}"/>
    <cellStyle name="Normal 2 20 8" xfId="24295" xr:uid="{00000000-0005-0000-0000-0000EA5E0000}"/>
    <cellStyle name="Normal 2 20 8 2" xfId="24296" xr:uid="{00000000-0005-0000-0000-0000EB5E0000}"/>
    <cellStyle name="Normal 2 20 9" xfId="24297" xr:uid="{00000000-0005-0000-0000-0000EC5E0000}"/>
    <cellStyle name="Normal 2 21" xfId="24298" xr:uid="{00000000-0005-0000-0000-0000ED5E0000}"/>
    <cellStyle name="Normal 2 21 2" xfId="24299" xr:uid="{00000000-0005-0000-0000-0000EE5E0000}"/>
    <cellStyle name="Normal 2 21 2 2" xfId="24300" xr:uid="{00000000-0005-0000-0000-0000EF5E0000}"/>
    <cellStyle name="Normal 2 21 3" xfId="24301" xr:uid="{00000000-0005-0000-0000-0000F05E0000}"/>
    <cellStyle name="Normal 2 21 3 2" xfId="24302" xr:uid="{00000000-0005-0000-0000-0000F15E0000}"/>
    <cellStyle name="Normal 2 21 3 2 2" xfId="24303" xr:uid="{00000000-0005-0000-0000-0000F25E0000}"/>
    <cellStyle name="Normal 2 21 3 2 2 2" xfId="24304" xr:uid="{00000000-0005-0000-0000-0000F35E0000}"/>
    <cellStyle name="Normal 2 21 3 2 2 3" xfId="24305" xr:uid="{00000000-0005-0000-0000-0000F45E0000}"/>
    <cellStyle name="Normal 2 21 3 2 3" xfId="24306" xr:uid="{00000000-0005-0000-0000-0000F55E0000}"/>
    <cellStyle name="Normal 2 21 3 2 4" xfId="24307" xr:uid="{00000000-0005-0000-0000-0000F65E0000}"/>
    <cellStyle name="Normal 2 21 3 2 5" xfId="24308" xr:uid="{00000000-0005-0000-0000-0000F75E0000}"/>
    <cellStyle name="Normal 2 21 3 2 6" xfId="24309" xr:uid="{00000000-0005-0000-0000-0000F85E0000}"/>
    <cellStyle name="Normal 2 21 3 3" xfId="24310" xr:uid="{00000000-0005-0000-0000-0000F95E0000}"/>
    <cellStyle name="Normal 2 21 3 3 2" xfId="24311" xr:uid="{00000000-0005-0000-0000-0000FA5E0000}"/>
    <cellStyle name="Normal 2 21 3 3 2 2" xfId="24312" xr:uid="{00000000-0005-0000-0000-0000FB5E0000}"/>
    <cellStyle name="Normal 2 21 3 3 3" xfId="24313" xr:uid="{00000000-0005-0000-0000-0000FC5E0000}"/>
    <cellStyle name="Normal 2 21 3 3 4" xfId="24314" xr:uid="{00000000-0005-0000-0000-0000FD5E0000}"/>
    <cellStyle name="Normal 2 21 3 3 5" xfId="24315" xr:uid="{00000000-0005-0000-0000-0000FE5E0000}"/>
    <cellStyle name="Normal 2 21 3 4" xfId="24316" xr:uid="{00000000-0005-0000-0000-0000FF5E0000}"/>
    <cellStyle name="Normal 2 21 3 4 2" xfId="24317" xr:uid="{00000000-0005-0000-0000-0000005F0000}"/>
    <cellStyle name="Normal 2 21 3 4 3" xfId="24318" xr:uid="{00000000-0005-0000-0000-0000015F0000}"/>
    <cellStyle name="Normal 2 21 3 4 4" xfId="24319" xr:uid="{00000000-0005-0000-0000-0000025F0000}"/>
    <cellStyle name="Normal 2 21 3 5" xfId="24320" xr:uid="{00000000-0005-0000-0000-0000035F0000}"/>
    <cellStyle name="Normal 2 21 3 5 2" xfId="24321" xr:uid="{00000000-0005-0000-0000-0000045F0000}"/>
    <cellStyle name="Normal 2 21 3 6" xfId="24322" xr:uid="{00000000-0005-0000-0000-0000055F0000}"/>
    <cellStyle name="Normal 2 21 3 7" xfId="24323" xr:uid="{00000000-0005-0000-0000-0000065F0000}"/>
    <cellStyle name="Normal 2 21 3 8" xfId="24324" xr:uid="{00000000-0005-0000-0000-0000075F0000}"/>
    <cellStyle name="Normal 2 21 3 9" xfId="24325" xr:uid="{00000000-0005-0000-0000-0000085F0000}"/>
    <cellStyle name="Normal 2 21 4" xfId="24326" xr:uid="{00000000-0005-0000-0000-0000095F0000}"/>
    <cellStyle name="Normal 2 21 4 2" xfId="24327" xr:uid="{00000000-0005-0000-0000-00000A5F0000}"/>
    <cellStyle name="Normal 2 21 4 2 2" xfId="24328" xr:uid="{00000000-0005-0000-0000-00000B5F0000}"/>
    <cellStyle name="Normal 2 21 4 3" xfId="24329" xr:uid="{00000000-0005-0000-0000-00000C5F0000}"/>
    <cellStyle name="Normal 2 21 4 4" xfId="24330" xr:uid="{00000000-0005-0000-0000-00000D5F0000}"/>
    <cellStyle name="Normal 2 21 4 5" xfId="24331" xr:uid="{00000000-0005-0000-0000-00000E5F0000}"/>
    <cellStyle name="Normal 2 21 4 6" xfId="24332" xr:uid="{00000000-0005-0000-0000-00000F5F0000}"/>
    <cellStyle name="Normal 2 21 5" xfId="24333" xr:uid="{00000000-0005-0000-0000-0000105F0000}"/>
    <cellStyle name="Normal 2 21 5 2" xfId="24334" xr:uid="{00000000-0005-0000-0000-0000115F0000}"/>
    <cellStyle name="Normal 2 21 5 3" xfId="24335" xr:uid="{00000000-0005-0000-0000-0000125F0000}"/>
    <cellStyle name="Normal 2 21 6" xfId="24336" xr:uid="{00000000-0005-0000-0000-0000135F0000}"/>
    <cellStyle name="Normal 2 21 7" xfId="24337" xr:uid="{00000000-0005-0000-0000-0000145F0000}"/>
    <cellStyle name="Normal 2 22" xfId="24338" xr:uid="{00000000-0005-0000-0000-0000155F0000}"/>
    <cellStyle name="Normal 2 22 2" xfId="24339" xr:uid="{00000000-0005-0000-0000-0000165F0000}"/>
    <cellStyle name="Normal 2 22 2 2" xfId="24340" xr:uid="{00000000-0005-0000-0000-0000175F0000}"/>
    <cellStyle name="Normal 2 22 3" xfId="24341" xr:uid="{00000000-0005-0000-0000-0000185F0000}"/>
    <cellStyle name="Normal 2 22 3 2" xfId="24342" xr:uid="{00000000-0005-0000-0000-0000195F0000}"/>
    <cellStyle name="Normal 2 22 3 2 2" xfId="24343" xr:uid="{00000000-0005-0000-0000-00001A5F0000}"/>
    <cellStyle name="Normal 2 22 3 2 2 2" xfId="24344" xr:uid="{00000000-0005-0000-0000-00001B5F0000}"/>
    <cellStyle name="Normal 2 22 3 2 2 3" xfId="24345" xr:uid="{00000000-0005-0000-0000-00001C5F0000}"/>
    <cellStyle name="Normal 2 22 3 2 3" xfId="24346" xr:uid="{00000000-0005-0000-0000-00001D5F0000}"/>
    <cellStyle name="Normal 2 22 3 2 4" xfId="24347" xr:uid="{00000000-0005-0000-0000-00001E5F0000}"/>
    <cellStyle name="Normal 2 22 3 2 5" xfId="24348" xr:uid="{00000000-0005-0000-0000-00001F5F0000}"/>
    <cellStyle name="Normal 2 22 3 2 6" xfId="24349" xr:uid="{00000000-0005-0000-0000-0000205F0000}"/>
    <cellStyle name="Normal 2 22 3 3" xfId="24350" xr:uid="{00000000-0005-0000-0000-0000215F0000}"/>
    <cellStyle name="Normal 2 22 3 3 2" xfId="24351" xr:uid="{00000000-0005-0000-0000-0000225F0000}"/>
    <cellStyle name="Normal 2 22 3 3 2 2" xfId="24352" xr:uid="{00000000-0005-0000-0000-0000235F0000}"/>
    <cellStyle name="Normal 2 22 3 3 3" xfId="24353" xr:uid="{00000000-0005-0000-0000-0000245F0000}"/>
    <cellStyle name="Normal 2 22 3 3 4" xfId="24354" xr:uid="{00000000-0005-0000-0000-0000255F0000}"/>
    <cellStyle name="Normal 2 22 3 3 5" xfId="24355" xr:uid="{00000000-0005-0000-0000-0000265F0000}"/>
    <cellStyle name="Normal 2 22 3 4" xfId="24356" xr:uid="{00000000-0005-0000-0000-0000275F0000}"/>
    <cellStyle name="Normal 2 22 3 4 2" xfId="24357" xr:uid="{00000000-0005-0000-0000-0000285F0000}"/>
    <cellStyle name="Normal 2 22 3 4 3" xfId="24358" xr:uid="{00000000-0005-0000-0000-0000295F0000}"/>
    <cellStyle name="Normal 2 22 3 4 4" xfId="24359" xr:uid="{00000000-0005-0000-0000-00002A5F0000}"/>
    <cellStyle name="Normal 2 22 3 5" xfId="24360" xr:uid="{00000000-0005-0000-0000-00002B5F0000}"/>
    <cellStyle name="Normal 2 22 3 5 2" xfId="24361" xr:uid="{00000000-0005-0000-0000-00002C5F0000}"/>
    <cellStyle name="Normal 2 22 3 6" xfId="24362" xr:uid="{00000000-0005-0000-0000-00002D5F0000}"/>
    <cellStyle name="Normal 2 22 3 7" xfId="24363" xr:uid="{00000000-0005-0000-0000-00002E5F0000}"/>
    <cellStyle name="Normal 2 22 3 8" xfId="24364" xr:uid="{00000000-0005-0000-0000-00002F5F0000}"/>
    <cellStyle name="Normal 2 22 3 9" xfId="24365" xr:uid="{00000000-0005-0000-0000-0000305F0000}"/>
    <cellStyle name="Normal 2 22 4" xfId="24366" xr:uid="{00000000-0005-0000-0000-0000315F0000}"/>
    <cellStyle name="Normal 2 22 4 2" xfId="24367" xr:uid="{00000000-0005-0000-0000-0000325F0000}"/>
    <cellStyle name="Normal 2 22 4 2 2" xfId="24368" xr:uid="{00000000-0005-0000-0000-0000335F0000}"/>
    <cellStyle name="Normal 2 22 4 3" xfId="24369" xr:uid="{00000000-0005-0000-0000-0000345F0000}"/>
    <cellStyle name="Normal 2 22 4 4" xfId="24370" xr:uid="{00000000-0005-0000-0000-0000355F0000}"/>
    <cellStyle name="Normal 2 22 4 5" xfId="24371" xr:uid="{00000000-0005-0000-0000-0000365F0000}"/>
    <cellStyle name="Normal 2 22 4 6" xfId="24372" xr:uid="{00000000-0005-0000-0000-0000375F0000}"/>
    <cellStyle name="Normal 2 22 5" xfId="24373" xr:uid="{00000000-0005-0000-0000-0000385F0000}"/>
    <cellStyle name="Normal 2 22 5 2" xfId="24374" xr:uid="{00000000-0005-0000-0000-0000395F0000}"/>
    <cellStyle name="Normal 2 22 5 3" xfId="24375" xr:uid="{00000000-0005-0000-0000-00003A5F0000}"/>
    <cellStyle name="Normal 2 22 6" xfId="24376" xr:uid="{00000000-0005-0000-0000-00003B5F0000}"/>
    <cellStyle name="Normal 2 22 7" xfId="24377" xr:uid="{00000000-0005-0000-0000-00003C5F0000}"/>
    <cellStyle name="Normal 2 23" xfId="24378" xr:uid="{00000000-0005-0000-0000-00003D5F0000}"/>
    <cellStyle name="Normal 2 23 2" xfId="24379" xr:uid="{00000000-0005-0000-0000-00003E5F0000}"/>
    <cellStyle name="Normal 2 23 2 2" xfId="24380" xr:uid="{00000000-0005-0000-0000-00003F5F0000}"/>
    <cellStyle name="Normal 2 23 3" xfId="24381" xr:uid="{00000000-0005-0000-0000-0000405F0000}"/>
    <cellStyle name="Normal 2 23 3 2" xfId="24382" xr:uid="{00000000-0005-0000-0000-0000415F0000}"/>
    <cellStyle name="Normal 2 23 3 2 2" xfId="24383" xr:uid="{00000000-0005-0000-0000-0000425F0000}"/>
    <cellStyle name="Normal 2 23 3 2 2 2" xfId="24384" xr:uid="{00000000-0005-0000-0000-0000435F0000}"/>
    <cellStyle name="Normal 2 23 3 2 2 3" xfId="24385" xr:uid="{00000000-0005-0000-0000-0000445F0000}"/>
    <cellStyle name="Normal 2 23 3 2 3" xfId="24386" xr:uid="{00000000-0005-0000-0000-0000455F0000}"/>
    <cellStyle name="Normal 2 23 3 2 4" xfId="24387" xr:uid="{00000000-0005-0000-0000-0000465F0000}"/>
    <cellStyle name="Normal 2 23 3 2 5" xfId="24388" xr:uid="{00000000-0005-0000-0000-0000475F0000}"/>
    <cellStyle name="Normal 2 23 3 2 6" xfId="24389" xr:uid="{00000000-0005-0000-0000-0000485F0000}"/>
    <cellStyle name="Normal 2 23 3 3" xfId="24390" xr:uid="{00000000-0005-0000-0000-0000495F0000}"/>
    <cellStyle name="Normal 2 23 3 3 2" xfId="24391" xr:uid="{00000000-0005-0000-0000-00004A5F0000}"/>
    <cellStyle name="Normal 2 23 3 3 2 2" xfId="24392" xr:uid="{00000000-0005-0000-0000-00004B5F0000}"/>
    <cellStyle name="Normal 2 23 3 3 3" xfId="24393" xr:uid="{00000000-0005-0000-0000-00004C5F0000}"/>
    <cellStyle name="Normal 2 23 3 3 4" xfId="24394" xr:uid="{00000000-0005-0000-0000-00004D5F0000}"/>
    <cellStyle name="Normal 2 23 3 3 5" xfId="24395" xr:uid="{00000000-0005-0000-0000-00004E5F0000}"/>
    <cellStyle name="Normal 2 23 3 4" xfId="24396" xr:uid="{00000000-0005-0000-0000-00004F5F0000}"/>
    <cellStyle name="Normal 2 23 3 4 2" xfId="24397" xr:uid="{00000000-0005-0000-0000-0000505F0000}"/>
    <cellStyle name="Normal 2 23 3 4 3" xfId="24398" xr:uid="{00000000-0005-0000-0000-0000515F0000}"/>
    <cellStyle name="Normal 2 23 3 4 4" xfId="24399" xr:uid="{00000000-0005-0000-0000-0000525F0000}"/>
    <cellStyle name="Normal 2 23 3 5" xfId="24400" xr:uid="{00000000-0005-0000-0000-0000535F0000}"/>
    <cellStyle name="Normal 2 23 3 5 2" xfId="24401" xr:uid="{00000000-0005-0000-0000-0000545F0000}"/>
    <cellStyle name="Normal 2 23 3 6" xfId="24402" xr:uid="{00000000-0005-0000-0000-0000555F0000}"/>
    <cellStyle name="Normal 2 23 3 7" xfId="24403" xr:uid="{00000000-0005-0000-0000-0000565F0000}"/>
    <cellStyle name="Normal 2 23 3 8" xfId="24404" xr:uid="{00000000-0005-0000-0000-0000575F0000}"/>
    <cellStyle name="Normal 2 23 3 9" xfId="24405" xr:uid="{00000000-0005-0000-0000-0000585F0000}"/>
    <cellStyle name="Normal 2 23 4" xfId="24406" xr:uid="{00000000-0005-0000-0000-0000595F0000}"/>
    <cellStyle name="Normal 2 23 4 2" xfId="24407" xr:uid="{00000000-0005-0000-0000-00005A5F0000}"/>
    <cellStyle name="Normal 2 23 4 2 2" xfId="24408" xr:uid="{00000000-0005-0000-0000-00005B5F0000}"/>
    <cellStyle name="Normal 2 23 4 3" xfId="24409" xr:uid="{00000000-0005-0000-0000-00005C5F0000}"/>
    <cellStyle name="Normal 2 23 4 4" xfId="24410" xr:uid="{00000000-0005-0000-0000-00005D5F0000}"/>
    <cellStyle name="Normal 2 23 4 5" xfId="24411" xr:uid="{00000000-0005-0000-0000-00005E5F0000}"/>
    <cellStyle name="Normal 2 23 4 6" xfId="24412" xr:uid="{00000000-0005-0000-0000-00005F5F0000}"/>
    <cellStyle name="Normal 2 23 5" xfId="24413" xr:uid="{00000000-0005-0000-0000-0000605F0000}"/>
    <cellStyle name="Normal 2 23 5 2" xfId="24414" xr:uid="{00000000-0005-0000-0000-0000615F0000}"/>
    <cellStyle name="Normal 2 23 5 3" xfId="24415" xr:uid="{00000000-0005-0000-0000-0000625F0000}"/>
    <cellStyle name="Normal 2 23 6" xfId="24416" xr:uid="{00000000-0005-0000-0000-0000635F0000}"/>
    <cellStyle name="Normal 2 23 7" xfId="24417" xr:uid="{00000000-0005-0000-0000-0000645F0000}"/>
    <cellStyle name="Normal 2 24" xfId="24418" xr:uid="{00000000-0005-0000-0000-0000655F0000}"/>
    <cellStyle name="Normal 2 24 2" xfId="24419" xr:uid="{00000000-0005-0000-0000-0000665F0000}"/>
    <cellStyle name="Normal 2 24 2 2" xfId="24420" xr:uid="{00000000-0005-0000-0000-0000675F0000}"/>
    <cellStyle name="Normal 2 24 3" xfId="24421" xr:uid="{00000000-0005-0000-0000-0000685F0000}"/>
    <cellStyle name="Normal 2 24 3 2" xfId="24422" xr:uid="{00000000-0005-0000-0000-0000695F0000}"/>
    <cellStyle name="Normal 2 24 3 2 2" xfId="24423" xr:uid="{00000000-0005-0000-0000-00006A5F0000}"/>
    <cellStyle name="Normal 2 24 3 2 2 2" xfId="24424" xr:uid="{00000000-0005-0000-0000-00006B5F0000}"/>
    <cellStyle name="Normal 2 24 3 2 2 3" xfId="24425" xr:uid="{00000000-0005-0000-0000-00006C5F0000}"/>
    <cellStyle name="Normal 2 24 3 2 3" xfId="24426" xr:uid="{00000000-0005-0000-0000-00006D5F0000}"/>
    <cellStyle name="Normal 2 24 3 2 4" xfId="24427" xr:uid="{00000000-0005-0000-0000-00006E5F0000}"/>
    <cellStyle name="Normal 2 24 3 2 5" xfId="24428" xr:uid="{00000000-0005-0000-0000-00006F5F0000}"/>
    <cellStyle name="Normal 2 24 3 2 6" xfId="24429" xr:uid="{00000000-0005-0000-0000-0000705F0000}"/>
    <cellStyle name="Normal 2 24 3 3" xfId="24430" xr:uid="{00000000-0005-0000-0000-0000715F0000}"/>
    <cellStyle name="Normal 2 24 3 3 2" xfId="24431" xr:uid="{00000000-0005-0000-0000-0000725F0000}"/>
    <cellStyle name="Normal 2 24 3 3 2 2" xfId="24432" xr:uid="{00000000-0005-0000-0000-0000735F0000}"/>
    <cellStyle name="Normal 2 24 3 3 3" xfId="24433" xr:uid="{00000000-0005-0000-0000-0000745F0000}"/>
    <cellStyle name="Normal 2 24 3 3 4" xfId="24434" xr:uid="{00000000-0005-0000-0000-0000755F0000}"/>
    <cellStyle name="Normal 2 24 3 3 5" xfId="24435" xr:uid="{00000000-0005-0000-0000-0000765F0000}"/>
    <cellStyle name="Normal 2 24 3 4" xfId="24436" xr:uid="{00000000-0005-0000-0000-0000775F0000}"/>
    <cellStyle name="Normal 2 24 3 4 2" xfId="24437" xr:uid="{00000000-0005-0000-0000-0000785F0000}"/>
    <cellStyle name="Normal 2 24 3 4 3" xfId="24438" xr:uid="{00000000-0005-0000-0000-0000795F0000}"/>
    <cellStyle name="Normal 2 24 3 4 4" xfId="24439" xr:uid="{00000000-0005-0000-0000-00007A5F0000}"/>
    <cellStyle name="Normal 2 24 3 5" xfId="24440" xr:uid="{00000000-0005-0000-0000-00007B5F0000}"/>
    <cellStyle name="Normal 2 24 3 5 2" xfId="24441" xr:uid="{00000000-0005-0000-0000-00007C5F0000}"/>
    <cellStyle name="Normal 2 24 3 6" xfId="24442" xr:uid="{00000000-0005-0000-0000-00007D5F0000}"/>
    <cellStyle name="Normal 2 24 3 7" xfId="24443" xr:uid="{00000000-0005-0000-0000-00007E5F0000}"/>
    <cellStyle name="Normal 2 24 3 8" xfId="24444" xr:uid="{00000000-0005-0000-0000-00007F5F0000}"/>
    <cellStyle name="Normal 2 24 3 9" xfId="24445" xr:uid="{00000000-0005-0000-0000-0000805F0000}"/>
    <cellStyle name="Normal 2 24 4" xfId="24446" xr:uid="{00000000-0005-0000-0000-0000815F0000}"/>
    <cellStyle name="Normal 2 24 4 2" xfId="24447" xr:uid="{00000000-0005-0000-0000-0000825F0000}"/>
    <cellStyle name="Normal 2 24 4 2 2" xfId="24448" xr:uid="{00000000-0005-0000-0000-0000835F0000}"/>
    <cellStyle name="Normal 2 24 4 3" xfId="24449" xr:uid="{00000000-0005-0000-0000-0000845F0000}"/>
    <cellStyle name="Normal 2 24 4 4" xfId="24450" xr:uid="{00000000-0005-0000-0000-0000855F0000}"/>
    <cellStyle name="Normal 2 24 4 5" xfId="24451" xr:uid="{00000000-0005-0000-0000-0000865F0000}"/>
    <cellStyle name="Normal 2 24 4 6" xfId="24452" xr:uid="{00000000-0005-0000-0000-0000875F0000}"/>
    <cellStyle name="Normal 2 24 5" xfId="24453" xr:uid="{00000000-0005-0000-0000-0000885F0000}"/>
    <cellStyle name="Normal 2 24 5 2" xfId="24454" xr:uid="{00000000-0005-0000-0000-0000895F0000}"/>
    <cellStyle name="Normal 2 24 5 3" xfId="24455" xr:uid="{00000000-0005-0000-0000-00008A5F0000}"/>
    <cellStyle name="Normal 2 24 6" xfId="24456" xr:uid="{00000000-0005-0000-0000-00008B5F0000}"/>
    <cellStyle name="Normal 2 24 7" xfId="24457" xr:uid="{00000000-0005-0000-0000-00008C5F0000}"/>
    <cellStyle name="Normal 2 25" xfId="24458" xr:uid="{00000000-0005-0000-0000-00008D5F0000}"/>
    <cellStyle name="Normal 2 25 2" xfId="24459" xr:uid="{00000000-0005-0000-0000-00008E5F0000}"/>
    <cellStyle name="Normal 2 25 2 2" xfId="24460" xr:uid="{00000000-0005-0000-0000-00008F5F0000}"/>
    <cellStyle name="Normal 2 25 3" xfId="24461" xr:uid="{00000000-0005-0000-0000-0000905F0000}"/>
    <cellStyle name="Normal 2 25 3 2" xfId="24462" xr:uid="{00000000-0005-0000-0000-0000915F0000}"/>
    <cellStyle name="Normal 2 25 3 2 2" xfId="24463" xr:uid="{00000000-0005-0000-0000-0000925F0000}"/>
    <cellStyle name="Normal 2 25 3 2 2 2" xfId="24464" xr:uid="{00000000-0005-0000-0000-0000935F0000}"/>
    <cellStyle name="Normal 2 25 3 2 2 3" xfId="24465" xr:uid="{00000000-0005-0000-0000-0000945F0000}"/>
    <cellStyle name="Normal 2 25 3 2 3" xfId="24466" xr:uid="{00000000-0005-0000-0000-0000955F0000}"/>
    <cellStyle name="Normal 2 25 3 2 4" xfId="24467" xr:uid="{00000000-0005-0000-0000-0000965F0000}"/>
    <cellStyle name="Normal 2 25 3 2 5" xfId="24468" xr:uid="{00000000-0005-0000-0000-0000975F0000}"/>
    <cellStyle name="Normal 2 25 3 2 6" xfId="24469" xr:uid="{00000000-0005-0000-0000-0000985F0000}"/>
    <cellStyle name="Normal 2 25 3 3" xfId="24470" xr:uid="{00000000-0005-0000-0000-0000995F0000}"/>
    <cellStyle name="Normal 2 25 3 3 2" xfId="24471" xr:uid="{00000000-0005-0000-0000-00009A5F0000}"/>
    <cellStyle name="Normal 2 25 3 3 2 2" xfId="24472" xr:uid="{00000000-0005-0000-0000-00009B5F0000}"/>
    <cellStyle name="Normal 2 25 3 3 3" xfId="24473" xr:uid="{00000000-0005-0000-0000-00009C5F0000}"/>
    <cellStyle name="Normal 2 25 3 3 4" xfId="24474" xr:uid="{00000000-0005-0000-0000-00009D5F0000}"/>
    <cellStyle name="Normal 2 25 3 3 5" xfId="24475" xr:uid="{00000000-0005-0000-0000-00009E5F0000}"/>
    <cellStyle name="Normal 2 25 3 4" xfId="24476" xr:uid="{00000000-0005-0000-0000-00009F5F0000}"/>
    <cellStyle name="Normal 2 25 3 4 2" xfId="24477" xr:uid="{00000000-0005-0000-0000-0000A05F0000}"/>
    <cellStyle name="Normal 2 25 3 4 3" xfId="24478" xr:uid="{00000000-0005-0000-0000-0000A15F0000}"/>
    <cellStyle name="Normal 2 25 3 4 4" xfId="24479" xr:uid="{00000000-0005-0000-0000-0000A25F0000}"/>
    <cellStyle name="Normal 2 25 3 5" xfId="24480" xr:uid="{00000000-0005-0000-0000-0000A35F0000}"/>
    <cellStyle name="Normal 2 25 3 5 2" xfId="24481" xr:uid="{00000000-0005-0000-0000-0000A45F0000}"/>
    <cellStyle name="Normal 2 25 3 6" xfId="24482" xr:uid="{00000000-0005-0000-0000-0000A55F0000}"/>
    <cellStyle name="Normal 2 25 3 7" xfId="24483" xr:uid="{00000000-0005-0000-0000-0000A65F0000}"/>
    <cellStyle name="Normal 2 25 3 8" xfId="24484" xr:uid="{00000000-0005-0000-0000-0000A75F0000}"/>
    <cellStyle name="Normal 2 25 3 9" xfId="24485" xr:uid="{00000000-0005-0000-0000-0000A85F0000}"/>
    <cellStyle name="Normal 2 25 4" xfId="24486" xr:uid="{00000000-0005-0000-0000-0000A95F0000}"/>
    <cellStyle name="Normal 2 25 4 2" xfId="24487" xr:uid="{00000000-0005-0000-0000-0000AA5F0000}"/>
    <cellStyle name="Normal 2 25 4 2 2" xfId="24488" xr:uid="{00000000-0005-0000-0000-0000AB5F0000}"/>
    <cellStyle name="Normal 2 25 4 3" xfId="24489" xr:uid="{00000000-0005-0000-0000-0000AC5F0000}"/>
    <cellStyle name="Normal 2 25 4 4" xfId="24490" xr:uid="{00000000-0005-0000-0000-0000AD5F0000}"/>
    <cellStyle name="Normal 2 25 4 5" xfId="24491" xr:uid="{00000000-0005-0000-0000-0000AE5F0000}"/>
    <cellStyle name="Normal 2 25 4 6" xfId="24492" xr:uid="{00000000-0005-0000-0000-0000AF5F0000}"/>
    <cellStyle name="Normal 2 25 5" xfId="24493" xr:uid="{00000000-0005-0000-0000-0000B05F0000}"/>
    <cellStyle name="Normal 2 25 5 2" xfId="24494" xr:uid="{00000000-0005-0000-0000-0000B15F0000}"/>
    <cellStyle name="Normal 2 25 5 3" xfId="24495" xr:uid="{00000000-0005-0000-0000-0000B25F0000}"/>
    <cellStyle name="Normal 2 25 6" xfId="24496" xr:uid="{00000000-0005-0000-0000-0000B35F0000}"/>
    <cellStyle name="Normal 2 25 7" xfId="24497" xr:uid="{00000000-0005-0000-0000-0000B45F0000}"/>
    <cellStyle name="Normal 2 26" xfId="24498" xr:uid="{00000000-0005-0000-0000-0000B55F0000}"/>
    <cellStyle name="Normal 2 26 2" xfId="24499" xr:uid="{00000000-0005-0000-0000-0000B65F0000}"/>
    <cellStyle name="Normal 2 26 2 2" xfId="24500" xr:uid="{00000000-0005-0000-0000-0000B75F0000}"/>
    <cellStyle name="Normal 2 26 3" xfId="24501" xr:uid="{00000000-0005-0000-0000-0000B85F0000}"/>
    <cellStyle name="Normal 2 26 3 2" xfId="24502" xr:uid="{00000000-0005-0000-0000-0000B95F0000}"/>
    <cellStyle name="Normal 2 26 3 2 2" xfId="24503" xr:uid="{00000000-0005-0000-0000-0000BA5F0000}"/>
    <cellStyle name="Normal 2 26 3 2 2 2" xfId="24504" xr:uid="{00000000-0005-0000-0000-0000BB5F0000}"/>
    <cellStyle name="Normal 2 26 3 2 2 3" xfId="24505" xr:uid="{00000000-0005-0000-0000-0000BC5F0000}"/>
    <cellStyle name="Normal 2 26 3 2 3" xfId="24506" xr:uid="{00000000-0005-0000-0000-0000BD5F0000}"/>
    <cellStyle name="Normal 2 26 3 2 4" xfId="24507" xr:uid="{00000000-0005-0000-0000-0000BE5F0000}"/>
    <cellStyle name="Normal 2 26 3 2 5" xfId="24508" xr:uid="{00000000-0005-0000-0000-0000BF5F0000}"/>
    <cellStyle name="Normal 2 26 3 2 6" xfId="24509" xr:uid="{00000000-0005-0000-0000-0000C05F0000}"/>
    <cellStyle name="Normal 2 26 3 3" xfId="24510" xr:uid="{00000000-0005-0000-0000-0000C15F0000}"/>
    <cellStyle name="Normal 2 26 3 3 2" xfId="24511" xr:uid="{00000000-0005-0000-0000-0000C25F0000}"/>
    <cellStyle name="Normal 2 26 3 3 2 2" xfId="24512" xr:uid="{00000000-0005-0000-0000-0000C35F0000}"/>
    <cellStyle name="Normal 2 26 3 3 3" xfId="24513" xr:uid="{00000000-0005-0000-0000-0000C45F0000}"/>
    <cellStyle name="Normal 2 26 3 3 4" xfId="24514" xr:uid="{00000000-0005-0000-0000-0000C55F0000}"/>
    <cellStyle name="Normal 2 26 3 3 5" xfId="24515" xr:uid="{00000000-0005-0000-0000-0000C65F0000}"/>
    <cellStyle name="Normal 2 26 3 4" xfId="24516" xr:uid="{00000000-0005-0000-0000-0000C75F0000}"/>
    <cellStyle name="Normal 2 26 3 4 2" xfId="24517" xr:uid="{00000000-0005-0000-0000-0000C85F0000}"/>
    <cellStyle name="Normal 2 26 3 4 3" xfId="24518" xr:uid="{00000000-0005-0000-0000-0000C95F0000}"/>
    <cellStyle name="Normal 2 26 3 4 4" xfId="24519" xr:uid="{00000000-0005-0000-0000-0000CA5F0000}"/>
    <cellStyle name="Normal 2 26 3 5" xfId="24520" xr:uid="{00000000-0005-0000-0000-0000CB5F0000}"/>
    <cellStyle name="Normal 2 26 3 5 2" xfId="24521" xr:uid="{00000000-0005-0000-0000-0000CC5F0000}"/>
    <cellStyle name="Normal 2 26 3 6" xfId="24522" xr:uid="{00000000-0005-0000-0000-0000CD5F0000}"/>
    <cellStyle name="Normal 2 26 3 7" xfId="24523" xr:uid="{00000000-0005-0000-0000-0000CE5F0000}"/>
    <cellStyle name="Normal 2 26 3 8" xfId="24524" xr:uid="{00000000-0005-0000-0000-0000CF5F0000}"/>
    <cellStyle name="Normal 2 26 3 9" xfId="24525" xr:uid="{00000000-0005-0000-0000-0000D05F0000}"/>
    <cellStyle name="Normal 2 26 4" xfId="24526" xr:uid="{00000000-0005-0000-0000-0000D15F0000}"/>
    <cellStyle name="Normal 2 26 4 2" xfId="24527" xr:uid="{00000000-0005-0000-0000-0000D25F0000}"/>
    <cellStyle name="Normal 2 26 4 2 2" xfId="24528" xr:uid="{00000000-0005-0000-0000-0000D35F0000}"/>
    <cellStyle name="Normal 2 26 4 3" xfId="24529" xr:uid="{00000000-0005-0000-0000-0000D45F0000}"/>
    <cellStyle name="Normal 2 26 4 4" xfId="24530" xr:uid="{00000000-0005-0000-0000-0000D55F0000}"/>
    <cellStyle name="Normal 2 26 4 5" xfId="24531" xr:uid="{00000000-0005-0000-0000-0000D65F0000}"/>
    <cellStyle name="Normal 2 26 4 6" xfId="24532" xr:uid="{00000000-0005-0000-0000-0000D75F0000}"/>
    <cellStyle name="Normal 2 26 5" xfId="24533" xr:uid="{00000000-0005-0000-0000-0000D85F0000}"/>
    <cellStyle name="Normal 2 26 5 2" xfId="24534" xr:uid="{00000000-0005-0000-0000-0000D95F0000}"/>
    <cellStyle name="Normal 2 26 5 3" xfId="24535" xr:uid="{00000000-0005-0000-0000-0000DA5F0000}"/>
    <cellStyle name="Normal 2 26 6" xfId="24536" xr:uid="{00000000-0005-0000-0000-0000DB5F0000}"/>
    <cellStyle name="Normal 2 26 7" xfId="24537" xr:uid="{00000000-0005-0000-0000-0000DC5F0000}"/>
    <cellStyle name="Normal 2 27" xfId="24538" xr:uid="{00000000-0005-0000-0000-0000DD5F0000}"/>
    <cellStyle name="Normal 2 27 2" xfId="24539" xr:uid="{00000000-0005-0000-0000-0000DE5F0000}"/>
    <cellStyle name="Normal 2 27 2 2" xfId="24540" xr:uid="{00000000-0005-0000-0000-0000DF5F0000}"/>
    <cellStyle name="Normal 2 27 3" xfId="24541" xr:uid="{00000000-0005-0000-0000-0000E05F0000}"/>
    <cellStyle name="Normal 2 27 3 2" xfId="24542" xr:uid="{00000000-0005-0000-0000-0000E15F0000}"/>
    <cellStyle name="Normal 2 27 3 2 2" xfId="24543" xr:uid="{00000000-0005-0000-0000-0000E25F0000}"/>
    <cellStyle name="Normal 2 27 3 2 2 2" xfId="24544" xr:uid="{00000000-0005-0000-0000-0000E35F0000}"/>
    <cellStyle name="Normal 2 27 3 2 2 3" xfId="24545" xr:uid="{00000000-0005-0000-0000-0000E45F0000}"/>
    <cellStyle name="Normal 2 27 3 2 3" xfId="24546" xr:uid="{00000000-0005-0000-0000-0000E55F0000}"/>
    <cellStyle name="Normal 2 27 3 2 4" xfId="24547" xr:uid="{00000000-0005-0000-0000-0000E65F0000}"/>
    <cellStyle name="Normal 2 27 3 2 5" xfId="24548" xr:uid="{00000000-0005-0000-0000-0000E75F0000}"/>
    <cellStyle name="Normal 2 27 3 2 6" xfId="24549" xr:uid="{00000000-0005-0000-0000-0000E85F0000}"/>
    <cellStyle name="Normal 2 27 3 3" xfId="24550" xr:uid="{00000000-0005-0000-0000-0000E95F0000}"/>
    <cellStyle name="Normal 2 27 3 3 2" xfId="24551" xr:uid="{00000000-0005-0000-0000-0000EA5F0000}"/>
    <cellStyle name="Normal 2 27 3 3 2 2" xfId="24552" xr:uid="{00000000-0005-0000-0000-0000EB5F0000}"/>
    <cellStyle name="Normal 2 27 3 3 3" xfId="24553" xr:uid="{00000000-0005-0000-0000-0000EC5F0000}"/>
    <cellStyle name="Normal 2 27 3 3 4" xfId="24554" xr:uid="{00000000-0005-0000-0000-0000ED5F0000}"/>
    <cellStyle name="Normal 2 27 3 3 5" xfId="24555" xr:uid="{00000000-0005-0000-0000-0000EE5F0000}"/>
    <cellStyle name="Normal 2 27 3 4" xfId="24556" xr:uid="{00000000-0005-0000-0000-0000EF5F0000}"/>
    <cellStyle name="Normal 2 27 3 4 2" xfId="24557" xr:uid="{00000000-0005-0000-0000-0000F05F0000}"/>
    <cellStyle name="Normal 2 27 3 4 3" xfId="24558" xr:uid="{00000000-0005-0000-0000-0000F15F0000}"/>
    <cellStyle name="Normal 2 27 3 4 4" xfId="24559" xr:uid="{00000000-0005-0000-0000-0000F25F0000}"/>
    <cellStyle name="Normal 2 27 3 5" xfId="24560" xr:uid="{00000000-0005-0000-0000-0000F35F0000}"/>
    <cellStyle name="Normal 2 27 3 5 2" xfId="24561" xr:uid="{00000000-0005-0000-0000-0000F45F0000}"/>
    <cellStyle name="Normal 2 27 3 6" xfId="24562" xr:uid="{00000000-0005-0000-0000-0000F55F0000}"/>
    <cellStyle name="Normal 2 27 3 7" xfId="24563" xr:uid="{00000000-0005-0000-0000-0000F65F0000}"/>
    <cellStyle name="Normal 2 27 3 8" xfId="24564" xr:uid="{00000000-0005-0000-0000-0000F75F0000}"/>
    <cellStyle name="Normal 2 27 3 9" xfId="24565" xr:uid="{00000000-0005-0000-0000-0000F85F0000}"/>
    <cellStyle name="Normal 2 27 4" xfId="24566" xr:uid="{00000000-0005-0000-0000-0000F95F0000}"/>
    <cellStyle name="Normal 2 27 4 2" xfId="24567" xr:uid="{00000000-0005-0000-0000-0000FA5F0000}"/>
    <cellStyle name="Normal 2 27 4 2 2" xfId="24568" xr:uid="{00000000-0005-0000-0000-0000FB5F0000}"/>
    <cellStyle name="Normal 2 27 4 3" xfId="24569" xr:uid="{00000000-0005-0000-0000-0000FC5F0000}"/>
    <cellStyle name="Normal 2 27 4 4" xfId="24570" xr:uid="{00000000-0005-0000-0000-0000FD5F0000}"/>
    <cellStyle name="Normal 2 27 4 5" xfId="24571" xr:uid="{00000000-0005-0000-0000-0000FE5F0000}"/>
    <cellStyle name="Normal 2 27 4 6" xfId="24572" xr:uid="{00000000-0005-0000-0000-0000FF5F0000}"/>
    <cellStyle name="Normal 2 27 5" xfId="24573" xr:uid="{00000000-0005-0000-0000-000000600000}"/>
    <cellStyle name="Normal 2 27 5 2" xfId="24574" xr:uid="{00000000-0005-0000-0000-000001600000}"/>
    <cellStyle name="Normal 2 27 5 3" xfId="24575" xr:uid="{00000000-0005-0000-0000-000002600000}"/>
    <cellStyle name="Normal 2 27 6" xfId="24576" xr:uid="{00000000-0005-0000-0000-000003600000}"/>
    <cellStyle name="Normal 2 27 7" xfId="24577" xr:uid="{00000000-0005-0000-0000-000004600000}"/>
    <cellStyle name="Normal 2 28" xfId="24578" xr:uid="{00000000-0005-0000-0000-000005600000}"/>
    <cellStyle name="Normal 2 28 2" xfId="24579" xr:uid="{00000000-0005-0000-0000-000006600000}"/>
    <cellStyle name="Normal 2 28 2 2" xfId="24580" xr:uid="{00000000-0005-0000-0000-000007600000}"/>
    <cellStyle name="Normal 2 28 3" xfId="24581" xr:uid="{00000000-0005-0000-0000-000008600000}"/>
    <cellStyle name="Normal 2 28 3 2" xfId="24582" xr:uid="{00000000-0005-0000-0000-000009600000}"/>
    <cellStyle name="Normal 2 28 3 2 2" xfId="24583" xr:uid="{00000000-0005-0000-0000-00000A600000}"/>
    <cellStyle name="Normal 2 28 3 2 2 2" xfId="24584" xr:uid="{00000000-0005-0000-0000-00000B600000}"/>
    <cellStyle name="Normal 2 28 3 2 2 3" xfId="24585" xr:uid="{00000000-0005-0000-0000-00000C600000}"/>
    <cellStyle name="Normal 2 28 3 2 3" xfId="24586" xr:uid="{00000000-0005-0000-0000-00000D600000}"/>
    <cellStyle name="Normal 2 28 3 2 4" xfId="24587" xr:uid="{00000000-0005-0000-0000-00000E600000}"/>
    <cellStyle name="Normal 2 28 3 2 5" xfId="24588" xr:uid="{00000000-0005-0000-0000-00000F600000}"/>
    <cellStyle name="Normal 2 28 3 2 6" xfId="24589" xr:uid="{00000000-0005-0000-0000-000010600000}"/>
    <cellStyle name="Normal 2 28 3 3" xfId="24590" xr:uid="{00000000-0005-0000-0000-000011600000}"/>
    <cellStyle name="Normal 2 28 3 3 2" xfId="24591" xr:uid="{00000000-0005-0000-0000-000012600000}"/>
    <cellStyle name="Normal 2 28 3 3 2 2" xfId="24592" xr:uid="{00000000-0005-0000-0000-000013600000}"/>
    <cellStyle name="Normal 2 28 3 3 3" xfId="24593" xr:uid="{00000000-0005-0000-0000-000014600000}"/>
    <cellStyle name="Normal 2 28 3 3 4" xfId="24594" xr:uid="{00000000-0005-0000-0000-000015600000}"/>
    <cellStyle name="Normal 2 28 3 3 5" xfId="24595" xr:uid="{00000000-0005-0000-0000-000016600000}"/>
    <cellStyle name="Normal 2 28 3 4" xfId="24596" xr:uid="{00000000-0005-0000-0000-000017600000}"/>
    <cellStyle name="Normal 2 28 3 4 2" xfId="24597" xr:uid="{00000000-0005-0000-0000-000018600000}"/>
    <cellStyle name="Normal 2 28 3 4 3" xfId="24598" xr:uid="{00000000-0005-0000-0000-000019600000}"/>
    <cellStyle name="Normal 2 28 3 4 4" xfId="24599" xr:uid="{00000000-0005-0000-0000-00001A600000}"/>
    <cellStyle name="Normal 2 28 3 5" xfId="24600" xr:uid="{00000000-0005-0000-0000-00001B600000}"/>
    <cellStyle name="Normal 2 28 3 5 2" xfId="24601" xr:uid="{00000000-0005-0000-0000-00001C600000}"/>
    <cellStyle name="Normal 2 28 3 6" xfId="24602" xr:uid="{00000000-0005-0000-0000-00001D600000}"/>
    <cellStyle name="Normal 2 28 3 7" xfId="24603" xr:uid="{00000000-0005-0000-0000-00001E600000}"/>
    <cellStyle name="Normal 2 28 3 8" xfId="24604" xr:uid="{00000000-0005-0000-0000-00001F600000}"/>
    <cellStyle name="Normal 2 28 3 9" xfId="24605" xr:uid="{00000000-0005-0000-0000-000020600000}"/>
    <cellStyle name="Normal 2 28 4" xfId="24606" xr:uid="{00000000-0005-0000-0000-000021600000}"/>
    <cellStyle name="Normal 2 28 4 2" xfId="24607" xr:uid="{00000000-0005-0000-0000-000022600000}"/>
    <cellStyle name="Normal 2 28 4 2 2" xfId="24608" xr:uid="{00000000-0005-0000-0000-000023600000}"/>
    <cellStyle name="Normal 2 28 4 3" xfId="24609" xr:uid="{00000000-0005-0000-0000-000024600000}"/>
    <cellStyle name="Normal 2 28 4 4" xfId="24610" xr:uid="{00000000-0005-0000-0000-000025600000}"/>
    <cellStyle name="Normal 2 28 4 5" xfId="24611" xr:uid="{00000000-0005-0000-0000-000026600000}"/>
    <cellStyle name="Normal 2 28 4 6" xfId="24612" xr:uid="{00000000-0005-0000-0000-000027600000}"/>
    <cellStyle name="Normal 2 28 5" xfId="24613" xr:uid="{00000000-0005-0000-0000-000028600000}"/>
    <cellStyle name="Normal 2 28 5 2" xfId="24614" xr:uid="{00000000-0005-0000-0000-000029600000}"/>
    <cellStyle name="Normal 2 28 5 3" xfId="24615" xr:uid="{00000000-0005-0000-0000-00002A600000}"/>
    <cellStyle name="Normal 2 28 6" xfId="24616" xr:uid="{00000000-0005-0000-0000-00002B600000}"/>
    <cellStyle name="Normal 2 28 6 2" xfId="24617" xr:uid="{00000000-0005-0000-0000-00002C600000}"/>
    <cellStyle name="Normal 2 28 7" xfId="24618" xr:uid="{00000000-0005-0000-0000-00002D600000}"/>
    <cellStyle name="Normal 2 28 8" xfId="24619" xr:uid="{00000000-0005-0000-0000-00002E600000}"/>
    <cellStyle name="Normal 2 29" xfId="24620" xr:uid="{00000000-0005-0000-0000-00002F600000}"/>
    <cellStyle name="Normal 2 29 2" xfId="24621" xr:uid="{00000000-0005-0000-0000-000030600000}"/>
    <cellStyle name="Normal 2 29 2 2" xfId="24622" xr:uid="{00000000-0005-0000-0000-000031600000}"/>
    <cellStyle name="Normal 2 29 2 2 2" xfId="24623" xr:uid="{00000000-0005-0000-0000-000032600000}"/>
    <cellStyle name="Normal 2 29 2 3" xfId="24624" xr:uid="{00000000-0005-0000-0000-000033600000}"/>
    <cellStyle name="Normal 2 29 3" xfId="24625" xr:uid="{00000000-0005-0000-0000-000034600000}"/>
    <cellStyle name="Normal 2 29 3 2" xfId="24626" xr:uid="{00000000-0005-0000-0000-000035600000}"/>
    <cellStyle name="Normal 2 29 3 2 2" xfId="24627" xr:uid="{00000000-0005-0000-0000-000036600000}"/>
    <cellStyle name="Normal 2 29 3 2 2 2" xfId="24628" xr:uid="{00000000-0005-0000-0000-000037600000}"/>
    <cellStyle name="Normal 2 29 3 2 2 3" xfId="24629" xr:uid="{00000000-0005-0000-0000-000038600000}"/>
    <cellStyle name="Normal 2 29 3 2 3" xfId="24630" xr:uid="{00000000-0005-0000-0000-000039600000}"/>
    <cellStyle name="Normal 2 29 3 2 4" xfId="24631" xr:uid="{00000000-0005-0000-0000-00003A600000}"/>
    <cellStyle name="Normal 2 29 3 2 5" xfId="24632" xr:uid="{00000000-0005-0000-0000-00003B600000}"/>
    <cellStyle name="Normal 2 29 3 2 6" xfId="24633" xr:uid="{00000000-0005-0000-0000-00003C600000}"/>
    <cellStyle name="Normal 2 29 3 3" xfId="24634" xr:uid="{00000000-0005-0000-0000-00003D600000}"/>
    <cellStyle name="Normal 2 29 3 3 2" xfId="24635" xr:uid="{00000000-0005-0000-0000-00003E600000}"/>
    <cellStyle name="Normal 2 29 3 3 2 2" xfId="24636" xr:uid="{00000000-0005-0000-0000-00003F600000}"/>
    <cellStyle name="Normal 2 29 3 3 3" xfId="24637" xr:uid="{00000000-0005-0000-0000-000040600000}"/>
    <cellStyle name="Normal 2 29 3 3 4" xfId="24638" xr:uid="{00000000-0005-0000-0000-000041600000}"/>
    <cellStyle name="Normal 2 29 3 3 5" xfId="24639" xr:uid="{00000000-0005-0000-0000-000042600000}"/>
    <cellStyle name="Normal 2 29 3 4" xfId="24640" xr:uid="{00000000-0005-0000-0000-000043600000}"/>
    <cellStyle name="Normal 2 29 3 4 2" xfId="24641" xr:uid="{00000000-0005-0000-0000-000044600000}"/>
    <cellStyle name="Normal 2 29 3 4 3" xfId="24642" xr:uid="{00000000-0005-0000-0000-000045600000}"/>
    <cellStyle name="Normal 2 29 3 4 4" xfId="24643" xr:uid="{00000000-0005-0000-0000-000046600000}"/>
    <cellStyle name="Normal 2 29 3 5" xfId="24644" xr:uid="{00000000-0005-0000-0000-000047600000}"/>
    <cellStyle name="Normal 2 29 3 5 2" xfId="24645" xr:uid="{00000000-0005-0000-0000-000048600000}"/>
    <cellStyle name="Normal 2 29 3 6" xfId="24646" xr:uid="{00000000-0005-0000-0000-000049600000}"/>
    <cellStyle name="Normal 2 29 3 7" xfId="24647" xr:uid="{00000000-0005-0000-0000-00004A600000}"/>
    <cellStyle name="Normal 2 29 3 8" xfId="24648" xr:uid="{00000000-0005-0000-0000-00004B600000}"/>
    <cellStyle name="Normal 2 29 3 9" xfId="24649" xr:uid="{00000000-0005-0000-0000-00004C600000}"/>
    <cellStyle name="Normal 2 29 4" xfId="24650" xr:uid="{00000000-0005-0000-0000-00004D600000}"/>
    <cellStyle name="Normal 2 29 4 2" xfId="24651" xr:uid="{00000000-0005-0000-0000-00004E600000}"/>
    <cellStyle name="Normal 2 29 4 2 2" xfId="24652" xr:uid="{00000000-0005-0000-0000-00004F600000}"/>
    <cellStyle name="Normal 2 29 4 3" xfId="24653" xr:uid="{00000000-0005-0000-0000-000050600000}"/>
    <cellStyle name="Normal 2 29 4 4" xfId="24654" xr:uid="{00000000-0005-0000-0000-000051600000}"/>
    <cellStyle name="Normal 2 29 4 5" xfId="24655" xr:uid="{00000000-0005-0000-0000-000052600000}"/>
    <cellStyle name="Normal 2 29 4 6" xfId="24656" xr:uid="{00000000-0005-0000-0000-000053600000}"/>
    <cellStyle name="Normal 2 29 5" xfId="24657" xr:uid="{00000000-0005-0000-0000-000054600000}"/>
    <cellStyle name="Normal 2 29 5 2" xfId="24658" xr:uid="{00000000-0005-0000-0000-000055600000}"/>
    <cellStyle name="Normal 2 29 5 3" xfId="24659" xr:uid="{00000000-0005-0000-0000-000056600000}"/>
    <cellStyle name="Normal 2 29 6" xfId="24660" xr:uid="{00000000-0005-0000-0000-000057600000}"/>
    <cellStyle name="Normal 2 29 6 2" xfId="24661" xr:uid="{00000000-0005-0000-0000-000058600000}"/>
    <cellStyle name="Normal 2 29 7" xfId="24662" xr:uid="{00000000-0005-0000-0000-000059600000}"/>
    <cellStyle name="Normal 2 29 8" xfId="24663" xr:uid="{00000000-0005-0000-0000-00005A600000}"/>
    <cellStyle name="Normal 2 3" xfId="24664" xr:uid="{00000000-0005-0000-0000-00005B600000}"/>
    <cellStyle name="Normal 2 3 2" xfId="24665" xr:uid="{00000000-0005-0000-0000-00005C600000}"/>
    <cellStyle name="Normal 2 3 2 10" xfId="24666" xr:uid="{00000000-0005-0000-0000-00005D600000}"/>
    <cellStyle name="Normal 2 3 2 10 10" xfId="24667" xr:uid="{00000000-0005-0000-0000-00005E600000}"/>
    <cellStyle name="Normal 2 3 2 10 2" xfId="24668" xr:uid="{00000000-0005-0000-0000-00005F600000}"/>
    <cellStyle name="Normal 2 3 2 10 2 2" xfId="24669" xr:uid="{00000000-0005-0000-0000-000060600000}"/>
    <cellStyle name="Normal 2 3 2 10 2 2 2" xfId="24670" xr:uid="{00000000-0005-0000-0000-000061600000}"/>
    <cellStyle name="Normal 2 3 2 10 2 2 3" xfId="24671" xr:uid="{00000000-0005-0000-0000-000062600000}"/>
    <cellStyle name="Normal 2 3 2 10 2 3" xfId="24672" xr:uid="{00000000-0005-0000-0000-000063600000}"/>
    <cellStyle name="Normal 2 3 2 10 2 4" xfId="24673" xr:uid="{00000000-0005-0000-0000-000064600000}"/>
    <cellStyle name="Normal 2 3 2 10 2 5" xfId="24674" xr:uid="{00000000-0005-0000-0000-000065600000}"/>
    <cellStyle name="Normal 2 3 2 10 2 6" xfId="24675" xr:uid="{00000000-0005-0000-0000-000066600000}"/>
    <cellStyle name="Normal 2 3 2 10 3" xfId="24676" xr:uid="{00000000-0005-0000-0000-000067600000}"/>
    <cellStyle name="Normal 2 3 2 10 3 2" xfId="24677" xr:uid="{00000000-0005-0000-0000-000068600000}"/>
    <cellStyle name="Normal 2 3 2 10 3 2 2" xfId="24678" xr:uid="{00000000-0005-0000-0000-000069600000}"/>
    <cellStyle name="Normal 2 3 2 10 3 2 3" xfId="24679" xr:uid="{00000000-0005-0000-0000-00006A600000}"/>
    <cellStyle name="Normal 2 3 2 10 3 3" xfId="24680" xr:uid="{00000000-0005-0000-0000-00006B600000}"/>
    <cellStyle name="Normal 2 3 2 10 3 4" xfId="24681" xr:uid="{00000000-0005-0000-0000-00006C600000}"/>
    <cellStyle name="Normal 2 3 2 10 3 5" xfId="24682" xr:uid="{00000000-0005-0000-0000-00006D600000}"/>
    <cellStyle name="Normal 2 3 2 10 3 6" xfId="24683" xr:uid="{00000000-0005-0000-0000-00006E600000}"/>
    <cellStyle name="Normal 2 3 2 10 4" xfId="24684" xr:uid="{00000000-0005-0000-0000-00006F600000}"/>
    <cellStyle name="Normal 2 3 2 10 4 2" xfId="24685" xr:uid="{00000000-0005-0000-0000-000070600000}"/>
    <cellStyle name="Normal 2 3 2 10 4 2 2" xfId="24686" xr:uid="{00000000-0005-0000-0000-000071600000}"/>
    <cellStyle name="Normal 2 3 2 10 4 3" xfId="24687" xr:uid="{00000000-0005-0000-0000-000072600000}"/>
    <cellStyle name="Normal 2 3 2 10 4 4" xfId="24688" xr:uid="{00000000-0005-0000-0000-000073600000}"/>
    <cellStyle name="Normal 2 3 2 10 4 5" xfId="24689" xr:uid="{00000000-0005-0000-0000-000074600000}"/>
    <cellStyle name="Normal 2 3 2 10 5" xfId="24690" xr:uid="{00000000-0005-0000-0000-000075600000}"/>
    <cellStyle name="Normal 2 3 2 10 5 2" xfId="24691" xr:uid="{00000000-0005-0000-0000-000076600000}"/>
    <cellStyle name="Normal 2 3 2 10 5 3" xfId="24692" xr:uid="{00000000-0005-0000-0000-000077600000}"/>
    <cellStyle name="Normal 2 3 2 10 5 4" xfId="24693" xr:uid="{00000000-0005-0000-0000-000078600000}"/>
    <cellStyle name="Normal 2 3 2 10 6" xfId="24694" xr:uid="{00000000-0005-0000-0000-000079600000}"/>
    <cellStyle name="Normal 2 3 2 10 6 2" xfId="24695" xr:uid="{00000000-0005-0000-0000-00007A600000}"/>
    <cellStyle name="Normal 2 3 2 10 7" xfId="24696" xr:uid="{00000000-0005-0000-0000-00007B600000}"/>
    <cellStyle name="Normal 2 3 2 10 8" xfId="24697" xr:uid="{00000000-0005-0000-0000-00007C600000}"/>
    <cellStyle name="Normal 2 3 2 10 9" xfId="24698" xr:uid="{00000000-0005-0000-0000-00007D600000}"/>
    <cellStyle name="Normal 2 3 2 11" xfId="24699" xr:uid="{00000000-0005-0000-0000-00007E600000}"/>
    <cellStyle name="Normal 2 3 2 11 10" xfId="24700" xr:uid="{00000000-0005-0000-0000-00007F600000}"/>
    <cellStyle name="Normal 2 3 2 11 2" xfId="24701" xr:uid="{00000000-0005-0000-0000-000080600000}"/>
    <cellStyle name="Normal 2 3 2 11 2 2" xfId="24702" xr:uid="{00000000-0005-0000-0000-000081600000}"/>
    <cellStyle name="Normal 2 3 2 11 2 2 2" xfId="24703" xr:uid="{00000000-0005-0000-0000-000082600000}"/>
    <cellStyle name="Normal 2 3 2 11 2 2 3" xfId="24704" xr:uid="{00000000-0005-0000-0000-000083600000}"/>
    <cellStyle name="Normal 2 3 2 11 2 3" xfId="24705" xr:uid="{00000000-0005-0000-0000-000084600000}"/>
    <cellStyle name="Normal 2 3 2 11 2 4" xfId="24706" xr:uid="{00000000-0005-0000-0000-000085600000}"/>
    <cellStyle name="Normal 2 3 2 11 2 5" xfId="24707" xr:uid="{00000000-0005-0000-0000-000086600000}"/>
    <cellStyle name="Normal 2 3 2 11 2 6" xfId="24708" xr:uid="{00000000-0005-0000-0000-000087600000}"/>
    <cellStyle name="Normal 2 3 2 11 3" xfId="24709" xr:uid="{00000000-0005-0000-0000-000088600000}"/>
    <cellStyle name="Normal 2 3 2 11 3 2" xfId="24710" xr:uid="{00000000-0005-0000-0000-000089600000}"/>
    <cellStyle name="Normal 2 3 2 11 3 2 2" xfId="24711" xr:uid="{00000000-0005-0000-0000-00008A600000}"/>
    <cellStyle name="Normal 2 3 2 11 3 2 3" xfId="24712" xr:uid="{00000000-0005-0000-0000-00008B600000}"/>
    <cellStyle name="Normal 2 3 2 11 3 3" xfId="24713" xr:uid="{00000000-0005-0000-0000-00008C600000}"/>
    <cellStyle name="Normal 2 3 2 11 3 4" xfId="24714" xr:uid="{00000000-0005-0000-0000-00008D600000}"/>
    <cellStyle name="Normal 2 3 2 11 3 5" xfId="24715" xr:uid="{00000000-0005-0000-0000-00008E600000}"/>
    <cellStyle name="Normal 2 3 2 11 3 6" xfId="24716" xr:uid="{00000000-0005-0000-0000-00008F600000}"/>
    <cellStyle name="Normal 2 3 2 11 4" xfId="24717" xr:uid="{00000000-0005-0000-0000-000090600000}"/>
    <cellStyle name="Normal 2 3 2 11 4 2" xfId="24718" xr:uid="{00000000-0005-0000-0000-000091600000}"/>
    <cellStyle name="Normal 2 3 2 11 4 2 2" xfId="24719" xr:uid="{00000000-0005-0000-0000-000092600000}"/>
    <cellStyle name="Normal 2 3 2 11 4 3" xfId="24720" xr:uid="{00000000-0005-0000-0000-000093600000}"/>
    <cellStyle name="Normal 2 3 2 11 4 4" xfId="24721" xr:uid="{00000000-0005-0000-0000-000094600000}"/>
    <cellStyle name="Normal 2 3 2 11 4 5" xfId="24722" xr:uid="{00000000-0005-0000-0000-000095600000}"/>
    <cellStyle name="Normal 2 3 2 11 5" xfId="24723" xr:uid="{00000000-0005-0000-0000-000096600000}"/>
    <cellStyle name="Normal 2 3 2 11 5 2" xfId="24724" xr:uid="{00000000-0005-0000-0000-000097600000}"/>
    <cellStyle name="Normal 2 3 2 11 5 3" xfId="24725" xr:uid="{00000000-0005-0000-0000-000098600000}"/>
    <cellStyle name="Normal 2 3 2 11 5 4" xfId="24726" xr:uid="{00000000-0005-0000-0000-000099600000}"/>
    <cellStyle name="Normal 2 3 2 11 6" xfId="24727" xr:uid="{00000000-0005-0000-0000-00009A600000}"/>
    <cellStyle name="Normal 2 3 2 11 6 2" xfId="24728" xr:uid="{00000000-0005-0000-0000-00009B600000}"/>
    <cellStyle name="Normal 2 3 2 11 7" xfId="24729" xr:uid="{00000000-0005-0000-0000-00009C600000}"/>
    <cellStyle name="Normal 2 3 2 11 8" xfId="24730" xr:uid="{00000000-0005-0000-0000-00009D600000}"/>
    <cellStyle name="Normal 2 3 2 11 9" xfId="24731" xr:uid="{00000000-0005-0000-0000-00009E600000}"/>
    <cellStyle name="Normal 2 3 2 12" xfId="24732" xr:uid="{00000000-0005-0000-0000-00009F600000}"/>
    <cellStyle name="Normal 2 3 2 12 10" xfId="24733" xr:uid="{00000000-0005-0000-0000-0000A0600000}"/>
    <cellStyle name="Normal 2 3 2 12 2" xfId="24734" xr:uid="{00000000-0005-0000-0000-0000A1600000}"/>
    <cellStyle name="Normal 2 3 2 12 2 2" xfId="24735" xr:uid="{00000000-0005-0000-0000-0000A2600000}"/>
    <cellStyle name="Normal 2 3 2 12 2 2 2" xfId="24736" xr:uid="{00000000-0005-0000-0000-0000A3600000}"/>
    <cellStyle name="Normal 2 3 2 12 2 2 3" xfId="24737" xr:uid="{00000000-0005-0000-0000-0000A4600000}"/>
    <cellStyle name="Normal 2 3 2 12 2 3" xfId="24738" xr:uid="{00000000-0005-0000-0000-0000A5600000}"/>
    <cellStyle name="Normal 2 3 2 12 2 4" xfId="24739" xr:uid="{00000000-0005-0000-0000-0000A6600000}"/>
    <cellStyle name="Normal 2 3 2 12 2 5" xfId="24740" xr:uid="{00000000-0005-0000-0000-0000A7600000}"/>
    <cellStyle name="Normal 2 3 2 12 2 6" xfId="24741" xr:uid="{00000000-0005-0000-0000-0000A8600000}"/>
    <cellStyle name="Normal 2 3 2 12 3" xfId="24742" xr:uid="{00000000-0005-0000-0000-0000A9600000}"/>
    <cellStyle name="Normal 2 3 2 12 3 2" xfId="24743" xr:uid="{00000000-0005-0000-0000-0000AA600000}"/>
    <cellStyle name="Normal 2 3 2 12 3 2 2" xfId="24744" xr:uid="{00000000-0005-0000-0000-0000AB600000}"/>
    <cellStyle name="Normal 2 3 2 12 3 2 3" xfId="24745" xr:uid="{00000000-0005-0000-0000-0000AC600000}"/>
    <cellStyle name="Normal 2 3 2 12 3 3" xfId="24746" xr:uid="{00000000-0005-0000-0000-0000AD600000}"/>
    <cellStyle name="Normal 2 3 2 12 3 4" xfId="24747" xr:uid="{00000000-0005-0000-0000-0000AE600000}"/>
    <cellStyle name="Normal 2 3 2 12 3 5" xfId="24748" xr:uid="{00000000-0005-0000-0000-0000AF600000}"/>
    <cellStyle name="Normal 2 3 2 12 3 6" xfId="24749" xr:uid="{00000000-0005-0000-0000-0000B0600000}"/>
    <cellStyle name="Normal 2 3 2 12 4" xfId="24750" xr:uid="{00000000-0005-0000-0000-0000B1600000}"/>
    <cellStyle name="Normal 2 3 2 12 4 2" xfId="24751" xr:uid="{00000000-0005-0000-0000-0000B2600000}"/>
    <cellStyle name="Normal 2 3 2 12 4 2 2" xfId="24752" xr:uid="{00000000-0005-0000-0000-0000B3600000}"/>
    <cellStyle name="Normal 2 3 2 12 4 3" xfId="24753" xr:uid="{00000000-0005-0000-0000-0000B4600000}"/>
    <cellStyle name="Normal 2 3 2 12 4 4" xfId="24754" xr:uid="{00000000-0005-0000-0000-0000B5600000}"/>
    <cellStyle name="Normal 2 3 2 12 4 5" xfId="24755" xr:uid="{00000000-0005-0000-0000-0000B6600000}"/>
    <cellStyle name="Normal 2 3 2 12 5" xfId="24756" xr:uid="{00000000-0005-0000-0000-0000B7600000}"/>
    <cellStyle name="Normal 2 3 2 12 5 2" xfId="24757" xr:uid="{00000000-0005-0000-0000-0000B8600000}"/>
    <cellStyle name="Normal 2 3 2 12 5 3" xfId="24758" xr:uid="{00000000-0005-0000-0000-0000B9600000}"/>
    <cellStyle name="Normal 2 3 2 12 5 4" xfId="24759" xr:uid="{00000000-0005-0000-0000-0000BA600000}"/>
    <cellStyle name="Normal 2 3 2 12 6" xfId="24760" xr:uid="{00000000-0005-0000-0000-0000BB600000}"/>
    <cellStyle name="Normal 2 3 2 12 6 2" xfId="24761" xr:uid="{00000000-0005-0000-0000-0000BC600000}"/>
    <cellStyle name="Normal 2 3 2 12 7" xfId="24762" xr:uid="{00000000-0005-0000-0000-0000BD600000}"/>
    <cellStyle name="Normal 2 3 2 12 8" xfId="24763" xr:uid="{00000000-0005-0000-0000-0000BE600000}"/>
    <cellStyle name="Normal 2 3 2 12 9" xfId="24764" xr:uid="{00000000-0005-0000-0000-0000BF600000}"/>
    <cellStyle name="Normal 2 3 2 13" xfId="24765" xr:uid="{00000000-0005-0000-0000-0000C0600000}"/>
    <cellStyle name="Normal 2 3 2 13 2" xfId="24766" xr:uid="{00000000-0005-0000-0000-0000C1600000}"/>
    <cellStyle name="Normal 2 3 2 13 2 2" xfId="24767" xr:uid="{00000000-0005-0000-0000-0000C2600000}"/>
    <cellStyle name="Normal 2 3 2 13 2 2 2" xfId="24768" xr:uid="{00000000-0005-0000-0000-0000C3600000}"/>
    <cellStyle name="Normal 2 3 2 13 2 2 3" xfId="24769" xr:uid="{00000000-0005-0000-0000-0000C4600000}"/>
    <cellStyle name="Normal 2 3 2 13 2 3" xfId="24770" xr:uid="{00000000-0005-0000-0000-0000C5600000}"/>
    <cellStyle name="Normal 2 3 2 13 2 4" xfId="24771" xr:uid="{00000000-0005-0000-0000-0000C6600000}"/>
    <cellStyle name="Normal 2 3 2 13 2 5" xfId="24772" xr:uid="{00000000-0005-0000-0000-0000C7600000}"/>
    <cellStyle name="Normal 2 3 2 13 2 6" xfId="24773" xr:uid="{00000000-0005-0000-0000-0000C8600000}"/>
    <cellStyle name="Normal 2 3 2 13 3" xfId="24774" xr:uid="{00000000-0005-0000-0000-0000C9600000}"/>
    <cellStyle name="Normal 2 3 2 13 3 2" xfId="24775" xr:uid="{00000000-0005-0000-0000-0000CA600000}"/>
    <cellStyle name="Normal 2 3 2 13 3 2 2" xfId="24776" xr:uid="{00000000-0005-0000-0000-0000CB600000}"/>
    <cellStyle name="Normal 2 3 2 13 3 3" xfId="24777" xr:uid="{00000000-0005-0000-0000-0000CC600000}"/>
    <cellStyle name="Normal 2 3 2 13 3 4" xfId="24778" xr:uid="{00000000-0005-0000-0000-0000CD600000}"/>
    <cellStyle name="Normal 2 3 2 13 3 5" xfId="24779" xr:uid="{00000000-0005-0000-0000-0000CE600000}"/>
    <cellStyle name="Normal 2 3 2 13 4" xfId="24780" xr:uid="{00000000-0005-0000-0000-0000CF600000}"/>
    <cellStyle name="Normal 2 3 2 13 4 2" xfId="24781" xr:uid="{00000000-0005-0000-0000-0000D0600000}"/>
    <cellStyle name="Normal 2 3 2 13 4 3" xfId="24782" xr:uid="{00000000-0005-0000-0000-0000D1600000}"/>
    <cellStyle name="Normal 2 3 2 13 4 4" xfId="24783" xr:uid="{00000000-0005-0000-0000-0000D2600000}"/>
    <cellStyle name="Normal 2 3 2 13 5" xfId="24784" xr:uid="{00000000-0005-0000-0000-0000D3600000}"/>
    <cellStyle name="Normal 2 3 2 13 5 2" xfId="24785" xr:uid="{00000000-0005-0000-0000-0000D4600000}"/>
    <cellStyle name="Normal 2 3 2 13 6" xfId="24786" xr:uid="{00000000-0005-0000-0000-0000D5600000}"/>
    <cellStyle name="Normal 2 3 2 13 7" xfId="24787" xr:uid="{00000000-0005-0000-0000-0000D6600000}"/>
    <cellStyle name="Normal 2 3 2 13 8" xfId="24788" xr:uid="{00000000-0005-0000-0000-0000D7600000}"/>
    <cellStyle name="Normal 2 3 2 13 9" xfId="24789" xr:uid="{00000000-0005-0000-0000-0000D8600000}"/>
    <cellStyle name="Normal 2 3 2 14" xfId="24790" xr:uid="{00000000-0005-0000-0000-0000D9600000}"/>
    <cellStyle name="Normal 2 3 2 14 2" xfId="24791" xr:uid="{00000000-0005-0000-0000-0000DA600000}"/>
    <cellStyle name="Normal 2 3 2 14 2 2" xfId="24792" xr:uid="{00000000-0005-0000-0000-0000DB600000}"/>
    <cellStyle name="Normal 2 3 2 14 2 2 2" xfId="24793" xr:uid="{00000000-0005-0000-0000-0000DC600000}"/>
    <cellStyle name="Normal 2 3 2 14 2 2 3" xfId="24794" xr:uid="{00000000-0005-0000-0000-0000DD600000}"/>
    <cellStyle name="Normal 2 3 2 14 2 3" xfId="24795" xr:uid="{00000000-0005-0000-0000-0000DE600000}"/>
    <cellStyle name="Normal 2 3 2 14 2 4" xfId="24796" xr:uid="{00000000-0005-0000-0000-0000DF600000}"/>
    <cellStyle name="Normal 2 3 2 14 2 5" xfId="24797" xr:uid="{00000000-0005-0000-0000-0000E0600000}"/>
    <cellStyle name="Normal 2 3 2 14 2 6" xfId="24798" xr:uid="{00000000-0005-0000-0000-0000E1600000}"/>
    <cellStyle name="Normal 2 3 2 14 3" xfId="24799" xr:uid="{00000000-0005-0000-0000-0000E2600000}"/>
    <cellStyle name="Normal 2 3 2 14 3 2" xfId="24800" xr:uid="{00000000-0005-0000-0000-0000E3600000}"/>
    <cellStyle name="Normal 2 3 2 14 3 2 2" xfId="24801" xr:uid="{00000000-0005-0000-0000-0000E4600000}"/>
    <cellStyle name="Normal 2 3 2 14 3 3" xfId="24802" xr:uid="{00000000-0005-0000-0000-0000E5600000}"/>
    <cellStyle name="Normal 2 3 2 14 3 4" xfId="24803" xr:uid="{00000000-0005-0000-0000-0000E6600000}"/>
    <cellStyle name="Normal 2 3 2 14 3 5" xfId="24804" xr:uid="{00000000-0005-0000-0000-0000E7600000}"/>
    <cellStyle name="Normal 2 3 2 14 4" xfId="24805" xr:uid="{00000000-0005-0000-0000-0000E8600000}"/>
    <cellStyle name="Normal 2 3 2 14 4 2" xfId="24806" xr:uid="{00000000-0005-0000-0000-0000E9600000}"/>
    <cellStyle name="Normal 2 3 2 14 4 3" xfId="24807" xr:uid="{00000000-0005-0000-0000-0000EA600000}"/>
    <cellStyle name="Normal 2 3 2 14 4 4" xfId="24808" xr:uid="{00000000-0005-0000-0000-0000EB600000}"/>
    <cellStyle name="Normal 2 3 2 14 5" xfId="24809" xr:uid="{00000000-0005-0000-0000-0000EC600000}"/>
    <cellStyle name="Normal 2 3 2 14 5 2" xfId="24810" xr:uid="{00000000-0005-0000-0000-0000ED600000}"/>
    <cellStyle name="Normal 2 3 2 14 6" xfId="24811" xr:uid="{00000000-0005-0000-0000-0000EE600000}"/>
    <cellStyle name="Normal 2 3 2 14 7" xfId="24812" xr:uid="{00000000-0005-0000-0000-0000EF600000}"/>
    <cellStyle name="Normal 2 3 2 14 8" xfId="24813" xr:uid="{00000000-0005-0000-0000-0000F0600000}"/>
    <cellStyle name="Normal 2 3 2 14 9" xfId="24814" xr:uid="{00000000-0005-0000-0000-0000F1600000}"/>
    <cellStyle name="Normal 2 3 2 15" xfId="24815" xr:uid="{00000000-0005-0000-0000-0000F2600000}"/>
    <cellStyle name="Normal 2 3 2 15 2" xfId="24816" xr:uid="{00000000-0005-0000-0000-0000F3600000}"/>
    <cellStyle name="Normal 2 3 2 15 2 2" xfId="24817" xr:uid="{00000000-0005-0000-0000-0000F4600000}"/>
    <cellStyle name="Normal 2 3 2 15 2 3" xfId="24818" xr:uid="{00000000-0005-0000-0000-0000F5600000}"/>
    <cellStyle name="Normal 2 3 2 15 3" xfId="24819" xr:uid="{00000000-0005-0000-0000-0000F6600000}"/>
    <cellStyle name="Normal 2 3 2 15 4" xfId="24820" xr:uid="{00000000-0005-0000-0000-0000F7600000}"/>
    <cellStyle name="Normal 2 3 2 15 5" xfId="24821" xr:uid="{00000000-0005-0000-0000-0000F8600000}"/>
    <cellStyle name="Normal 2 3 2 15 6" xfId="24822" xr:uid="{00000000-0005-0000-0000-0000F9600000}"/>
    <cellStyle name="Normal 2 3 2 16" xfId="24823" xr:uid="{00000000-0005-0000-0000-0000FA600000}"/>
    <cellStyle name="Normal 2 3 2 16 2" xfId="24824" xr:uid="{00000000-0005-0000-0000-0000FB600000}"/>
    <cellStyle name="Normal 2 3 2 16 2 2" xfId="24825" xr:uid="{00000000-0005-0000-0000-0000FC600000}"/>
    <cellStyle name="Normal 2 3 2 16 3" xfId="24826" xr:uid="{00000000-0005-0000-0000-0000FD600000}"/>
    <cellStyle name="Normal 2 3 2 16 4" xfId="24827" xr:uid="{00000000-0005-0000-0000-0000FE600000}"/>
    <cellStyle name="Normal 2 3 2 16 5" xfId="24828" xr:uid="{00000000-0005-0000-0000-0000FF600000}"/>
    <cellStyle name="Normal 2 3 2 17" xfId="24829" xr:uid="{00000000-0005-0000-0000-000000610000}"/>
    <cellStyle name="Normal 2 3 2 17 2" xfId="24830" xr:uid="{00000000-0005-0000-0000-000001610000}"/>
    <cellStyle name="Normal 2 3 2 17 2 2" xfId="24831" xr:uid="{00000000-0005-0000-0000-000002610000}"/>
    <cellStyle name="Normal 2 3 2 17 3" xfId="24832" xr:uid="{00000000-0005-0000-0000-000003610000}"/>
    <cellStyle name="Normal 2 3 2 17 4" xfId="24833" xr:uid="{00000000-0005-0000-0000-000004610000}"/>
    <cellStyle name="Normal 2 3 2 17 5" xfId="24834" xr:uid="{00000000-0005-0000-0000-000005610000}"/>
    <cellStyle name="Normal 2 3 2 18" xfId="24835" xr:uid="{00000000-0005-0000-0000-000006610000}"/>
    <cellStyle name="Normal 2 3 2 18 2" xfId="24836" xr:uid="{00000000-0005-0000-0000-000007610000}"/>
    <cellStyle name="Normal 2 3 2 19" xfId="24837" xr:uid="{00000000-0005-0000-0000-000008610000}"/>
    <cellStyle name="Normal 2 3 2 2" xfId="24838" xr:uid="{00000000-0005-0000-0000-000009610000}"/>
    <cellStyle name="Normal 2 3 2 2 10" xfId="24839" xr:uid="{00000000-0005-0000-0000-00000A610000}"/>
    <cellStyle name="Normal 2 3 2 2 11" xfId="24840" xr:uid="{00000000-0005-0000-0000-00000B610000}"/>
    <cellStyle name="Normal 2 3 2 2 2" xfId="24841" xr:uid="{00000000-0005-0000-0000-00000C610000}"/>
    <cellStyle name="Normal 2 3 2 2 2 2" xfId="24842" xr:uid="{00000000-0005-0000-0000-00000D610000}"/>
    <cellStyle name="Normal 2 3 2 2 2 2 2" xfId="24843" xr:uid="{00000000-0005-0000-0000-00000E610000}"/>
    <cellStyle name="Normal 2 3 2 2 2 2 2 2" xfId="24844" xr:uid="{00000000-0005-0000-0000-00000F610000}"/>
    <cellStyle name="Normal 2 3 2 2 2 2 2 3" xfId="24845" xr:uid="{00000000-0005-0000-0000-000010610000}"/>
    <cellStyle name="Normal 2 3 2 2 2 2 3" xfId="24846" xr:uid="{00000000-0005-0000-0000-000011610000}"/>
    <cellStyle name="Normal 2 3 2 2 2 2 4" xfId="24847" xr:uid="{00000000-0005-0000-0000-000012610000}"/>
    <cellStyle name="Normal 2 3 2 2 2 2 5" xfId="24848" xr:uid="{00000000-0005-0000-0000-000013610000}"/>
    <cellStyle name="Normal 2 3 2 2 2 2 6" xfId="24849" xr:uid="{00000000-0005-0000-0000-000014610000}"/>
    <cellStyle name="Normal 2 3 2 2 2 3" xfId="24850" xr:uid="{00000000-0005-0000-0000-000015610000}"/>
    <cellStyle name="Normal 2 3 2 2 2 3 2" xfId="24851" xr:uid="{00000000-0005-0000-0000-000016610000}"/>
    <cellStyle name="Normal 2 3 2 2 2 3 2 2" xfId="24852" xr:uid="{00000000-0005-0000-0000-000017610000}"/>
    <cellStyle name="Normal 2 3 2 2 2 3 3" xfId="24853" xr:uid="{00000000-0005-0000-0000-000018610000}"/>
    <cellStyle name="Normal 2 3 2 2 2 3 4" xfId="24854" xr:uid="{00000000-0005-0000-0000-000019610000}"/>
    <cellStyle name="Normal 2 3 2 2 2 3 5" xfId="24855" xr:uid="{00000000-0005-0000-0000-00001A610000}"/>
    <cellStyle name="Normal 2 3 2 2 2 4" xfId="24856" xr:uid="{00000000-0005-0000-0000-00001B610000}"/>
    <cellStyle name="Normal 2 3 2 2 2 4 2" xfId="24857" xr:uid="{00000000-0005-0000-0000-00001C610000}"/>
    <cellStyle name="Normal 2 3 2 2 2 4 3" xfId="24858" xr:uid="{00000000-0005-0000-0000-00001D610000}"/>
    <cellStyle name="Normal 2 3 2 2 2 4 4" xfId="24859" xr:uid="{00000000-0005-0000-0000-00001E610000}"/>
    <cellStyle name="Normal 2 3 2 2 2 5" xfId="24860" xr:uid="{00000000-0005-0000-0000-00001F610000}"/>
    <cellStyle name="Normal 2 3 2 2 2 5 2" xfId="24861" xr:uid="{00000000-0005-0000-0000-000020610000}"/>
    <cellStyle name="Normal 2 3 2 2 2 6" xfId="24862" xr:uid="{00000000-0005-0000-0000-000021610000}"/>
    <cellStyle name="Normal 2 3 2 2 2 7" xfId="24863" xr:uid="{00000000-0005-0000-0000-000022610000}"/>
    <cellStyle name="Normal 2 3 2 2 2 8" xfId="24864" xr:uid="{00000000-0005-0000-0000-000023610000}"/>
    <cellStyle name="Normal 2 3 2 2 2 9" xfId="24865" xr:uid="{00000000-0005-0000-0000-000024610000}"/>
    <cellStyle name="Normal 2 3 2 2 3" xfId="24866" xr:uid="{00000000-0005-0000-0000-000025610000}"/>
    <cellStyle name="Normal 2 3 2 2 3 2" xfId="24867" xr:uid="{00000000-0005-0000-0000-000026610000}"/>
    <cellStyle name="Normal 2 3 2 2 3 2 2" xfId="24868" xr:uid="{00000000-0005-0000-0000-000027610000}"/>
    <cellStyle name="Normal 2 3 2 2 3 2 2 2" xfId="24869" xr:uid="{00000000-0005-0000-0000-000028610000}"/>
    <cellStyle name="Normal 2 3 2 2 3 2 2 3" xfId="24870" xr:uid="{00000000-0005-0000-0000-000029610000}"/>
    <cellStyle name="Normal 2 3 2 2 3 2 3" xfId="24871" xr:uid="{00000000-0005-0000-0000-00002A610000}"/>
    <cellStyle name="Normal 2 3 2 2 3 2 4" xfId="24872" xr:uid="{00000000-0005-0000-0000-00002B610000}"/>
    <cellStyle name="Normal 2 3 2 2 3 2 5" xfId="24873" xr:uid="{00000000-0005-0000-0000-00002C610000}"/>
    <cellStyle name="Normal 2 3 2 2 3 2 6" xfId="24874" xr:uid="{00000000-0005-0000-0000-00002D610000}"/>
    <cellStyle name="Normal 2 3 2 2 3 3" xfId="24875" xr:uid="{00000000-0005-0000-0000-00002E610000}"/>
    <cellStyle name="Normal 2 3 2 2 3 3 2" xfId="24876" xr:uid="{00000000-0005-0000-0000-00002F610000}"/>
    <cellStyle name="Normal 2 3 2 2 3 3 2 2" xfId="24877" xr:uid="{00000000-0005-0000-0000-000030610000}"/>
    <cellStyle name="Normal 2 3 2 2 3 3 3" xfId="24878" xr:uid="{00000000-0005-0000-0000-000031610000}"/>
    <cellStyle name="Normal 2 3 2 2 3 3 4" xfId="24879" xr:uid="{00000000-0005-0000-0000-000032610000}"/>
    <cellStyle name="Normal 2 3 2 2 3 3 5" xfId="24880" xr:uid="{00000000-0005-0000-0000-000033610000}"/>
    <cellStyle name="Normal 2 3 2 2 3 4" xfId="24881" xr:uid="{00000000-0005-0000-0000-000034610000}"/>
    <cellStyle name="Normal 2 3 2 2 3 4 2" xfId="24882" xr:uid="{00000000-0005-0000-0000-000035610000}"/>
    <cellStyle name="Normal 2 3 2 2 3 4 3" xfId="24883" xr:uid="{00000000-0005-0000-0000-000036610000}"/>
    <cellStyle name="Normal 2 3 2 2 3 4 4" xfId="24884" xr:uid="{00000000-0005-0000-0000-000037610000}"/>
    <cellStyle name="Normal 2 3 2 2 3 5" xfId="24885" xr:uid="{00000000-0005-0000-0000-000038610000}"/>
    <cellStyle name="Normal 2 3 2 2 3 5 2" xfId="24886" xr:uid="{00000000-0005-0000-0000-000039610000}"/>
    <cellStyle name="Normal 2 3 2 2 3 6" xfId="24887" xr:uid="{00000000-0005-0000-0000-00003A610000}"/>
    <cellStyle name="Normal 2 3 2 2 3 7" xfId="24888" xr:uid="{00000000-0005-0000-0000-00003B610000}"/>
    <cellStyle name="Normal 2 3 2 2 3 8" xfId="24889" xr:uid="{00000000-0005-0000-0000-00003C610000}"/>
    <cellStyle name="Normal 2 3 2 2 3 9" xfId="24890" xr:uid="{00000000-0005-0000-0000-00003D610000}"/>
    <cellStyle name="Normal 2 3 2 2 4" xfId="24891" xr:uid="{00000000-0005-0000-0000-00003E610000}"/>
    <cellStyle name="Normal 2 3 2 2 4 2" xfId="24892" xr:uid="{00000000-0005-0000-0000-00003F610000}"/>
    <cellStyle name="Normal 2 3 2 2 4 2 2" xfId="24893" xr:uid="{00000000-0005-0000-0000-000040610000}"/>
    <cellStyle name="Normal 2 3 2 2 4 2 3" xfId="24894" xr:uid="{00000000-0005-0000-0000-000041610000}"/>
    <cellStyle name="Normal 2 3 2 2 4 3" xfId="24895" xr:uid="{00000000-0005-0000-0000-000042610000}"/>
    <cellStyle name="Normal 2 3 2 2 4 4" xfId="24896" xr:uid="{00000000-0005-0000-0000-000043610000}"/>
    <cellStyle name="Normal 2 3 2 2 4 5" xfId="24897" xr:uid="{00000000-0005-0000-0000-000044610000}"/>
    <cellStyle name="Normal 2 3 2 2 4 6" xfId="24898" xr:uid="{00000000-0005-0000-0000-000045610000}"/>
    <cellStyle name="Normal 2 3 2 2 5" xfId="24899" xr:uid="{00000000-0005-0000-0000-000046610000}"/>
    <cellStyle name="Normal 2 3 2 2 5 2" xfId="24900" xr:uid="{00000000-0005-0000-0000-000047610000}"/>
    <cellStyle name="Normal 2 3 2 2 5 2 2" xfId="24901" xr:uid="{00000000-0005-0000-0000-000048610000}"/>
    <cellStyle name="Normal 2 3 2 2 5 3" xfId="24902" xr:uid="{00000000-0005-0000-0000-000049610000}"/>
    <cellStyle name="Normal 2 3 2 2 5 4" xfId="24903" xr:uid="{00000000-0005-0000-0000-00004A610000}"/>
    <cellStyle name="Normal 2 3 2 2 5 5" xfId="24904" xr:uid="{00000000-0005-0000-0000-00004B610000}"/>
    <cellStyle name="Normal 2 3 2 2 6" xfId="24905" xr:uid="{00000000-0005-0000-0000-00004C610000}"/>
    <cellStyle name="Normal 2 3 2 2 6 2" xfId="24906" xr:uid="{00000000-0005-0000-0000-00004D610000}"/>
    <cellStyle name="Normal 2 3 2 2 6 3" xfId="24907" xr:uid="{00000000-0005-0000-0000-00004E610000}"/>
    <cellStyle name="Normal 2 3 2 2 6 4" xfId="24908" xr:uid="{00000000-0005-0000-0000-00004F610000}"/>
    <cellStyle name="Normal 2 3 2 2 7" xfId="24909" xr:uid="{00000000-0005-0000-0000-000050610000}"/>
    <cellStyle name="Normal 2 3 2 2 7 2" xfId="24910" xr:uid="{00000000-0005-0000-0000-000051610000}"/>
    <cellStyle name="Normal 2 3 2 2 8" xfId="24911" xr:uid="{00000000-0005-0000-0000-000052610000}"/>
    <cellStyle name="Normal 2 3 2 2 9" xfId="24912" xr:uid="{00000000-0005-0000-0000-000053610000}"/>
    <cellStyle name="Normal 2 3 2 20" xfId="24913" xr:uid="{00000000-0005-0000-0000-000054610000}"/>
    <cellStyle name="Normal 2 3 2 21" xfId="24914" xr:uid="{00000000-0005-0000-0000-000055610000}"/>
    <cellStyle name="Normal 2 3 2 22" xfId="24915" xr:uid="{00000000-0005-0000-0000-000056610000}"/>
    <cellStyle name="Normal 2 3 2 3" xfId="24916" xr:uid="{00000000-0005-0000-0000-000057610000}"/>
    <cellStyle name="Normal 2 3 2 3 10" xfId="24917" xr:uid="{00000000-0005-0000-0000-000058610000}"/>
    <cellStyle name="Normal 2 3 2 3 11" xfId="24918" xr:uid="{00000000-0005-0000-0000-000059610000}"/>
    <cellStyle name="Normal 2 3 2 3 2" xfId="24919" xr:uid="{00000000-0005-0000-0000-00005A610000}"/>
    <cellStyle name="Normal 2 3 2 3 2 2" xfId="24920" xr:uid="{00000000-0005-0000-0000-00005B610000}"/>
    <cellStyle name="Normal 2 3 2 3 2 2 2" xfId="24921" xr:uid="{00000000-0005-0000-0000-00005C610000}"/>
    <cellStyle name="Normal 2 3 2 3 2 2 2 2" xfId="24922" xr:uid="{00000000-0005-0000-0000-00005D610000}"/>
    <cellStyle name="Normal 2 3 2 3 2 2 2 3" xfId="24923" xr:uid="{00000000-0005-0000-0000-00005E610000}"/>
    <cellStyle name="Normal 2 3 2 3 2 2 3" xfId="24924" xr:uid="{00000000-0005-0000-0000-00005F610000}"/>
    <cellStyle name="Normal 2 3 2 3 2 2 4" xfId="24925" xr:uid="{00000000-0005-0000-0000-000060610000}"/>
    <cellStyle name="Normal 2 3 2 3 2 2 5" xfId="24926" xr:uid="{00000000-0005-0000-0000-000061610000}"/>
    <cellStyle name="Normal 2 3 2 3 2 2 6" xfId="24927" xr:uid="{00000000-0005-0000-0000-000062610000}"/>
    <cellStyle name="Normal 2 3 2 3 2 3" xfId="24928" xr:uid="{00000000-0005-0000-0000-000063610000}"/>
    <cellStyle name="Normal 2 3 2 3 2 3 2" xfId="24929" xr:uid="{00000000-0005-0000-0000-000064610000}"/>
    <cellStyle name="Normal 2 3 2 3 2 3 2 2" xfId="24930" xr:uid="{00000000-0005-0000-0000-000065610000}"/>
    <cellStyle name="Normal 2 3 2 3 2 3 3" xfId="24931" xr:uid="{00000000-0005-0000-0000-000066610000}"/>
    <cellStyle name="Normal 2 3 2 3 2 3 4" xfId="24932" xr:uid="{00000000-0005-0000-0000-000067610000}"/>
    <cellStyle name="Normal 2 3 2 3 2 3 5" xfId="24933" xr:uid="{00000000-0005-0000-0000-000068610000}"/>
    <cellStyle name="Normal 2 3 2 3 2 4" xfId="24934" xr:uid="{00000000-0005-0000-0000-000069610000}"/>
    <cellStyle name="Normal 2 3 2 3 2 4 2" xfId="24935" xr:uid="{00000000-0005-0000-0000-00006A610000}"/>
    <cellStyle name="Normal 2 3 2 3 2 4 3" xfId="24936" xr:uid="{00000000-0005-0000-0000-00006B610000}"/>
    <cellStyle name="Normal 2 3 2 3 2 4 4" xfId="24937" xr:uid="{00000000-0005-0000-0000-00006C610000}"/>
    <cellStyle name="Normal 2 3 2 3 2 5" xfId="24938" xr:uid="{00000000-0005-0000-0000-00006D610000}"/>
    <cellStyle name="Normal 2 3 2 3 2 5 2" xfId="24939" xr:uid="{00000000-0005-0000-0000-00006E610000}"/>
    <cellStyle name="Normal 2 3 2 3 2 6" xfId="24940" xr:uid="{00000000-0005-0000-0000-00006F610000}"/>
    <cellStyle name="Normal 2 3 2 3 2 7" xfId="24941" xr:uid="{00000000-0005-0000-0000-000070610000}"/>
    <cellStyle name="Normal 2 3 2 3 2 8" xfId="24942" xr:uid="{00000000-0005-0000-0000-000071610000}"/>
    <cellStyle name="Normal 2 3 2 3 2 9" xfId="24943" xr:uid="{00000000-0005-0000-0000-000072610000}"/>
    <cellStyle name="Normal 2 3 2 3 3" xfId="24944" xr:uid="{00000000-0005-0000-0000-000073610000}"/>
    <cellStyle name="Normal 2 3 2 3 3 2" xfId="24945" xr:uid="{00000000-0005-0000-0000-000074610000}"/>
    <cellStyle name="Normal 2 3 2 3 3 2 2" xfId="24946" xr:uid="{00000000-0005-0000-0000-000075610000}"/>
    <cellStyle name="Normal 2 3 2 3 3 2 2 2" xfId="24947" xr:uid="{00000000-0005-0000-0000-000076610000}"/>
    <cellStyle name="Normal 2 3 2 3 3 2 2 3" xfId="24948" xr:uid="{00000000-0005-0000-0000-000077610000}"/>
    <cellStyle name="Normal 2 3 2 3 3 2 3" xfId="24949" xr:uid="{00000000-0005-0000-0000-000078610000}"/>
    <cellStyle name="Normal 2 3 2 3 3 2 4" xfId="24950" xr:uid="{00000000-0005-0000-0000-000079610000}"/>
    <cellStyle name="Normal 2 3 2 3 3 2 5" xfId="24951" xr:uid="{00000000-0005-0000-0000-00007A610000}"/>
    <cellStyle name="Normal 2 3 2 3 3 2 6" xfId="24952" xr:uid="{00000000-0005-0000-0000-00007B610000}"/>
    <cellStyle name="Normal 2 3 2 3 3 3" xfId="24953" xr:uid="{00000000-0005-0000-0000-00007C610000}"/>
    <cellStyle name="Normal 2 3 2 3 3 3 2" xfId="24954" xr:uid="{00000000-0005-0000-0000-00007D610000}"/>
    <cellStyle name="Normal 2 3 2 3 3 3 2 2" xfId="24955" xr:uid="{00000000-0005-0000-0000-00007E610000}"/>
    <cellStyle name="Normal 2 3 2 3 3 3 3" xfId="24956" xr:uid="{00000000-0005-0000-0000-00007F610000}"/>
    <cellStyle name="Normal 2 3 2 3 3 3 4" xfId="24957" xr:uid="{00000000-0005-0000-0000-000080610000}"/>
    <cellStyle name="Normal 2 3 2 3 3 3 5" xfId="24958" xr:uid="{00000000-0005-0000-0000-000081610000}"/>
    <cellStyle name="Normal 2 3 2 3 3 4" xfId="24959" xr:uid="{00000000-0005-0000-0000-000082610000}"/>
    <cellStyle name="Normal 2 3 2 3 3 4 2" xfId="24960" xr:uid="{00000000-0005-0000-0000-000083610000}"/>
    <cellStyle name="Normal 2 3 2 3 3 4 3" xfId="24961" xr:uid="{00000000-0005-0000-0000-000084610000}"/>
    <cellStyle name="Normal 2 3 2 3 3 4 4" xfId="24962" xr:uid="{00000000-0005-0000-0000-000085610000}"/>
    <cellStyle name="Normal 2 3 2 3 3 5" xfId="24963" xr:uid="{00000000-0005-0000-0000-000086610000}"/>
    <cellStyle name="Normal 2 3 2 3 3 5 2" xfId="24964" xr:uid="{00000000-0005-0000-0000-000087610000}"/>
    <cellStyle name="Normal 2 3 2 3 3 6" xfId="24965" xr:uid="{00000000-0005-0000-0000-000088610000}"/>
    <cellStyle name="Normal 2 3 2 3 3 7" xfId="24966" xr:uid="{00000000-0005-0000-0000-000089610000}"/>
    <cellStyle name="Normal 2 3 2 3 3 8" xfId="24967" xr:uid="{00000000-0005-0000-0000-00008A610000}"/>
    <cellStyle name="Normal 2 3 2 3 3 9" xfId="24968" xr:uid="{00000000-0005-0000-0000-00008B610000}"/>
    <cellStyle name="Normal 2 3 2 3 4" xfId="24969" xr:uid="{00000000-0005-0000-0000-00008C610000}"/>
    <cellStyle name="Normal 2 3 2 3 4 2" xfId="24970" xr:uid="{00000000-0005-0000-0000-00008D610000}"/>
    <cellStyle name="Normal 2 3 2 3 4 2 2" xfId="24971" xr:uid="{00000000-0005-0000-0000-00008E610000}"/>
    <cellStyle name="Normal 2 3 2 3 4 2 3" xfId="24972" xr:uid="{00000000-0005-0000-0000-00008F610000}"/>
    <cellStyle name="Normal 2 3 2 3 4 3" xfId="24973" xr:uid="{00000000-0005-0000-0000-000090610000}"/>
    <cellStyle name="Normal 2 3 2 3 4 4" xfId="24974" xr:uid="{00000000-0005-0000-0000-000091610000}"/>
    <cellStyle name="Normal 2 3 2 3 4 5" xfId="24975" xr:uid="{00000000-0005-0000-0000-000092610000}"/>
    <cellStyle name="Normal 2 3 2 3 4 6" xfId="24976" xr:uid="{00000000-0005-0000-0000-000093610000}"/>
    <cellStyle name="Normal 2 3 2 3 5" xfId="24977" xr:uid="{00000000-0005-0000-0000-000094610000}"/>
    <cellStyle name="Normal 2 3 2 3 5 2" xfId="24978" xr:uid="{00000000-0005-0000-0000-000095610000}"/>
    <cellStyle name="Normal 2 3 2 3 5 2 2" xfId="24979" xr:uid="{00000000-0005-0000-0000-000096610000}"/>
    <cellStyle name="Normal 2 3 2 3 5 3" xfId="24980" xr:uid="{00000000-0005-0000-0000-000097610000}"/>
    <cellStyle name="Normal 2 3 2 3 5 4" xfId="24981" xr:uid="{00000000-0005-0000-0000-000098610000}"/>
    <cellStyle name="Normal 2 3 2 3 5 5" xfId="24982" xr:uid="{00000000-0005-0000-0000-000099610000}"/>
    <cellStyle name="Normal 2 3 2 3 6" xfId="24983" xr:uid="{00000000-0005-0000-0000-00009A610000}"/>
    <cellStyle name="Normal 2 3 2 3 6 2" xfId="24984" xr:uid="{00000000-0005-0000-0000-00009B610000}"/>
    <cellStyle name="Normal 2 3 2 3 6 3" xfId="24985" xr:uid="{00000000-0005-0000-0000-00009C610000}"/>
    <cellStyle name="Normal 2 3 2 3 6 4" xfId="24986" xr:uid="{00000000-0005-0000-0000-00009D610000}"/>
    <cellStyle name="Normal 2 3 2 3 7" xfId="24987" xr:uid="{00000000-0005-0000-0000-00009E610000}"/>
    <cellStyle name="Normal 2 3 2 3 7 2" xfId="24988" xr:uid="{00000000-0005-0000-0000-00009F610000}"/>
    <cellStyle name="Normal 2 3 2 3 8" xfId="24989" xr:uid="{00000000-0005-0000-0000-0000A0610000}"/>
    <cellStyle name="Normal 2 3 2 3 9" xfId="24990" xr:uid="{00000000-0005-0000-0000-0000A1610000}"/>
    <cellStyle name="Normal 2 3 2 4" xfId="24991" xr:uid="{00000000-0005-0000-0000-0000A2610000}"/>
    <cellStyle name="Normal 2 3 2 4 10" xfId="24992" xr:uid="{00000000-0005-0000-0000-0000A3610000}"/>
    <cellStyle name="Normal 2 3 2 4 11" xfId="24993" xr:uid="{00000000-0005-0000-0000-0000A4610000}"/>
    <cellStyle name="Normal 2 3 2 4 2" xfId="24994" xr:uid="{00000000-0005-0000-0000-0000A5610000}"/>
    <cellStyle name="Normal 2 3 2 4 2 2" xfId="24995" xr:uid="{00000000-0005-0000-0000-0000A6610000}"/>
    <cellStyle name="Normal 2 3 2 4 2 2 2" xfId="24996" xr:uid="{00000000-0005-0000-0000-0000A7610000}"/>
    <cellStyle name="Normal 2 3 2 4 2 2 2 2" xfId="24997" xr:uid="{00000000-0005-0000-0000-0000A8610000}"/>
    <cellStyle name="Normal 2 3 2 4 2 2 2 3" xfId="24998" xr:uid="{00000000-0005-0000-0000-0000A9610000}"/>
    <cellStyle name="Normal 2 3 2 4 2 2 3" xfId="24999" xr:uid="{00000000-0005-0000-0000-0000AA610000}"/>
    <cellStyle name="Normal 2 3 2 4 2 2 4" xfId="25000" xr:uid="{00000000-0005-0000-0000-0000AB610000}"/>
    <cellStyle name="Normal 2 3 2 4 2 2 5" xfId="25001" xr:uid="{00000000-0005-0000-0000-0000AC610000}"/>
    <cellStyle name="Normal 2 3 2 4 2 2 6" xfId="25002" xr:uid="{00000000-0005-0000-0000-0000AD610000}"/>
    <cellStyle name="Normal 2 3 2 4 2 3" xfId="25003" xr:uid="{00000000-0005-0000-0000-0000AE610000}"/>
    <cellStyle name="Normal 2 3 2 4 2 3 2" xfId="25004" xr:uid="{00000000-0005-0000-0000-0000AF610000}"/>
    <cellStyle name="Normal 2 3 2 4 2 3 2 2" xfId="25005" xr:uid="{00000000-0005-0000-0000-0000B0610000}"/>
    <cellStyle name="Normal 2 3 2 4 2 3 3" xfId="25006" xr:uid="{00000000-0005-0000-0000-0000B1610000}"/>
    <cellStyle name="Normal 2 3 2 4 2 3 4" xfId="25007" xr:uid="{00000000-0005-0000-0000-0000B2610000}"/>
    <cellStyle name="Normal 2 3 2 4 2 3 5" xfId="25008" xr:uid="{00000000-0005-0000-0000-0000B3610000}"/>
    <cellStyle name="Normal 2 3 2 4 2 4" xfId="25009" xr:uid="{00000000-0005-0000-0000-0000B4610000}"/>
    <cellStyle name="Normal 2 3 2 4 2 4 2" xfId="25010" xr:uid="{00000000-0005-0000-0000-0000B5610000}"/>
    <cellStyle name="Normal 2 3 2 4 2 4 3" xfId="25011" xr:uid="{00000000-0005-0000-0000-0000B6610000}"/>
    <cellStyle name="Normal 2 3 2 4 2 4 4" xfId="25012" xr:uid="{00000000-0005-0000-0000-0000B7610000}"/>
    <cellStyle name="Normal 2 3 2 4 2 5" xfId="25013" xr:uid="{00000000-0005-0000-0000-0000B8610000}"/>
    <cellStyle name="Normal 2 3 2 4 2 5 2" xfId="25014" xr:uid="{00000000-0005-0000-0000-0000B9610000}"/>
    <cellStyle name="Normal 2 3 2 4 2 6" xfId="25015" xr:uid="{00000000-0005-0000-0000-0000BA610000}"/>
    <cellStyle name="Normal 2 3 2 4 2 7" xfId="25016" xr:uid="{00000000-0005-0000-0000-0000BB610000}"/>
    <cellStyle name="Normal 2 3 2 4 2 8" xfId="25017" xr:uid="{00000000-0005-0000-0000-0000BC610000}"/>
    <cellStyle name="Normal 2 3 2 4 2 9" xfId="25018" xr:uid="{00000000-0005-0000-0000-0000BD610000}"/>
    <cellStyle name="Normal 2 3 2 4 3" xfId="25019" xr:uid="{00000000-0005-0000-0000-0000BE610000}"/>
    <cellStyle name="Normal 2 3 2 4 3 2" xfId="25020" xr:uid="{00000000-0005-0000-0000-0000BF610000}"/>
    <cellStyle name="Normal 2 3 2 4 3 2 2" xfId="25021" xr:uid="{00000000-0005-0000-0000-0000C0610000}"/>
    <cellStyle name="Normal 2 3 2 4 3 2 2 2" xfId="25022" xr:uid="{00000000-0005-0000-0000-0000C1610000}"/>
    <cellStyle name="Normal 2 3 2 4 3 2 2 3" xfId="25023" xr:uid="{00000000-0005-0000-0000-0000C2610000}"/>
    <cellStyle name="Normal 2 3 2 4 3 2 3" xfId="25024" xr:uid="{00000000-0005-0000-0000-0000C3610000}"/>
    <cellStyle name="Normal 2 3 2 4 3 2 4" xfId="25025" xr:uid="{00000000-0005-0000-0000-0000C4610000}"/>
    <cellStyle name="Normal 2 3 2 4 3 2 5" xfId="25026" xr:uid="{00000000-0005-0000-0000-0000C5610000}"/>
    <cellStyle name="Normal 2 3 2 4 3 2 6" xfId="25027" xr:uid="{00000000-0005-0000-0000-0000C6610000}"/>
    <cellStyle name="Normal 2 3 2 4 3 3" xfId="25028" xr:uid="{00000000-0005-0000-0000-0000C7610000}"/>
    <cellStyle name="Normal 2 3 2 4 3 3 2" xfId="25029" xr:uid="{00000000-0005-0000-0000-0000C8610000}"/>
    <cellStyle name="Normal 2 3 2 4 3 3 2 2" xfId="25030" xr:uid="{00000000-0005-0000-0000-0000C9610000}"/>
    <cellStyle name="Normal 2 3 2 4 3 3 3" xfId="25031" xr:uid="{00000000-0005-0000-0000-0000CA610000}"/>
    <cellStyle name="Normal 2 3 2 4 3 3 4" xfId="25032" xr:uid="{00000000-0005-0000-0000-0000CB610000}"/>
    <cellStyle name="Normal 2 3 2 4 3 3 5" xfId="25033" xr:uid="{00000000-0005-0000-0000-0000CC610000}"/>
    <cellStyle name="Normal 2 3 2 4 3 4" xfId="25034" xr:uid="{00000000-0005-0000-0000-0000CD610000}"/>
    <cellStyle name="Normal 2 3 2 4 3 4 2" xfId="25035" xr:uid="{00000000-0005-0000-0000-0000CE610000}"/>
    <cellStyle name="Normal 2 3 2 4 3 4 3" xfId="25036" xr:uid="{00000000-0005-0000-0000-0000CF610000}"/>
    <cellStyle name="Normal 2 3 2 4 3 4 4" xfId="25037" xr:uid="{00000000-0005-0000-0000-0000D0610000}"/>
    <cellStyle name="Normal 2 3 2 4 3 5" xfId="25038" xr:uid="{00000000-0005-0000-0000-0000D1610000}"/>
    <cellStyle name="Normal 2 3 2 4 3 5 2" xfId="25039" xr:uid="{00000000-0005-0000-0000-0000D2610000}"/>
    <cellStyle name="Normal 2 3 2 4 3 6" xfId="25040" xr:uid="{00000000-0005-0000-0000-0000D3610000}"/>
    <cellStyle name="Normal 2 3 2 4 3 7" xfId="25041" xr:uid="{00000000-0005-0000-0000-0000D4610000}"/>
    <cellStyle name="Normal 2 3 2 4 3 8" xfId="25042" xr:uid="{00000000-0005-0000-0000-0000D5610000}"/>
    <cellStyle name="Normal 2 3 2 4 3 9" xfId="25043" xr:uid="{00000000-0005-0000-0000-0000D6610000}"/>
    <cellStyle name="Normal 2 3 2 4 4" xfId="25044" xr:uid="{00000000-0005-0000-0000-0000D7610000}"/>
    <cellStyle name="Normal 2 3 2 4 4 2" xfId="25045" xr:uid="{00000000-0005-0000-0000-0000D8610000}"/>
    <cellStyle name="Normal 2 3 2 4 4 2 2" xfId="25046" xr:uid="{00000000-0005-0000-0000-0000D9610000}"/>
    <cellStyle name="Normal 2 3 2 4 4 2 3" xfId="25047" xr:uid="{00000000-0005-0000-0000-0000DA610000}"/>
    <cellStyle name="Normal 2 3 2 4 4 3" xfId="25048" xr:uid="{00000000-0005-0000-0000-0000DB610000}"/>
    <cellStyle name="Normal 2 3 2 4 4 4" xfId="25049" xr:uid="{00000000-0005-0000-0000-0000DC610000}"/>
    <cellStyle name="Normal 2 3 2 4 4 5" xfId="25050" xr:uid="{00000000-0005-0000-0000-0000DD610000}"/>
    <cellStyle name="Normal 2 3 2 4 4 6" xfId="25051" xr:uid="{00000000-0005-0000-0000-0000DE610000}"/>
    <cellStyle name="Normal 2 3 2 4 5" xfId="25052" xr:uid="{00000000-0005-0000-0000-0000DF610000}"/>
    <cellStyle name="Normal 2 3 2 4 5 2" xfId="25053" xr:uid="{00000000-0005-0000-0000-0000E0610000}"/>
    <cellStyle name="Normal 2 3 2 4 5 2 2" xfId="25054" xr:uid="{00000000-0005-0000-0000-0000E1610000}"/>
    <cellStyle name="Normal 2 3 2 4 5 3" xfId="25055" xr:uid="{00000000-0005-0000-0000-0000E2610000}"/>
    <cellStyle name="Normal 2 3 2 4 5 4" xfId="25056" xr:uid="{00000000-0005-0000-0000-0000E3610000}"/>
    <cellStyle name="Normal 2 3 2 4 5 5" xfId="25057" xr:uid="{00000000-0005-0000-0000-0000E4610000}"/>
    <cellStyle name="Normal 2 3 2 4 6" xfId="25058" xr:uid="{00000000-0005-0000-0000-0000E5610000}"/>
    <cellStyle name="Normal 2 3 2 4 6 2" xfId="25059" xr:uid="{00000000-0005-0000-0000-0000E6610000}"/>
    <cellStyle name="Normal 2 3 2 4 6 3" xfId="25060" xr:uid="{00000000-0005-0000-0000-0000E7610000}"/>
    <cellStyle name="Normal 2 3 2 4 6 4" xfId="25061" xr:uid="{00000000-0005-0000-0000-0000E8610000}"/>
    <cellStyle name="Normal 2 3 2 4 7" xfId="25062" xr:uid="{00000000-0005-0000-0000-0000E9610000}"/>
    <cellStyle name="Normal 2 3 2 4 7 2" xfId="25063" xr:uid="{00000000-0005-0000-0000-0000EA610000}"/>
    <cellStyle name="Normal 2 3 2 4 8" xfId="25064" xr:uid="{00000000-0005-0000-0000-0000EB610000}"/>
    <cellStyle name="Normal 2 3 2 4 9" xfId="25065" xr:uid="{00000000-0005-0000-0000-0000EC610000}"/>
    <cellStyle name="Normal 2 3 2 5" xfId="25066" xr:uid="{00000000-0005-0000-0000-0000ED610000}"/>
    <cellStyle name="Normal 2 3 2 5 10" xfId="25067" xr:uid="{00000000-0005-0000-0000-0000EE610000}"/>
    <cellStyle name="Normal 2 3 2 5 11" xfId="25068" xr:uid="{00000000-0005-0000-0000-0000EF610000}"/>
    <cellStyle name="Normal 2 3 2 5 2" xfId="25069" xr:uid="{00000000-0005-0000-0000-0000F0610000}"/>
    <cellStyle name="Normal 2 3 2 5 2 2" xfId="25070" xr:uid="{00000000-0005-0000-0000-0000F1610000}"/>
    <cellStyle name="Normal 2 3 2 5 2 2 2" xfId="25071" xr:uid="{00000000-0005-0000-0000-0000F2610000}"/>
    <cellStyle name="Normal 2 3 2 5 2 2 2 2" xfId="25072" xr:uid="{00000000-0005-0000-0000-0000F3610000}"/>
    <cellStyle name="Normal 2 3 2 5 2 2 2 3" xfId="25073" xr:uid="{00000000-0005-0000-0000-0000F4610000}"/>
    <cellStyle name="Normal 2 3 2 5 2 2 3" xfId="25074" xr:uid="{00000000-0005-0000-0000-0000F5610000}"/>
    <cellStyle name="Normal 2 3 2 5 2 2 4" xfId="25075" xr:uid="{00000000-0005-0000-0000-0000F6610000}"/>
    <cellStyle name="Normal 2 3 2 5 2 2 5" xfId="25076" xr:uid="{00000000-0005-0000-0000-0000F7610000}"/>
    <cellStyle name="Normal 2 3 2 5 2 2 6" xfId="25077" xr:uid="{00000000-0005-0000-0000-0000F8610000}"/>
    <cellStyle name="Normal 2 3 2 5 2 3" xfId="25078" xr:uid="{00000000-0005-0000-0000-0000F9610000}"/>
    <cellStyle name="Normal 2 3 2 5 2 3 2" xfId="25079" xr:uid="{00000000-0005-0000-0000-0000FA610000}"/>
    <cellStyle name="Normal 2 3 2 5 2 3 2 2" xfId="25080" xr:uid="{00000000-0005-0000-0000-0000FB610000}"/>
    <cellStyle name="Normal 2 3 2 5 2 3 3" xfId="25081" xr:uid="{00000000-0005-0000-0000-0000FC610000}"/>
    <cellStyle name="Normal 2 3 2 5 2 3 4" xfId="25082" xr:uid="{00000000-0005-0000-0000-0000FD610000}"/>
    <cellStyle name="Normal 2 3 2 5 2 3 5" xfId="25083" xr:uid="{00000000-0005-0000-0000-0000FE610000}"/>
    <cellStyle name="Normal 2 3 2 5 2 4" xfId="25084" xr:uid="{00000000-0005-0000-0000-0000FF610000}"/>
    <cellStyle name="Normal 2 3 2 5 2 4 2" xfId="25085" xr:uid="{00000000-0005-0000-0000-000000620000}"/>
    <cellStyle name="Normal 2 3 2 5 2 4 3" xfId="25086" xr:uid="{00000000-0005-0000-0000-000001620000}"/>
    <cellStyle name="Normal 2 3 2 5 2 4 4" xfId="25087" xr:uid="{00000000-0005-0000-0000-000002620000}"/>
    <cellStyle name="Normal 2 3 2 5 2 5" xfId="25088" xr:uid="{00000000-0005-0000-0000-000003620000}"/>
    <cellStyle name="Normal 2 3 2 5 2 5 2" xfId="25089" xr:uid="{00000000-0005-0000-0000-000004620000}"/>
    <cellStyle name="Normal 2 3 2 5 2 6" xfId="25090" xr:uid="{00000000-0005-0000-0000-000005620000}"/>
    <cellStyle name="Normal 2 3 2 5 2 7" xfId="25091" xr:uid="{00000000-0005-0000-0000-000006620000}"/>
    <cellStyle name="Normal 2 3 2 5 2 8" xfId="25092" xr:uid="{00000000-0005-0000-0000-000007620000}"/>
    <cellStyle name="Normal 2 3 2 5 2 9" xfId="25093" xr:uid="{00000000-0005-0000-0000-000008620000}"/>
    <cellStyle name="Normal 2 3 2 5 3" xfId="25094" xr:uid="{00000000-0005-0000-0000-000009620000}"/>
    <cellStyle name="Normal 2 3 2 5 3 2" xfId="25095" xr:uid="{00000000-0005-0000-0000-00000A620000}"/>
    <cellStyle name="Normal 2 3 2 5 3 2 2" xfId="25096" xr:uid="{00000000-0005-0000-0000-00000B620000}"/>
    <cellStyle name="Normal 2 3 2 5 3 2 2 2" xfId="25097" xr:uid="{00000000-0005-0000-0000-00000C620000}"/>
    <cellStyle name="Normal 2 3 2 5 3 2 2 3" xfId="25098" xr:uid="{00000000-0005-0000-0000-00000D620000}"/>
    <cellStyle name="Normal 2 3 2 5 3 2 3" xfId="25099" xr:uid="{00000000-0005-0000-0000-00000E620000}"/>
    <cellStyle name="Normal 2 3 2 5 3 2 4" xfId="25100" xr:uid="{00000000-0005-0000-0000-00000F620000}"/>
    <cellStyle name="Normal 2 3 2 5 3 2 5" xfId="25101" xr:uid="{00000000-0005-0000-0000-000010620000}"/>
    <cellStyle name="Normal 2 3 2 5 3 2 6" xfId="25102" xr:uid="{00000000-0005-0000-0000-000011620000}"/>
    <cellStyle name="Normal 2 3 2 5 3 3" xfId="25103" xr:uid="{00000000-0005-0000-0000-000012620000}"/>
    <cellStyle name="Normal 2 3 2 5 3 3 2" xfId="25104" xr:uid="{00000000-0005-0000-0000-000013620000}"/>
    <cellStyle name="Normal 2 3 2 5 3 3 2 2" xfId="25105" xr:uid="{00000000-0005-0000-0000-000014620000}"/>
    <cellStyle name="Normal 2 3 2 5 3 3 3" xfId="25106" xr:uid="{00000000-0005-0000-0000-000015620000}"/>
    <cellStyle name="Normal 2 3 2 5 3 3 4" xfId="25107" xr:uid="{00000000-0005-0000-0000-000016620000}"/>
    <cellStyle name="Normal 2 3 2 5 3 3 5" xfId="25108" xr:uid="{00000000-0005-0000-0000-000017620000}"/>
    <cellStyle name="Normal 2 3 2 5 3 4" xfId="25109" xr:uid="{00000000-0005-0000-0000-000018620000}"/>
    <cellStyle name="Normal 2 3 2 5 3 4 2" xfId="25110" xr:uid="{00000000-0005-0000-0000-000019620000}"/>
    <cellStyle name="Normal 2 3 2 5 3 4 3" xfId="25111" xr:uid="{00000000-0005-0000-0000-00001A620000}"/>
    <cellStyle name="Normal 2 3 2 5 3 4 4" xfId="25112" xr:uid="{00000000-0005-0000-0000-00001B620000}"/>
    <cellStyle name="Normal 2 3 2 5 3 5" xfId="25113" xr:uid="{00000000-0005-0000-0000-00001C620000}"/>
    <cellStyle name="Normal 2 3 2 5 3 5 2" xfId="25114" xr:uid="{00000000-0005-0000-0000-00001D620000}"/>
    <cellStyle name="Normal 2 3 2 5 3 6" xfId="25115" xr:uid="{00000000-0005-0000-0000-00001E620000}"/>
    <cellStyle name="Normal 2 3 2 5 3 7" xfId="25116" xr:uid="{00000000-0005-0000-0000-00001F620000}"/>
    <cellStyle name="Normal 2 3 2 5 3 8" xfId="25117" xr:uid="{00000000-0005-0000-0000-000020620000}"/>
    <cellStyle name="Normal 2 3 2 5 3 9" xfId="25118" xr:uid="{00000000-0005-0000-0000-000021620000}"/>
    <cellStyle name="Normal 2 3 2 5 4" xfId="25119" xr:uid="{00000000-0005-0000-0000-000022620000}"/>
    <cellStyle name="Normal 2 3 2 5 4 2" xfId="25120" xr:uid="{00000000-0005-0000-0000-000023620000}"/>
    <cellStyle name="Normal 2 3 2 5 4 2 2" xfId="25121" xr:uid="{00000000-0005-0000-0000-000024620000}"/>
    <cellStyle name="Normal 2 3 2 5 4 2 3" xfId="25122" xr:uid="{00000000-0005-0000-0000-000025620000}"/>
    <cellStyle name="Normal 2 3 2 5 4 3" xfId="25123" xr:uid="{00000000-0005-0000-0000-000026620000}"/>
    <cellStyle name="Normal 2 3 2 5 4 4" xfId="25124" xr:uid="{00000000-0005-0000-0000-000027620000}"/>
    <cellStyle name="Normal 2 3 2 5 4 5" xfId="25125" xr:uid="{00000000-0005-0000-0000-000028620000}"/>
    <cellStyle name="Normal 2 3 2 5 4 6" xfId="25126" xr:uid="{00000000-0005-0000-0000-000029620000}"/>
    <cellStyle name="Normal 2 3 2 5 5" xfId="25127" xr:uid="{00000000-0005-0000-0000-00002A620000}"/>
    <cellStyle name="Normal 2 3 2 5 5 2" xfId="25128" xr:uid="{00000000-0005-0000-0000-00002B620000}"/>
    <cellStyle name="Normal 2 3 2 5 5 2 2" xfId="25129" xr:uid="{00000000-0005-0000-0000-00002C620000}"/>
    <cellStyle name="Normal 2 3 2 5 5 3" xfId="25130" xr:uid="{00000000-0005-0000-0000-00002D620000}"/>
    <cellStyle name="Normal 2 3 2 5 5 4" xfId="25131" xr:uid="{00000000-0005-0000-0000-00002E620000}"/>
    <cellStyle name="Normal 2 3 2 5 5 5" xfId="25132" xr:uid="{00000000-0005-0000-0000-00002F620000}"/>
    <cellStyle name="Normal 2 3 2 5 6" xfId="25133" xr:uid="{00000000-0005-0000-0000-000030620000}"/>
    <cellStyle name="Normal 2 3 2 5 6 2" xfId="25134" xr:uid="{00000000-0005-0000-0000-000031620000}"/>
    <cellStyle name="Normal 2 3 2 5 6 3" xfId="25135" xr:uid="{00000000-0005-0000-0000-000032620000}"/>
    <cellStyle name="Normal 2 3 2 5 6 4" xfId="25136" xr:uid="{00000000-0005-0000-0000-000033620000}"/>
    <cellStyle name="Normal 2 3 2 5 7" xfId="25137" xr:uid="{00000000-0005-0000-0000-000034620000}"/>
    <cellStyle name="Normal 2 3 2 5 7 2" xfId="25138" xr:uid="{00000000-0005-0000-0000-000035620000}"/>
    <cellStyle name="Normal 2 3 2 5 8" xfId="25139" xr:uid="{00000000-0005-0000-0000-000036620000}"/>
    <cellStyle name="Normal 2 3 2 5 9" xfId="25140" xr:uid="{00000000-0005-0000-0000-000037620000}"/>
    <cellStyle name="Normal 2 3 2 6" xfId="25141" xr:uid="{00000000-0005-0000-0000-000038620000}"/>
    <cellStyle name="Normal 2 3 2 6 10" xfId="25142" xr:uid="{00000000-0005-0000-0000-000039620000}"/>
    <cellStyle name="Normal 2 3 2 6 11" xfId="25143" xr:uid="{00000000-0005-0000-0000-00003A620000}"/>
    <cellStyle name="Normal 2 3 2 6 2" xfId="25144" xr:uid="{00000000-0005-0000-0000-00003B620000}"/>
    <cellStyle name="Normal 2 3 2 6 2 2" xfId="25145" xr:uid="{00000000-0005-0000-0000-00003C620000}"/>
    <cellStyle name="Normal 2 3 2 6 2 2 2" xfId="25146" xr:uid="{00000000-0005-0000-0000-00003D620000}"/>
    <cellStyle name="Normal 2 3 2 6 2 2 2 2" xfId="25147" xr:uid="{00000000-0005-0000-0000-00003E620000}"/>
    <cellStyle name="Normal 2 3 2 6 2 2 2 3" xfId="25148" xr:uid="{00000000-0005-0000-0000-00003F620000}"/>
    <cellStyle name="Normal 2 3 2 6 2 2 3" xfId="25149" xr:uid="{00000000-0005-0000-0000-000040620000}"/>
    <cellStyle name="Normal 2 3 2 6 2 2 4" xfId="25150" xr:uid="{00000000-0005-0000-0000-000041620000}"/>
    <cellStyle name="Normal 2 3 2 6 2 2 5" xfId="25151" xr:uid="{00000000-0005-0000-0000-000042620000}"/>
    <cellStyle name="Normal 2 3 2 6 2 2 6" xfId="25152" xr:uid="{00000000-0005-0000-0000-000043620000}"/>
    <cellStyle name="Normal 2 3 2 6 2 3" xfId="25153" xr:uid="{00000000-0005-0000-0000-000044620000}"/>
    <cellStyle name="Normal 2 3 2 6 2 3 2" xfId="25154" xr:uid="{00000000-0005-0000-0000-000045620000}"/>
    <cellStyle name="Normal 2 3 2 6 2 3 2 2" xfId="25155" xr:uid="{00000000-0005-0000-0000-000046620000}"/>
    <cellStyle name="Normal 2 3 2 6 2 3 3" xfId="25156" xr:uid="{00000000-0005-0000-0000-000047620000}"/>
    <cellStyle name="Normal 2 3 2 6 2 3 4" xfId="25157" xr:uid="{00000000-0005-0000-0000-000048620000}"/>
    <cellStyle name="Normal 2 3 2 6 2 3 5" xfId="25158" xr:uid="{00000000-0005-0000-0000-000049620000}"/>
    <cellStyle name="Normal 2 3 2 6 2 4" xfId="25159" xr:uid="{00000000-0005-0000-0000-00004A620000}"/>
    <cellStyle name="Normal 2 3 2 6 2 4 2" xfId="25160" xr:uid="{00000000-0005-0000-0000-00004B620000}"/>
    <cellStyle name="Normal 2 3 2 6 2 4 3" xfId="25161" xr:uid="{00000000-0005-0000-0000-00004C620000}"/>
    <cellStyle name="Normal 2 3 2 6 2 4 4" xfId="25162" xr:uid="{00000000-0005-0000-0000-00004D620000}"/>
    <cellStyle name="Normal 2 3 2 6 2 5" xfId="25163" xr:uid="{00000000-0005-0000-0000-00004E620000}"/>
    <cellStyle name="Normal 2 3 2 6 2 5 2" xfId="25164" xr:uid="{00000000-0005-0000-0000-00004F620000}"/>
    <cellStyle name="Normal 2 3 2 6 2 6" xfId="25165" xr:uid="{00000000-0005-0000-0000-000050620000}"/>
    <cellStyle name="Normal 2 3 2 6 2 7" xfId="25166" xr:uid="{00000000-0005-0000-0000-000051620000}"/>
    <cellStyle name="Normal 2 3 2 6 2 8" xfId="25167" xr:uid="{00000000-0005-0000-0000-000052620000}"/>
    <cellStyle name="Normal 2 3 2 6 2 9" xfId="25168" xr:uid="{00000000-0005-0000-0000-000053620000}"/>
    <cellStyle name="Normal 2 3 2 6 3" xfId="25169" xr:uid="{00000000-0005-0000-0000-000054620000}"/>
    <cellStyle name="Normal 2 3 2 6 3 2" xfId="25170" xr:uid="{00000000-0005-0000-0000-000055620000}"/>
    <cellStyle name="Normal 2 3 2 6 3 2 2" xfId="25171" xr:uid="{00000000-0005-0000-0000-000056620000}"/>
    <cellStyle name="Normal 2 3 2 6 3 2 2 2" xfId="25172" xr:uid="{00000000-0005-0000-0000-000057620000}"/>
    <cellStyle name="Normal 2 3 2 6 3 2 2 3" xfId="25173" xr:uid="{00000000-0005-0000-0000-000058620000}"/>
    <cellStyle name="Normal 2 3 2 6 3 2 3" xfId="25174" xr:uid="{00000000-0005-0000-0000-000059620000}"/>
    <cellStyle name="Normal 2 3 2 6 3 2 4" xfId="25175" xr:uid="{00000000-0005-0000-0000-00005A620000}"/>
    <cellStyle name="Normal 2 3 2 6 3 2 5" xfId="25176" xr:uid="{00000000-0005-0000-0000-00005B620000}"/>
    <cellStyle name="Normal 2 3 2 6 3 2 6" xfId="25177" xr:uid="{00000000-0005-0000-0000-00005C620000}"/>
    <cellStyle name="Normal 2 3 2 6 3 3" xfId="25178" xr:uid="{00000000-0005-0000-0000-00005D620000}"/>
    <cellStyle name="Normal 2 3 2 6 3 3 2" xfId="25179" xr:uid="{00000000-0005-0000-0000-00005E620000}"/>
    <cellStyle name="Normal 2 3 2 6 3 3 2 2" xfId="25180" xr:uid="{00000000-0005-0000-0000-00005F620000}"/>
    <cellStyle name="Normal 2 3 2 6 3 3 3" xfId="25181" xr:uid="{00000000-0005-0000-0000-000060620000}"/>
    <cellStyle name="Normal 2 3 2 6 3 3 4" xfId="25182" xr:uid="{00000000-0005-0000-0000-000061620000}"/>
    <cellStyle name="Normal 2 3 2 6 3 3 5" xfId="25183" xr:uid="{00000000-0005-0000-0000-000062620000}"/>
    <cellStyle name="Normal 2 3 2 6 3 4" xfId="25184" xr:uid="{00000000-0005-0000-0000-000063620000}"/>
    <cellStyle name="Normal 2 3 2 6 3 4 2" xfId="25185" xr:uid="{00000000-0005-0000-0000-000064620000}"/>
    <cellStyle name="Normal 2 3 2 6 3 4 3" xfId="25186" xr:uid="{00000000-0005-0000-0000-000065620000}"/>
    <cellStyle name="Normal 2 3 2 6 3 4 4" xfId="25187" xr:uid="{00000000-0005-0000-0000-000066620000}"/>
    <cellStyle name="Normal 2 3 2 6 3 5" xfId="25188" xr:uid="{00000000-0005-0000-0000-000067620000}"/>
    <cellStyle name="Normal 2 3 2 6 3 5 2" xfId="25189" xr:uid="{00000000-0005-0000-0000-000068620000}"/>
    <cellStyle name="Normal 2 3 2 6 3 6" xfId="25190" xr:uid="{00000000-0005-0000-0000-000069620000}"/>
    <cellStyle name="Normal 2 3 2 6 3 7" xfId="25191" xr:uid="{00000000-0005-0000-0000-00006A620000}"/>
    <cellStyle name="Normal 2 3 2 6 3 8" xfId="25192" xr:uid="{00000000-0005-0000-0000-00006B620000}"/>
    <cellStyle name="Normal 2 3 2 6 3 9" xfId="25193" xr:uid="{00000000-0005-0000-0000-00006C620000}"/>
    <cellStyle name="Normal 2 3 2 6 4" xfId="25194" xr:uid="{00000000-0005-0000-0000-00006D620000}"/>
    <cellStyle name="Normal 2 3 2 6 4 2" xfId="25195" xr:uid="{00000000-0005-0000-0000-00006E620000}"/>
    <cellStyle name="Normal 2 3 2 6 4 2 2" xfId="25196" xr:uid="{00000000-0005-0000-0000-00006F620000}"/>
    <cellStyle name="Normal 2 3 2 6 4 2 3" xfId="25197" xr:uid="{00000000-0005-0000-0000-000070620000}"/>
    <cellStyle name="Normal 2 3 2 6 4 3" xfId="25198" xr:uid="{00000000-0005-0000-0000-000071620000}"/>
    <cellStyle name="Normal 2 3 2 6 4 4" xfId="25199" xr:uid="{00000000-0005-0000-0000-000072620000}"/>
    <cellStyle name="Normal 2 3 2 6 4 5" xfId="25200" xr:uid="{00000000-0005-0000-0000-000073620000}"/>
    <cellStyle name="Normal 2 3 2 6 4 6" xfId="25201" xr:uid="{00000000-0005-0000-0000-000074620000}"/>
    <cellStyle name="Normal 2 3 2 6 5" xfId="25202" xr:uid="{00000000-0005-0000-0000-000075620000}"/>
    <cellStyle name="Normal 2 3 2 6 5 2" xfId="25203" xr:uid="{00000000-0005-0000-0000-000076620000}"/>
    <cellStyle name="Normal 2 3 2 6 5 2 2" xfId="25204" xr:uid="{00000000-0005-0000-0000-000077620000}"/>
    <cellStyle name="Normal 2 3 2 6 5 3" xfId="25205" xr:uid="{00000000-0005-0000-0000-000078620000}"/>
    <cellStyle name="Normal 2 3 2 6 5 4" xfId="25206" xr:uid="{00000000-0005-0000-0000-000079620000}"/>
    <cellStyle name="Normal 2 3 2 6 5 5" xfId="25207" xr:uid="{00000000-0005-0000-0000-00007A620000}"/>
    <cellStyle name="Normal 2 3 2 6 6" xfId="25208" xr:uid="{00000000-0005-0000-0000-00007B620000}"/>
    <cellStyle name="Normal 2 3 2 6 6 2" xfId="25209" xr:uid="{00000000-0005-0000-0000-00007C620000}"/>
    <cellStyle name="Normal 2 3 2 6 6 3" xfId="25210" xr:uid="{00000000-0005-0000-0000-00007D620000}"/>
    <cellStyle name="Normal 2 3 2 6 6 4" xfId="25211" xr:uid="{00000000-0005-0000-0000-00007E620000}"/>
    <cellStyle name="Normal 2 3 2 6 7" xfId="25212" xr:uid="{00000000-0005-0000-0000-00007F620000}"/>
    <cellStyle name="Normal 2 3 2 6 7 2" xfId="25213" xr:uid="{00000000-0005-0000-0000-000080620000}"/>
    <cellStyle name="Normal 2 3 2 6 8" xfId="25214" xr:uid="{00000000-0005-0000-0000-000081620000}"/>
    <cellStyle name="Normal 2 3 2 6 9" xfId="25215" xr:uid="{00000000-0005-0000-0000-000082620000}"/>
    <cellStyle name="Normal 2 3 2 7" xfId="25216" xr:uid="{00000000-0005-0000-0000-000083620000}"/>
    <cellStyle name="Normal 2 3 2 7 10" xfId="25217" xr:uid="{00000000-0005-0000-0000-000084620000}"/>
    <cellStyle name="Normal 2 3 2 7 11" xfId="25218" xr:uid="{00000000-0005-0000-0000-000085620000}"/>
    <cellStyle name="Normal 2 3 2 7 2" xfId="25219" xr:uid="{00000000-0005-0000-0000-000086620000}"/>
    <cellStyle name="Normal 2 3 2 7 2 2" xfId="25220" xr:uid="{00000000-0005-0000-0000-000087620000}"/>
    <cellStyle name="Normal 2 3 2 7 2 2 2" xfId="25221" xr:uid="{00000000-0005-0000-0000-000088620000}"/>
    <cellStyle name="Normal 2 3 2 7 2 2 2 2" xfId="25222" xr:uid="{00000000-0005-0000-0000-000089620000}"/>
    <cellStyle name="Normal 2 3 2 7 2 2 2 3" xfId="25223" xr:uid="{00000000-0005-0000-0000-00008A620000}"/>
    <cellStyle name="Normal 2 3 2 7 2 2 3" xfId="25224" xr:uid="{00000000-0005-0000-0000-00008B620000}"/>
    <cellStyle name="Normal 2 3 2 7 2 2 4" xfId="25225" xr:uid="{00000000-0005-0000-0000-00008C620000}"/>
    <cellStyle name="Normal 2 3 2 7 2 2 5" xfId="25226" xr:uid="{00000000-0005-0000-0000-00008D620000}"/>
    <cellStyle name="Normal 2 3 2 7 2 2 6" xfId="25227" xr:uid="{00000000-0005-0000-0000-00008E620000}"/>
    <cellStyle name="Normal 2 3 2 7 2 3" xfId="25228" xr:uid="{00000000-0005-0000-0000-00008F620000}"/>
    <cellStyle name="Normal 2 3 2 7 2 3 2" xfId="25229" xr:uid="{00000000-0005-0000-0000-000090620000}"/>
    <cellStyle name="Normal 2 3 2 7 2 3 2 2" xfId="25230" xr:uid="{00000000-0005-0000-0000-000091620000}"/>
    <cellStyle name="Normal 2 3 2 7 2 3 3" xfId="25231" xr:uid="{00000000-0005-0000-0000-000092620000}"/>
    <cellStyle name="Normal 2 3 2 7 2 3 4" xfId="25232" xr:uid="{00000000-0005-0000-0000-000093620000}"/>
    <cellStyle name="Normal 2 3 2 7 2 3 5" xfId="25233" xr:uid="{00000000-0005-0000-0000-000094620000}"/>
    <cellStyle name="Normal 2 3 2 7 2 4" xfId="25234" xr:uid="{00000000-0005-0000-0000-000095620000}"/>
    <cellStyle name="Normal 2 3 2 7 2 4 2" xfId="25235" xr:uid="{00000000-0005-0000-0000-000096620000}"/>
    <cellStyle name="Normal 2 3 2 7 2 4 3" xfId="25236" xr:uid="{00000000-0005-0000-0000-000097620000}"/>
    <cellStyle name="Normal 2 3 2 7 2 4 4" xfId="25237" xr:uid="{00000000-0005-0000-0000-000098620000}"/>
    <cellStyle name="Normal 2 3 2 7 2 5" xfId="25238" xr:uid="{00000000-0005-0000-0000-000099620000}"/>
    <cellStyle name="Normal 2 3 2 7 2 5 2" xfId="25239" xr:uid="{00000000-0005-0000-0000-00009A620000}"/>
    <cellStyle name="Normal 2 3 2 7 2 6" xfId="25240" xr:uid="{00000000-0005-0000-0000-00009B620000}"/>
    <cellStyle name="Normal 2 3 2 7 2 7" xfId="25241" xr:uid="{00000000-0005-0000-0000-00009C620000}"/>
    <cellStyle name="Normal 2 3 2 7 2 8" xfId="25242" xr:uid="{00000000-0005-0000-0000-00009D620000}"/>
    <cellStyle name="Normal 2 3 2 7 2 9" xfId="25243" xr:uid="{00000000-0005-0000-0000-00009E620000}"/>
    <cellStyle name="Normal 2 3 2 7 3" xfId="25244" xr:uid="{00000000-0005-0000-0000-00009F620000}"/>
    <cellStyle name="Normal 2 3 2 7 3 2" xfId="25245" xr:uid="{00000000-0005-0000-0000-0000A0620000}"/>
    <cellStyle name="Normal 2 3 2 7 3 2 2" xfId="25246" xr:uid="{00000000-0005-0000-0000-0000A1620000}"/>
    <cellStyle name="Normal 2 3 2 7 3 2 2 2" xfId="25247" xr:uid="{00000000-0005-0000-0000-0000A2620000}"/>
    <cellStyle name="Normal 2 3 2 7 3 2 2 3" xfId="25248" xr:uid="{00000000-0005-0000-0000-0000A3620000}"/>
    <cellStyle name="Normal 2 3 2 7 3 2 3" xfId="25249" xr:uid="{00000000-0005-0000-0000-0000A4620000}"/>
    <cellStyle name="Normal 2 3 2 7 3 2 4" xfId="25250" xr:uid="{00000000-0005-0000-0000-0000A5620000}"/>
    <cellStyle name="Normal 2 3 2 7 3 2 5" xfId="25251" xr:uid="{00000000-0005-0000-0000-0000A6620000}"/>
    <cellStyle name="Normal 2 3 2 7 3 2 6" xfId="25252" xr:uid="{00000000-0005-0000-0000-0000A7620000}"/>
    <cellStyle name="Normal 2 3 2 7 3 3" xfId="25253" xr:uid="{00000000-0005-0000-0000-0000A8620000}"/>
    <cellStyle name="Normal 2 3 2 7 3 3 2" xfId="25254" xr:uid="{00000000-0005-0000-0000-0000A9620000}"/>
    <cellStyle name="Normal 2 3 2 7 3 3 2 2" xfId="25255" xr:uid="{00000000-0005-0000-0000-0000AA620000}"/>
    <cellStyle name="Normal 2 3 2 7 3 3 3" xfId="25256" xr:uid="{00000000-0005-0000-0000-0000AB620000}"/>
    <cellStyle name="Normal 2 3 2 7 3 3 4" xfId="25257" xr:uid="{00000000-0005-0000-0000-0000AC620000}"/>
    <cellStyle name="Normal 2 3 2 7 3 3 5" xfId="25258" xr:uid="{00000000-0005-0000-0000-0000AD620000}"/>
    <cellStyle name="Normal 2 3 2 7 3 4" xfId="25259" xr:uid="{00000000-0005-0000-0000-0000AE620000}"/>
    <cellStyle name="Normal 2 3 2 7 3 4 2" xfId="25260" xr:uid="{00000000-0005-0000-0000-0000AF620000}"/>
    <cellStyle name="Normal 2 3 2 7 3 4 3" xfId="25261" xr:uid="{00000000-0005-0000-0000-0000B0620000}"/>
    <cellStyle name="Normal 2 3 2 7 3 4 4" xfId="25262" xr:uid="{00000000-0005-0000-0000-0000B1620000}"/>
    <cellStyle name="Normal 2 3 2 7 3 5" xfId="25263" xr:uid="{00000000-0005-0000-0000-0000B2620000}"/>
    <cellStyle name="Normal 2 3 2 7 3 5 2" xfId="25264" xr:uid="{00000000-0005-0000-0000-0000B3620000}"/>
    <cellStyle name="Normal 2 3 2 7 3 6" xfId="25265" xr:uid="{00000000-0005-0000-0000-0000B4620000}"/>
    <cellStyle name="Normal 2 3 2 7 3 7" xfId="25266" xr:uid="{00000000-0005-0000-0000-0000B5620000}"/>
    <cellStyle name="Normal 2 3 2 7 3 8" xfId="25267" xr:uid="{00000000-0005-0000-0000-0000B6620000}"/>
    <cellStyle name="Normal 2 3 2 7 3 9" xfId="25268" xr:uid="{00000000-0005-0000-0000-0000B7620000}"/>
    <cellStyle name="Normal 2 3 2 7 4" xfId="25269" xr:uid="{00000000-0005-0000-0000-0000B8620000}"/>
    <cellStyle name="Normal 2 3 2 7 4 2" xfId="25270" xr:uid="{00000000-0005-0000-0000-0000B9620000}"/>
    <cellStyle name="Normal 2 3 2 7 4 2 2" xfId="25271" xr:uid="{00000000-0005-0000-0000-0000BA620000}"/>
    <cellStyle name="Normal 2 3 2 7 4 2 3" xfId="25272" xr:uid="{00000000-0005-0000-0000-0000BB620000}"/>
    <cellStyle name="Normal 2 3 2 7 4 3" xfId="25273" xr:uid="{00000000-0005-0000-0000-0000BC620000}"/>
    <cellStyle name="Normal 2 3 2 7 4 4" xfId="25274" xr:uid="{00000000-0005-0000-0000-0000BD620000}"/>
    <cellStyle name="Normal 2 3 2 7 4 5" xfId="25275" xr:uid="{00000000-0005-0000-0000-0000BE620000}"/>
    <cellStyle name="Normal 2 3 2 7 4 6" xfId="25276" xr:uid="{00000000-0005-0000-0000-0000BF620000}"/>
    <cellStyle name="Normal 2 3 2 7 5" xfId="25277" xr:uid="{00000000-0005-0000-0000-0000C0620000}"/>
    <cellStyle name="Normal 2 3 2 7 5 2" xfId="25278" xr:uid="{00000000-0005-0000-0000-0000C1620000}"/>
    <cellStyle name="Normal 2 3 2 7 5 2 2" xfId="25279" xr:uid="{00000000-0005-0000-0000-0000C2620000}"/>
    <cellStyle name="Normal 2 3 2 7 5 3" xfId="25280" xr:uid="{00000000-0005-0000-0000-0000C3620000}"/>
    <cellStyle name="Normal 2 3 2 7 5 4" xfId="25281" xr:uid="{00000000-0005-0000-0000-0000C4620000}"/>
    <cellStyle name="Normal 2 3 2 7 5 5" xfId="25282" xr:uid="{00000000-0005-0000-0000-0000C5620000}"/>
    <cellStyle name="Normal 2 3 2 7 6" xfId="25283" xr:uid="{00000000-0005-0000-0000-0000C6620000}"/>
    <cellStyle name="Normal 2 3 2 7 6 2" xfId="25284" xr:uid="{00000000-0005-0000-0000-0000C7620000}"/>
    <cellStyle name="Normal 2 3 2 7 6 3" xfId="25285" xr:uid="{00000000-0005-0000-0000-0000C8620000}"/>
    <cellStyle name="Normal 2 3 2 7 6 4" xfId="25286" xr:uid="{00000000-0005-0000-0000-0000C9620000}"/>
    <cellStyle name="Normal 2 3 2 7 7" xfId="25287" xr:uid="{00000000-0005-0000-0000-0000CA620000}"/>
    <cellStyle name="Normal 2 3 2 7 7 2" xfId="25288" xr:uid="{00000000-0005-0000-0000-0000CB620000}"/>
    <cellStyle name="Normal 2 3 2 7 8" xfId="25289" xr:uid="{00000000-0005-0000-0000-0000CC620000}"/>
    <cellStyle name="Normal 2 3 2 7 9" xfId="25290" xr:uid="{00000000-0005-0000-0000-0000CD620000}"/>
    <cellStyle name="Normal 2 3 2 8" xfId="25291" xr:uid="{00000000-0005-0000-0000-0000CE620000}"/>
    <cellStyle name="Normal 2 3 2 8 10" xfId="25292" xr:uid="{00000000-0005-0000-0000-0000CF620000}"/>
    <cellStyle name="Normal 2 3 2 8 2" xfId="25293" xr:uid="{00000000-0005-0000-0000-0000D0620000}"/>
    <cellStyle name="Normal 2 3 2 8 2 2" xfId="25294" xr:uid="{00000000-0005-0000-0000-0000D1620000}"/>
    <cellStyle name="Normal 2 3 2 8 2 2 2" xfId="25295" xr:uid="{00000000-0005-0000-0000-0000D2620000}"/>
    <cellStyle name="Normal 2 3 2 8 2 2 3" xfId="25296" xr:uid="{00000000-0005-0000-0000-0000D3620000}"/>
    <cellStyle name="Normal 2 3 2 8 2 3" xfId="25297" xr:uid="{00000000-0005-0000-0000-0000D4620000}"/>
    <cellStyle name="Normal 2 3 2 8 2 4" xfId="25298" xr:uid="{00000000-0005-0000-0000-0000D5620000}"/>
    <cellStyle name="Normal 2 3 2 8 2 5" xfId="25299" xr:uid="{00000000-0005-0000-0000-0000D6620000}"/>
    <cellStyle name="Normal 2 3 2 8 2 6" xfId="25300" xr:uid="{00000000-0005-0000-0000-0000D7620000}"/>
    <cellStyle name="Normal 2 3 2 8 3" xfId="25301" xr:uid="{00000000-0005-0000-0000-0000D8620000}"/>
    <cellStyle name="Normal 2 3 2 8 3 2" xfId="25302" xr:uid="{00000000-0005-0000-0000-0000D9620000}"/>
    <cellStyle name="Normal 2 3 2 8 3 2 2" xfId="25303" xr:uid="{00000000-0005-0000-0000-0000DA620000}"/>
    <cellStyle name="Normal 2 3 2 8 3 2 3" xfId="25304" xr:uid="{00000000-0005-0000-0000-0000DB620000}"/>
    <cellStyle name="Normal 2 3 2 8 3 3" xfId="25305" xr:uid="{00000000-0005-0000-0000-0000DC620000}"/>
    <cellStyle name="Normal 2 3 2 8 3 4" xfId="25306" xr:uid="{00000000-0005-0000-0000-0000DD620000}"/>
    <cellStyle name="Normal 2 3 2 8 3 5" xfId="25307" xr:uid="{00000000-0005-0000-0000-0000DE620000}"/>
    <cellStyle name="Normal 2 3 2 8 3 6" xfId="25308" xr:uid="{00000000-0005-0000-0000-0000DF620000}"/>
    <cellStyle name="Normal 2 3 2 8 4" xfId="25309" xr:uid="{00000000-0005-0000-0000-0000E0620000}"/>
    <cellStyle name="Normal 2 3 2 8 4 2" xfId="25310" xr:uid="{00000000-0005-0000-0000-0000E1620000}"/>
    <cellStyle name="Normal 2 3 2 8 4 2 2" xfId="25311" xr:uid="{00000000-0005-0000-0000-0000E2620000}"/>
    <cellStyle name="Normal 2 3 2 8 4 3" xfId="25312" xr:uid="{00000000-0005-0000-0000-0000E3620000}"/>
    <cellStyle name="Normal 2 3 2 8 4 4" xfId="25313" xr:uid="{00000000-0005-0000-0000-0000E4620000}"/>
    <cellStyle name="Normal 2 3 2 8 4 5" xfId="25314" xr:uid="{00000000-0005-0000-0000-0000E5620000}"/>
    <cellStyle name="Normal 2 3 2 8 5" xfId="25315" xr:uid="{00000000-0005-0000-0000-0000E6620000}"/>
    <cellStyle name="Normal 2 3 2 8 5 2" xfId="25316" xr:uid="{00000000-0005-0000-0000-0000E7620000}"/>
    <cellStyle name="Normal 2 3 2 8 5 3" xfId="25317" xr:uid="{00000000-0005-0000-0000-0000E8620000}"/>
    <cellStyle name="Normal 2 3 2 8 5 4" xfId="25318" xr:uid="{00000000-0005-0000-0000-0000E9620000}"/>
    <cellStyle name="Normal 2 3 2 8 6" xfId="25319" xr:uid="{00000000-0005-0000-0000-0000EA620000}"/>
    <cellStyle name="Normal 2 3 2 8 6 2" xfId="25320" xr:uid="{00000000-0005-0000-0000-0000EB620000}"/>
    <cellStyle name="Normal 2 3 2 8 7" xfId="25321" xr:uid="{00000000-0005-0000-0000-0000EC620000}"/>
    <cellStyle name="Normal 2 3 2 8 8" xfId="25322" xr:uid="{00000000-0005-0000-0000-0000ED620000}"/>
    <cellStyle name="Normal 2 3 2 8 9" xfId="25323" xr:uid="{00000000-0005-0000-0000-0000EE620000}"/>
    <cellStyle name="Normal 2 3 2 9" xfId="25324" xr:uid="{00000000-0005-0000-0000-0000EF620000}"/>
    <cellStyle name="Normal 2 3 2 9 10" xfId="25325" xr:uid="{00000000-0005-0000-0000-0000F0620000}"/>
    <cellStyle name="Normal 2 3 2 9 2" xfId="25326" xr:uid="{00000000-0005-0000-0000-0000F1620000}"/>
    <cellStyle name="Normal 2 3 2 9 2 2" xfId="25327" xr:uid="{00000000-0005-0000-0000-0000F2620000}"/>
    <cellStyle name="Normal 2 3 2 9 2 2 2" xfId="25328" xr:uid="{00000000-0005-0000-0000-0000F3620000}"/>
    <cellStyle name="Normal 2 3 2 9 2 2 3" xfId="25329" xr:uid="{00000000-0005-0000-0000-0000F4620000}"/>
    <cellStyle name="Normal 2 3 2 9 2 3" xfId="25330" xr:uid="{00000000-0005-0000-0000-0000F5620000}"/>
    <cellStyle name="Normal 2 3 2 9 2 4" xfId="25331" xr:uid="{00000000-0005-0000-0000-0000F6620000}"/>
    <cellStyle name="Normal 2 3 2 9 2 5" xfId="25332" xr:uid="{00000000-0005-0000-0000-0000F7620000}"/>
    <cellStyle name="Normal 2 3 2 9 2 6" xfId="25333" xr:uid="{00000000-0005-0000-0000-0000F8620000}"/>
    <cellStyle name="Normal 2 3 2 9 3" xfId="25334" xr:uid="{00000000-0005-0000-0000-0000F9620000}"/>
    <cellStyle name="Normal 2 3 2 9 3 2" xfId="25335" xr:uid="{00000000-0005-0000-0000-0000FA620000}"/>
    <cellStyle name="Normal 2 3 2 9 3 2 2" xfId="25336" xr:uid="{00000000-0005-0000-0000-0000FB620000}"/>
    <cellStyle name="Normal 2 3 2 9 3 2 3" xfId="25337" xr:uid="{00000000-0005-0000-0000-0000FC620000}"/>
    <cellStyle name="Normal 2 3 2 9 3 3" xfId="25338" xr:uid="{00000000-0005-0000-0000-0000FD620000}"/>
    <cellStyle name="Normal 2 3 2 9 3 4" xfId="25339" xr:uid="{00000000-0005-0000-0000-0000FE620000}"/>
    <cellStyle name="Normal 2 3 2 9 3 5" xfId="25340" xr:uid="{00000000-0005-0000-0000-0000FF620000}"/>
    <cellStyle name="Normal 2 3 2 9 3 6" xfId="25341" xr:uid="{00000000-0005-0000-0000-000000630000}"/>
    <cellStyle name="Normal 2 3 2 9 4" xfId="25342" xr:uid="{00000000-0005-0000-0000-000001630000}"/>
    <cellStyle name="Normal 2 3 2 9 4 2" xfId="25343" xr:uid="{00000000-0005-0000-0000-000002630000}"/>
    <cellStyle name="Normal 2 3 2 9 4 2 2" xfId="25344" xr:uid="{00000000-0005-0000-0000-000003630000}"/>
    <cellStyle name="Normal 2 3 2 9 4 3" xfId="25345" xr:uid="{00000000-0005-0000-0000-000004630000}"/>
    <cellStyle name="Normal 2 3 2 9 4 4" xfId="25346" xr:uid="{00000000-0005-0000-0000-000005630000}"/>
    <cellStyle name="Normal 2 3 2 9 4 5" xfId="25347" xr:uid="{00000000-0005-0000-0000-000006630000}"/>
    <cellStyle name="Normal 2 3 2 9 5" xfId="25348" xr:uid="{00000000-0005-0000-0000-000007630000}"/>
    <cellStyle name="Normal 2 3 2 9 5 2" xfId="25349" xr:uid="{00000000-0005-0000-0000-000008630000}"/>
    <cellStyle name="Normal 2 3 2 9 5 3" xfId="25350" xr:uid="{00000000-0005-0000-0000-000009630000}"/>
    <cellStyle name="Normal 2 3 2 9 5 4" xfId="25351" xr:uid="{00000000-0005-0000-0000-00000A630000}"/>
    <cellStyle name="Normal 2 3 2 9 6" xfId="25352" xr:uid="{00000000-0005-0000-0000-00000B630000}"/>
    <cellStyle name="Normal 2 3 2 9 6 2" xfId="25353" xr:uid="{00000000-0005-0000-0000-00000C630000}"/>
    <cellStyle name="Normal 2 3 2 9 7" xfId="25354" xr:uid="{00000000-0005-0000-0000-00000D630000}"/>
    <cellStyle name="Normal 2 3 2 9 8" xfId="25355" xr:uid="{00000000-0005-0000-0000-00000E630000}"/>
    <cellStyle name="Normal 2 3 2 9 9" xfId="25356" xr:uid="{00000000-0005-0000-0000-00000F630000}"/>
    <cellStyle name="Normal 2 3 3" xfId="25357" xr:uid="{00000000-0005-0000-0000-000010630000}"/>
    <cellStyle name="Normal 2 3 3 2" xfId="25358" xr:uid="{00000000-0005-0000-0000-000011630000}"/>
    <cellStyle name="Normal 2 3 4" xfId="25359" xr:uid="{00000000-0005-0000-0000-000012630000}"/>
    <cellStyle name="Normal 2 3 4 2" xfId="25360" xr:uid="{00000000-0005-0000-0000-000013630000}"/>
    <cellStyle name="Normal 2 3 5" xfId="25361" xr:uid="{00000000-0005-0000-0000-000014630000}"/>
    <cellStyle name="Normal 2 3 6" xfId="25362" xr:uid="{00000000-0005-0000-0000-000015630000}"/>
    <cellStyle name="Normal 2 3 7" xfId="25363" xr:uid="{00000000-0005-0000-0000-000016630000}"/>
    <cellStyle name="Normal 2 3 8" xfId="25364" xr:uid="{00000000-0005-0000-0000-000017630000}"/>
    <cellStyle name="Normal 2 3 9" xfId="25365" xr:uid="{00000000-0005-0000-0000-000018630000}"/>
    <cellStyle name="Normal 2 30" xfId="25366" xr:uid="{00000000-0005-0000-0000-000019630000}"/>
    <cellStyle name="Normal 2 30 2" xfId="25367" xr:uid="{00000000-0005-0000-0000-00001A630000}"/>
    <cellStyle name="Normal 2 30 2 2" xfId="25368" xr:uid="{00000000-0005-0000-0000-00001B630000}"/>
    <cellStyle name="Normal 2 30 2 2 2" xfId="25369" xr:uid="{00000000-0005-0000-0000-00001C630000}"/>
    <cellStyle name="Normal 2 30 2 3" xfId="25370" xr:uid="{00000000-0005-0000-0000-00001D630000}"/>
    <cellStyle name="Normal 2 30 3" xfId="25371" xr:uid="{00000000-0005-0000-0000-00001E630000}"/>
    <cellStyle name="Normal 2 30 3 2" xfId="25372" xr:uid="{00000000-0005-0000-0000-00001F630000}"/>
    <cellStyle name="Normal 2 30 3 2 2" xfId="25373" xr:uid="{00000000-0005-0000-0000-000020630000}"/>
    <cellStyle name="Normal 2 30 3 2 2 2" xfId="25374" xr:uid="{00000000-0005-0000-0000-000021630000}"/>
    <cellStyle name="Normal 2 30 3 2 2 3" xfId="25375" xr:uid="{00000000-0005-0000-0000-000022630000}"/>
    <cellStyle name="Normal 2 30 3 2 3" xfId="25376" xr:uid="{00000000-0005-0000-0000-000023630000}"/>
    <cellStyle name="Normal 2 30 3 2 4" xfId="25377" xr:uid="{00000000-0005-0000-0000-000024630000}"/>
    <cellStyle name="Normal 2 30 3 2 5" xfId="25378" xr:uid="{00000000-0005-0000-0000-000025630000}"/>
    <cellStyle name="Normal 2 30 3 2 6" xfId="25379" xr:uid="{00000000-0005-0000-0000-000026630000}"/>
    <cellStyle name="Normal 2 30 3 3" xfId="25380" xr:uid="{00000000-0005-0000-0000-000027630000}"/>
    <cellStyle name="Normal 2 30 3 3 2" xfId="25381" xr:uid="{00000000-0005-0000-0000-000028630000}"/>
    <cellStyle name="Normal 2 30 3 3 2 2" xfId="25382" xr:uid="{00000000-0005-0000-0000-000029630000}"/>
    <cellStyle name="Normal 2 30 3 3 3" xfId="25383" xr:uid="{00000000-0005-0000-0000-00002A630000}"/>
    <cellStyle name="Normal 2 30 3 3 4" xfId="25384" xr:uid="{00000000-0005-0000-0000-00002B630000}"/>
    <cellStyle name="Normal 2 30 3 3 5" xfId="25385" xr:uid="{00000000-0005-0000-0000-00002C630000}"/>
    <cellStyle name="Normal 2 30 3 4" xfId="25386" xr:uid="{00000000-0005-0000-0000-00002D630000}"/>
    <cellStyle name="Normal 2 30 3 4 2" xfId="25387" xr:uid="{00000000-0005-0000-0000-00002E630000}"/>
    <cellStyle name="Normal 2 30 3 4 3" xfId="25388" xr:uid="{00000000-0005-0000-0000-00002F630000}"/>
    <cellStyle name="Normal 2 30 3 4 4" xfId="25389" xr:uid="{00000000-0005-0000-0000-000030630000}"/>
    <cellStyle name="Normal 2 30 3 5" xfId="25390" xr:uid="{00000000-0005-0000-0000-000031630000}"/>
    <cellStyle name="Normal 2 30 3 5 2" xfId="25391" xr:uid="{00000000-0005-0000-0000-000032630000}"/>
    <cellStyle name="Normal 2 30 3 6" xfId="25392" xr:uid="{00000000-0005-0000-0000-000033630000}"/>
    <cellStyle name="Normal 2 30 3 7" xfId="25393" xr:uid="{00000000-0005-0000-0000-000034630000}"/>
    <cellStyle name="Normal 2 30 3 8" xfId="25394" xr:uid="{00000000-0005-0000-0000-000035630000}"/>
    <cellStyle name="Normal 2 30 3 9" xfId="25395" xr:uid="{00000000-0005-0000-0000-000036630000}"/>
    <cellStyle name="Normal 2 30 4" xfId="25396" xr:uid="{00000000-0005-0000-0000-000037630000}"/>
    <cellStyle name="Normal 2 30 4 2" xfId="25397" xr:uid="{00000000-0005-0000-0000-000038630000}"/>
    <cellStyle name="Normal 2 30 4 2 2" xfId="25398" xr:uid="{00000000-0005-0000-0000-000039630000}"/>
    <cellStyle name="Normal 2 30 4 3" xfId="25399" xr:uid="{00000000-0005-0000-0000-00003A630000}"/>
    <cellStyle name="Normal 2 30 4 4" xfId="25400" xr:uid="{00000000-0005-0000-0000-00003B630000}"/>
    <cellStyle name="Normal 2 30 4 5" xfId="25401" xr:uid="{00000000-0005-0000-0000-00003C630000}"/>
    <cellStyle name="Normal 2 30 4 6" xfId="25402" xr:uid="{00000000-0005-0000-0000-00003D630000}"/>
    <cellStyle name="Normal 2 30 5" xfId="25403" xr:uid="{00000000-0005-0000-0000-00003E630000}"/>
    <cellStyle name="Normal 2 30 5 2" xfId="25404" xr:uid="{00000000-0005-0000-0000-00003F630000}"/>
    <cellStyle name="Normal 2 30 5 3" xfId="25405" xr:uid="{00000000-0005-0000-0000-000040630000}"/>
    <cellStyle name="Normal 2 30 6" xfId="25406" xr:uid="{00000000-0005-0000-0000-000041630000}"/>
    <cellStyle name="Normal 2 30 6 2" xfId="25407" xr:uid="{00000000-0005-0000-0000-000042630000}"/>
    <cellStyle name="Normal 2 30 7" xfId="25408" xr:uid="{00000000-0005-0000-0000-000043630000}"/>
    <cellStyle name="Normal 2 30 8" xfId="25409" xr:uid="{00000000-0005-0000-0000-000044630000}"/>
    <cellStyle name="Normal 2 31" xfId="25410" xr:uid="{00000000-0005-0000-0000-000045630000}"/>
    <cellStyle name="Normal 2 31 2" xfId="25411" xr:uid="{00000000-0005-0000-0000-000046630000}"/>
    <cellStyle name="Normal 2 31 2 2" xfId="25412" xr:uid="{00000000-0005-0000-0000-000047630000}"/>
    <cellStyle name="Normal 2 31 2 2 2" xfId="25413" xr:uid="{00000000-0005-0000-0000-000048630000}"/>
    <cellStyle name="Normal 2 31 2 3" xfId="25414" xr:uid="{00000000-0005-0000-0000-000049630000}"/>
    <cellStyle name="Normal 2 31 3" xfId="25415" xr:uid="{00000000-0005-0000-0000-00004A630000}"/>
    <cellStyle name="Normal 2 31 3 2" xfId="25416" xr:uid="{00000000-0005-0000-0000-00004B630000}"/>
    <cellStyle name="Normal 2 31 3 2 2" xfId="25417" xr:uid="{00000000-0005-0000-0000-00004C630000}"/>
    <cellStyle name="Normal 2 31 3 2 2 2" xfId="25418" xr:uid="{00000000-0005-0000-0000-00004D630000}"/>
    <cellStyle name="Normal 2 31 3 2 2 3" xfId="25419" xr:uid="{00000000-0005-0000-0000-00004E630000}"/>
    <cellStyle name="Normal 2 31 3 2 3" xfId="25420" xr:uid="{00000000-0005-0000-0000-00004F630000}"/>
    <cellStyle name="Normal 2 31 3 2 4" xfId="25421" xr:uid="{00000000-0005-0000-0000-000050630000}"/>
    <cellStyle name="Normal 2 31 3 2 5" xfId="25422" xr:uid="{00000000-0005-0000-0000-000051630000}"/>
    <cellStyle name="Normal 2 31 3 2 6" xfId="25423" xr:uid="{00000000-0005-0000-0000-000052630000}"/>
    <cellStyle name="Normal 2 31 3 3" xfId="25424" xr:uid="{00000000-0005-0000-0000-000053630000}"/>
    <cellStyle name="Normal 2 31 3 3 2" xfId="25425" xr:uid="{00000000-0005-0000-0000-000054630000}"/>
    <cellStyle name="Normal 2 31 3 3 2 2" xfId="25426" xr:uid="{00000000-0005-0000-0000-000055630000}"/>
    <cellStyle name="Normal 2 31 3 3 3" xfId="25427" xr:uid="{00000000-0005-0000-0000-000056630000}"/>
    <cellStyle name="Normal 2 31 3 3 4" xfId="25428" xr:uid="{00000000-0005-0000-0000-000057630000}"/>
    <cellStyle name="Normal 2 31 3 3 5" xfId="25429" xr:uid="{00000000-0005-0000-0000-000058630000}"/>
    <cellStyle name="Normal 2 31 3 4" xfId="25430" xr:uid="{00000000-0005-0000-0000-000059630000}"/>
    <cellStyle name="Normal 2 31 3 4 2" xfId="25431" xr:uid="{00000000-0005-0000-0000-00005A630000}"/>
    <cellStyle name="Normal 2 31 3 4 3" xfId="25432" xr:uid="{00000000-0005-0000-0000-00005B630000}"/>
    <cellStyle name="Normal 2 31 3 4 4" xfId="25433" xr:uid="{00000000-0005-0000-0000-00005C630000}"/>
    <cellStyle name="Normal 2 31 3 5" xfId="25434" xr:uid="{00000000-0005-0000-0000-00005D630000}"/>
    <cellStyle name="Normal 2 31 3 5 2" xfId="25435" xr:uid="{00000000-0005-0000-0000-00005E630000}"/>
    <cellStyle name="Normal 2 31 3 6" xfId="25436" xr:uid="{00000000-0005-0000-0000-00005F630000}"/>
    <cellStyle name="Normal 2 31 3 7" xfId="25437" xr:uid="{00000000-0005-0000-0000-000060630000}"/>
    <cellStyle name="Normal 2 31 3 8" xfId="25438" xr:uid="{00000000-0005-0000-0000-000061630000}"/>
    <cellStyle name="Normal 2 31 3 9" xfId="25439" xr:uid="{00000000-0005-0000-0000-000062630000}"/>
    <cellStyle name="Normal 2 31 4" xfId="25440" xr:uid="{00000000-0005-0000-0000-000063630000}"/>
    <cellStyle name="Normal 2 31 4 2" xfId="25441" xr:uid="{00000000-0005-0000-0000-000064630000}"/>
    <cellStyle name="Normal 2 31 4 2 2" xfId="25442" xr:uid="{00000000-0005-0000-0000-000065630000}"/>
    <cellStyle name="Normal 2 31 4 3" xfId="25443" xr:uid="{00000000-0005-0000-0000-000066630000}"/>
    <cellStyle name="Normal 2 31 4 4" xfId="25444" xr:uid="{00000000-0005-0000-0000-000067630000}"/>
    <cellStyle name="Normal 2 31 4 5" xfId="25445" xr:uid="{00000000-0005-0000-0000-000068630000}"/>
    <cellStyle name="Normal 2 31 4 6" xfId="25446" xr:uid="{00000000-0005-0000-0000-000069630000}"/>
    <cellStyle name="Normal 2 31 5" xfId="25447" xr:uid="{00000000-0005-0000-0000-00006A630000}"/>
    <cellStyle name="Normal 2 31 5 2" xfId="25448" xr:uid="{00000000-0005-0000-0000-00006B630000}"/>
    <cellStyle name="Normal 2 31 5 3" xfId="25449" xr:uid="{00000000-0005-0000-0000-00006C630000}"/>
    <cellStyle name="Normal 2 31 6" xfId="25450" xr:uid="{00000000-0005-0000-0000-00006D630000}"/>
    <cellStyle name="Normal 2 31 6 2" xfId="25451" xr:uid="{00000000-0005-0000-0000-00006E630000}"/>
    <cellStyle name="Normal 2 31 7" xfId="25452" xr:uid="{00000000-0005-0000-0000-00006F630000}"/>
    <cellStyle name="Normal 2 31 8" xfId="25453" xr:uid="{00000000-0005-0000-0000-000070630000}"/>
    <cellStyle name="Normal 2 32" xfId="25454" xr:uid="{00000000-0005-0000-0000-000071630000}"/>
    <cellStyle name="Normal 2 32 2" xfId="25455" xr:uid="{00000000-0005-0000-0000-000072630000}"/>
    <cellStyle name="Normal 2 32 2 2" xfId="25456" xr:uid="{00000000-0005-0000-0000-000073630000}"/>
    <cellStyle name="Normal 2 32 2 2 2" xfId="25457" xr:uid="{00000000-0005-0000-0000-000074630000}"/>
    <cellStyle name="Normal 2 32 2 3" xfId="25458" xr:uid="{00000000-0005-0000-0000-000075630000}"/>
    <cellStyle name="Normal 2 32 3" xfId="25459" xr:uid="{00000000-0005-0000-0000-000076630000}"/>
    <cellStyle name="Normal 2 32 3 2" xfId="25460" xr:uid="{00000000-0005-0000-0000-000077630000}"/>
    <cellStyle name="Normal 2 32 3 2 2" xfId="25461" xr:uid="{00000000-0005-0000-0000-000078630000}"/>
    <cellStyle name="Normal 2 32 3 2 2 2" xfId="25462" xr:uid="{00000000-0005-0000-0000-000079630000}"/>
    <cellStyle name="Normal 2 32 3 2 2 3" xfId="25463" xr:uid="{00000000-0005-0000-0000-00007A630000}"/>
    <cellStyle name="Normal 2 32 3 2 3" xfId="25464" xr:uid="{00000000-0005-0000-0000-00007B630000}"/>
    <cellStyle name="Normal 2 32 3 2 4" xfId="25465" xr:uid="{00000000-0005-0000-0000-00007C630000}"/>
    <cellStyle name="Normal 2 32 3 2 5" xfId="25466" xr:uid="{00000000-0005-0000-0000-00007D630000}"/>
    <cellStyle name="Normal 2 32 3 2 6" xfId="25467" xr:uid="{00000000-0005-0000-0000-00007E630000}"/>
    <cellStyle name="Normal 2 32 3 3" xfId="25468" xr:uid="{00000000-0005-0000-0000-00007F630000}"/>
    <cellStyle name="Normal 2 32 3 3 2" xfId="25469" xr:uid="{00000000-0005-0000-0000-000080630000}"/>
    <cellStyle name="Normal 2 32 3 3 2 2" xfId="25470" xr:uid="{00000000-0005-0000-0000-000081630000}"/>
    <cellStyle name="Normal 2 32 3 3 3" xfId="25471" xr:uid="{00000000-0005-0000-0000-000082630000}"/>
    <cellStyle name="Normal 2 32 3 3 4" xfId="25472" xr:uid="{00000000-0005-0000-0000-000083630000}"/>
    <cellStyle name="Normal 2 32 3 3 5" xfId="25473" xr:uid="{00000000-0005-0000-0000-000084630000}"/>
    <cellStyle name="Normal 2 32 3 4" xfId="25474" xr:uid="{00000000-0005-0000-0000-000085630000}"/>
    <cellStyle name="Normal 2 32 3 4 2" xfId="25475" xr:uid="{00000000-0005-0000-0000-000086630000}"/>
    <cellStyle name="Normal 2 32 3 4 3" xfId="25476" xr:uid="{00000000-0005-0000-0000-000087630000}"/>
    <cellStyle name="Normal 2 32 3 4 4" xfId="25477" xr:uid="{00000000-0005-0000-0000-000088630000}"/>
    <cellStyle name="Normal 2 32 3 5" xfId="25478" xr:uid="{00000000-0005-0000-0000-000089630000}"/>
    <cellStyle name="Normal 2 32 3 5 2" xfId="25479" xr:uid="{00000000-0005-0000-0000-00008A630000}"/>
    <cellStyle name="Normal 2 32 3 6" xfId="25480" xr:uid="{00000000-0005-0000-0000-00008B630000}"/>
    <cellStyle name="Normal 2 32 3 7" xfId="25481" xr:uid="{00000000-0005-0000-0000-00008C630000}"/>
    <cellStyle name="Normal 2 32 3 8" xfId="25482" xr:uid="{00000000-0005-0000-0000-00008D630000}"/>
    <cellStyle name="Normal 2 32 3 9" xfId="25483" xr:uid="{00000000-0005-0000-0000-00008E630000}"/>
    <cellStyle name="Normal 2 32 4" xfId="25484" xr:uid="{00000000-0005-0000-0000-00008F630000}"/>
    <cellStyle name="Normal 2 32 4 2" xfId="25485" xr:uid="{00000000-0005-0000-0000-000090630000}"/>
    <cellStyle name="Normal 2 32 4 2 2" xfId="25486" xr:uid="{00000000-0005-0000-0000-000091630000}"/>
    <cellStyle name="Normal 2 32 4 3" xfId="25487" xr:uid="{00000000-0005-0000-0000-000092630000}"/>
    <cellStyle name="Normal 2 32 4 4" xfId="25488" xr:uid="{00000000-0005-0000-0000-000093630000}"/>
    <cellStyle name="Normal 2 32 4 5" xfId="25489" xr:uid="{00000000-0005-0000-0000-000094630000}"/>
    <cellStyle name="Normal 2 32 4 6" xfId="25490" xr:uid="{00000000-0005-0000-0000-000095630000}"/>
    <cellStyle name="Normal 2 32 5" xfId="25491" xr:uid="{00000000-0005-0000-0000-000096630000}"/>
    <cellStyle name="Normal 2 32 5 2" xfId="25492" xr:uid="{00000000-0005-0000-0000-000097630000}"/>
    <cellStyle name="Normal 2 32 5 3" xfId="25493" xr:uid="{00000000-0005-0000-0000-000098630000}"/>
    <cellStyle name="Normal 2 32 6" xfId="25494" xr:uid="{00000000-0005-0000-0000-000099630000}"/>
    <cellStyle name="Normal 2 32 6 2" xfId="25495" xr:uid="{00000000-0005-0000-0000-00009A630000}"/>
    <cellStyle name="Normal 2 32 7" xfId="25496" xr:uid="{00000000-0005-0000-0000-00009B630000}"/>
    <cellStyle name="Normal 2 32 8" xfId="25497" xr:uid="{00000000-0005-0000-0000-00009C630000}"/>
    <cellStyle name="Normal 2 33" xfId="25498" xr:uid="{00000000-0005-0000-0000-00009D630000}"/>
    <cellStyle name="Normal 2 33 2" xfId="25499" xr:uid="{00000000-0005-0000-0000-00009E630000}"/>
    <cellStyle name="Normal 2 33 2 2" xfId="25500" xr:uid="{00000000-0005-0000-0000-00009F630000}"/>
    <cellStyle name="Normal 2 33 2 2 2" xfId="25501" xr:uid="{00000000-0005-0000-0000-0000A0630000}"/>
    <cellStyle name="Normal 2 33 2 3" xfId="25502" xr:uid="{00000000-0005-0000-0000-0000A1630000}"/>
    <cellStyle name="Normal 2 33 3" xfId="25503" xr:uid="{00000000-0005-0000-0000-0000A2630000}"/>
    <cellStyle name="Normal 2 33 3 2" xfId="25504" xr:uid="{00000000-0005-0000-0000-0000A3630000}"/>
    <cellStyle name="Normal 2 33 3 2 2" xfId="25505" xr:uid="{00000000-0005-0000-0000-0000A4630000}"/>
    <cellStyle name="Normal 2 33 3 2 2 2" xfId="25506" xr:uid="{00000000-0005-0000-0000-0000A5630000}"/>
    <cellStyle name="Normal 2 33 3 2 2 3" xfId="25507" xr:uid="{00000000-0005-0000-0000-0000A6630000}"/>
    <cellStyle name="Normal 2 33 3 2 3" xfId="25508" xr:uid="{00000000-0005-0000-0000-0000A7630000}"/>
    <cellStyle name="Normal 2 33 3 2 4" xfId="25509" xr:uid="{00000000-0005-0000-0000-0000A8630000}"/>
    <cellStyle name="Normal 2 33 3 2 5" xfId="25510" xr:uid="{00000000-0005-0000-0000-0000A9630000}"/>
    <cellStyle name="Normal 2 33 3 2 6" xfId="25511" xr:uid="{00000000-0005-0000-0000-0000AA630000}"/>
    <cellStyle name="Normal 2 33 3 3" xfId="25512" xr:uid="{00000000-0005-0000-0000-0000AB630000}"/>
    <cellStyle name="Normal 2 33 3 3 2" xfId="25513" xr:uid="{00000000-0005-0000-0000-0000AC630000}"/>
    <cellStyle name="Normal 2 33 3 3 2 2" xfId="25514" xr:uid="{00000000-0005-0000-0000-0000AD630000}"/>
    <cellStyle name="Normal 2 33 3 3 3" xfId="25515" xr:uid="{00000000-0005-0000-0000-0000AE630000}"/>
    <cellStyle name="Normal 2 33 3 3 4" xfId="25516" xr:uid="{00000000-0005-0000-0000-0000AF630000}"/>
    <cellStyle name="Normal 2 33 3 3 5" xfId="25517" xr:uid="{00000000-0005-0000-0000-0000B0630000}"/>
    <cellStyle name="Normal 2 33 3 4" xfId="25518" xr:uid="{00000000-0005-0000-0000-0000B1630000}"/>
    <cellStyle name="Normal 2 33 3 4 2" xfId="25519" xr:uid="{00000000-0005-0000-0000-0000B2630000}"/>
    <cellStyle name="Normal 2 33 3 4 3" xfId="25520" xr:uid="{00000000-0005-0000-0000-0000B3630000}"/>
    <cellStyle name="Normal 2 33 3 4 4" xfId="25521" xr:uid="{00000000-0005-0000-0000-0000B4630000}"/>
    <cellStyle name="Normal 2 33 3 5" xfId="25522" xr:uid="{00000000-0005-0000-0000-0000B5630000}"/>
    <cellStyle name="Normal 2 33 3 5 2" xfId="25523" xr:uid="{00000000-0005-0000-0000-0000B6630000}"/>
    <cellStyle name="Normal 2 33 3 6" xfId="25524" xr:uid="{00000000-0005-0000-0000-0000B7630000}"/>
    <cellStyle name="Normal 2 33 3 7" xfId="25525" xr:uid="{00000000-0005-0000-0000-0000B8630000}"/>
    <cellStyle name="Normal 2 33 3 8" xfId="25526" xr:uid="{00000000-0005-0000-0000-0000B9630000}"/>
    <cellStyle name="Normal 2 33 3 9" xfId="25527" xr:uid="{00000000-0005-0000-0000-0000BA630000}"/>
    <cellStyle name="Normal 2 33 4" xfId="25528" xr:uid="{00000000-0005-0000-0000-0000BB630000}"/>
    <cellStyle name="Normal 2 33 4 2" xfId="25529" xr:uid="{00000000-0005-0000-0000-0000BC630000}"/>
    <cellStyle name="Normal 2 33 4 2 2" xfId="25530" xr:uid="{00000000-0005-0000-0000-0000BD630000}"/>
    <cellStyle name="Normal 2 33 4 3" xfId="25531" xr:uid="{00000000-0005-0000-0000-0000BE630000}"/>
    <cellStyle name="Normal 2 33 4 4" xfId="25532" xr:uid="{00000000-0005-0000-0000-0000BF630000}"/>
    <cellStyle name="Normal 2 33 4 5" xfId="25533" xr:uid="{00000000-0005-0000-0000-0000C0630000}"/>
    <cellStyle name="Normal 2 33 4 6" xfId="25534" xr:uid="{00000000-0005-0000-0000-0000C1630000}"/>
    <cellStyle name="Normal 2 33 5" xfId="25535" xr:uid="{00000000-0005-0000-0000-0000C2630000}"/>
    <cellStyle name="Normal 2 33 5 2" xfId="25536" xr:uid="{00000000-0005-0000-0000-0000C3630000}"/>
    <cellStyle name="Normal 2 33 5 3" xfId="25537" xr:uid="{00000000-0005-0000-0000-0000C4630000}"/>
    <cellStyle name="Normal 2 33 6" xfId="25538" xr:uid="{00000000-0005-0000-0000-0000C5630000}"/>
    <cellStyle name="Normal 2 33 6 2" xfId="25539" xr:uid="{00000000-0005-0000-0000-0000C6630000}"/>
    <cellStyle name="Normal 2 33 7" xfId="25540" xr:uid="{00000000-0005-0000-0000-0000C7630000}"/>
    <cellStyle name="Normal 2 33 8" xfId="25541" xr:uid="{00000000-0005-0000-0000-0000C8630000}"/>
    <cellStyle name="Normal 2 34" xfId="25542" xr:uid="{00000000-0005-0000-0000-0000C9630000}"/>
    <cellStyle name="Normal 2 34 2" xfId="25543" xr:uid="{00000000-0005-0000-0000-0000CA630000}"/>
    <cellStyle name="Normal 2 34 2 2" xfId="25544" xr:uid="{00000000-0005-0000-0000-0000CB630000}"/>
    <cellStyle name="Normal 2 34 2 2 2" xfId="25545" xr:uid="{00000000-0005-0000-0000-0000CC630000}"/>
    <cellStyle name="Normal 2 34 2 3" xfId="25546" xr:uid="{00000000-0005-0000-0000-0000CD630000}"/>
    <cellStyle name="Normal 2 34 3" xfId="25547" xr:uid="{00000000-0005-0000-0000-0000CE630000}"/>
    <cellStyle name="Normal 2 34 3 2" xfId="25548" xr:uid="{00000000-0005-0000-0000-0000CF630000}"/>
    <cellStyle name="Normal 2 34 3 2 2" xfId="25549" xr:uid="{00000000-0005-0000-0000-0000D0630000}"/>
    <cellStyle name="Normal 2 34 3 2 2 2" xfId="25550" xr:uid="{00000000-0005-0000-0000-0000D1630000}"/>
    <cellStyle name="Normal 2 34 3 2 2 3" xfId="25551" xr:uid="{00000000-0005-0000-0000-0000D2630000}"/>
    <cellStyle name="Normal 2 34 3 2 3" xfId="25552" xr:uid="{00000000-0005-0000-0000-0000D3630000}"/>
    <cellStyle name="Normal 2 34 3 2 4" xfId="25553" xr:uid="{00000000-0005-0000-0000-0000D4630000}"/>
    <cellStyle name="Normal 2 34 3 2 5" xfId="25554" xr:uid="{00000000-0005-0000-0000-0000D5630000}"/>
    <cellStyle name="Normal 2 34 3 2 6" xfId="25555" xr:uid="{00000000-0005-0000-0000-0000D6630000}"/>
    <cellStyle name="Normal 2 34 3 3" xfId="25556" xr:uid="{00000000-0005-0000-0000-0000D7630000}"/>
    <cellStyle name="Normal 2 34 3 3 2" xfId="25557" xr:uid="{00000000-0005-0000-0000-0000D8630000}"/>
    <cellStyle name="Normal 2 34 3 3 2 2" xfId="25558" xr:uid="{00000000-0005-0000-0000-0000D9630000}"/>
    <cellStyle name="Normal 2 34 3 3 3" xfId="25559" xr:uid="{00000000-0005-0000-0000-0000DA630000}"/>
    <cellStyle name="Normal 2 34 3 3 4" xfId="25560" xr:uid="{00000000-0005-0000-0000-0000DB630000}"/>
    <cellStyle name="Normal 2 34 3 3 5" xfId="25561" xr:uid="{00000000-0005-0000-0000-0000DC630000}"/>
    <cellStyle name="Normal 2 34 3 4" xfId="25562" xr:uid="{00000000-0005-0000-0000-0000DD630000}"/>
    <cellStyle name="Normal 2 34 3 4 2" xfId="25563" xr:uid="{00000000-0005-0000-0000-0000DE630000}"/>
    <cellStyle name="Normal 2 34 3 4 3" xfId="25564" xr:uid="{00000000-0005-0000-0000-0000DF630000}"/>
    <cellStyle name="Normal 2 34 3 4 4" xfId="25565" xr:uid="{00000000-0005-0000-0000-0000E0630000}"/>
    <cellStyle name="Normal 2 34 3 5" xfId="25566" xr:uid="{00000000-0005-0000-0000-0000E1630000}"/>
    <cellStyle name="Normal 2 34 3 5 2" xfId="25567" xr:uid="{00000000-0005-0000-0000-0000E2630000}"/>
    <cellStyle name="Normal 2 34 3 6" xfId="25568" xr:uid="{00000000-0005-0000-0000-0000E3630000}"/>
    <cellStyle name="Normal 2 34 3 7" xfId="25569" xr:uid="{00000000-0005-0000-0000-0000E4630000}"/>
    <cellStyle name="Normal 2 34 3 8" xfId="25570" xr:uid="{00000000-0005-0000-0000-0000E5630000}"/>
    <cellStyle name="Normal 2 34 3 9" xfId="25571" xr:uid="{00000000-0005-0000-0000-0000E6630000}"/>
    <cellStyle name="Normal 2 34 4" xfId="25572" xr:uid="{00000000-0005-0000-0000-0000E7630000}"/>
    <cellStyle name="Normal 2 34 4 2" xfId="25573" xr:uid="{00000000-0005-0000-0000-0000E8630000}"/>
    <cellStyle name="Normal 2 34 4 2 2" xfId="25574" xr:uid="{00000000-0005-0000-0000-0000E9630000}"/>
    <cellStyle name="Normal 2 34 4 3" xfId="25575" xr:uid="{00000000-0005-0000-0000-0000EA630000}"/>
    <cellStyle name="Normal 2 34 4 4" xfId="25576" xr:uid="{00000000-0005-0000-0000-0000EB630000}"/>
    <cellStyle name="Normal 2 34 4 5" xfId="25577" xr:uid="{00000000-0005-0000-0000-0000EC630000}"/>
    <cellStyle name="Normal 2 34 4 6" xfId="25578" xr:uid="{00000000-0005-0000-0000-0000ED630000}"/>
    <cellStyle name="Normal 2 34 5" xfId="25579" xr:uid="{00000000-0005-0000-0000-0000EE630000}"/>
    <cellStyle name="Normal 2 34 5 2" xfId="25580" xr:uid="{00000000-0005-0000-0000-0000EF630000}"/>
    <cellStyle name="Normal 2 34 5 3" xfId="25581" xr:uid="{00000000-0005-0000-0000-0000F0630000}"/>
    <cellStyle name="Normal 2 34 6" xfId="25582" xr:uid="{00000000-0005-0000-0000-0000F1630000}"/>
    <cellStyle name="Normal 2 34 6 2" xfId="25583" xr:uid="{00000000-0005-0000-0000-0000F2630000}"/>
    <cellStyle name="Normal 2 34 7" xfId="25584" xr:uid="{00000000-0005-0000-0000-0000F3630000}"/>
    <cellStyle name="Normal 2 34 8" xfId="25585" xr:uid="{00000000-0005-0000-0000-0000F4630000}"/>
    <cellStyle name="Normal 2 35" xfId="25586" xr:uid="{00000000-0005-0000-0000-0000F5630000}"/>
    <cellStyle name="Normal 2 35 2" xfId="25587" xr:uid="{00000000-0005-0000-0000-0000F6630000}"/>
    <cellStyle name="Normal 2 35 2 2" xfId="25588" xr:uid="{00000000-0005-0000-0000-0000F7630000}"/>
    <cellStyle name="Normal 2 35 2 2 2" xfId="25589" xr:uid="{00000000-0005-0000-0000-0000F8630000}"/>
    <cellStyle name="Normal 2 35 2 3" xfId="25590" xr:uid="{00000000-0005-0000-0000-0000F9630000}"/>
    <cellStyle name="Normal 2 35 3" xfId="25591" xr:uid="{00000000-0005-0000-0000-0000FA630000}"/>
    <cellStyle name="Normal 2 35 3 2" xfId="25592" xr:uid="{00000000-0005-0000-0000-0000FB630000}"/>
    <cellStyle name="Normal 2 35 3 2 2" xfId="25593" xr:uid="{00000000-0005-0000-0000-0000FC630000}"/>
    <cellStyle name="Normal 2 35 3 2 2 2" xfId="25594" xr:uid="{00000000-0005-0000-0000-0000FD630000}"/>
    <cellStyle name="Normal 2 35 3 2 2 3" xfId="25595" xr:uid="{00000000-0005-0000-0000-0000FE630000}"/>
    <cellStyle name="Normal 2 35 3 2 3" xfId="25596" xr:uid="{00000000-0005-0000-0000-0000FF630000}"/>
    <cellStyle name="Normal 2 35 3 2 4" xfId="25597" xr:uid="{00000000-0005-0000-0000-000000640000}"/>
    <cellStyle name="Normal 2 35 3 2 5" xfId="25598" xr:uid="{00000000-0005-0000-0000-000001640000}"/>
    <cellStyle name="Normal 2 35 3 2 6" xfId="25599" xr:uid="{00000000-0005-0000-0000-000002640000}"/>
    <cellStyle name="Normal 2 35 3 3" xfId="25600" xr:uid="{00000000-0005-0000-0000-000003640000}"/>
    <cellStyle name="Normal 2 35 3 3 2" xfId="25601" xr:uid="{00000000-0005-0000-0000-000004640000}"/>
    <cellStyle name="Normal 2 35 3 3 2 2" xfId="25602" xr:uid="{00000000-0005-0000-0000-000005640000}"/>
    <cellStyle name="Normal 2 35 3 3 3" xfId="25603" xr:uid="{00000000-0005-0000-0000-000006640000}"/>
    <cellStyle name="Normal 2 35 3 3 4" xfId="25604" xr:uid="{00000000-0005-0000-0000-000007640000}"/>
    <cellStyle name="Normal 2 35 3 3 5" xfId="25605" xr:uid="{00000000-0005-0000-0000-000008640000}"/>
    <cellStyle name="Normal 2 35 3 4" xfId="25606" xr:uid="{00000000-0005-0000-0000-000009640000}"/>
    <cellStyle name="Normal 2 35 3 4 2" xfId="25607" xr:uid="{00000000-0005-0000-0000-00000A640000}"/>
    <cellStyle name="Normal 2 35 3 4 3" xfId="25608" xr:uid="{00000000-0005-0000-0000-00000B640000}"/>
    <cellStyle name="Normal 2 35 3 4 4" xfId="25609" xr:uid="{00000000-0005-0000-0000-00000C640000}"/>
    <cellStyle name="Normal 2 35 3 5" xfId="25610" xr:uid="{00000000-0005-0000-0000-00000D640000}"/>
    <cellStyle name="Normal 2 35 3 5 2" xfId="25611" xr:uid="{00000000-0005-0000-0000-00000E640000}"/>
    <cellStyle name="Normal 2 35 3 6" xfId="25612" xr:uid="{00000000-0005-0000-0000-00000F640000}"/>
    <cellStyle name="Normal 2 35 3 7" xfId="25613" xr:uid="{00000000-0005-0000-0000-000010640000}"/>
    <cellStyle name="Normal 2 35 3 8" xfId="25614" xr:uid="{00000000-0005-0000-0000-000011640000}"/>
    <cellStyle name="Normal 2 35 3 9" xfId="25615" xr:uid="{00000000-0005-0000-0000-000012640000}"/>
    <cellStyle name="Normal 2 35 4" xfId="25616" xr:uid="{00000000-0005-0000-0000-000013640000}"/>
    <cellStyle name="Normal 2 35 4 2" xfId="25617" xr:uid="{00000000-0005-0000-0000-000014640000}"/>
    <cellStyle name="Normal 2 35 4 2 2" xfId="25618" xr:uid="{00000000-0005-0000-0000-000015640000}"/>
    <cellStyle name="Normal 2 35 4 3" xfId="25619" xr:uid="{00000000-0005-0000-0000-000016640000}"/>
    <cellStyle name="Normal 2 35 4 4" xfId="25620" xr:uid="{00000000-0005-0000-0000-000017640000}"/>
    <cellStyle name="Normal 2 35 4 5" xfId="25621" xr:uid="{00000000-0005-0000-0000-000018640000}"/>
    <cellStyle name="Normal 2 35 4 6" xfId="25622" xr:uid="{00000000-0005-0000-0000-000019640000}"/>
    <cellStyle name="Normal 2 35 5" xfId="25623" xr:uid="{00000000-0005-0000-0000-00001A640000}"/>
    <cellStyle name="Normal 2 35 5 2" xfId="25624" xr:uid="{00000000-0005-0000-0000-00001B640000}"/>
    <cellStyle name="Normal 2 35 5 3" xfId="25625" xr:uid="{00000000-0005-0000-0000-00001C640000}"/>
    <cellStyle name="Normal 2 35 6" xfId="25626" xr:uid="{00000000-0005-0000-0000-00001D640000}"/>
    <cellStyle name="Normal 2 35 6 2" xfId="25627" xr:uid="{00000000-0005-0000-0000-00001E640000}"/>
    <cellStyle name="Normal 2 35 7" xfId="25628" xr:uid="{00000000-0005-0000-0000-00001F640000}"/>
    <cellStyle name="Normal 2 35 8" xfId="25629" xr:uid="{00000000-0005-0000-0000-000020640000}"/>
    <cellStyle name="Normal 2 36" xfId="25630" xr:uid="{00000000-0005-0000-0000-000021640000}"/>
    <cellStyle name="Normal 2 36 2" xfId="25631" xr:uid="{00000000-0005-0000-0000-000022640000}"/>
    <cellStyle name="Normal 2 36 2 2" xfId="25632" xr:uid="{00000000-0005-0000-0000-000023640000}"/>
    <cellStyle name="Normal 2 36 2 2 2" xfId="25633" xr:uid="{00000000-0005-0000-0000-000024640000}"/>
    <cellStyle name="Normal 2 36 2 3" xfId="25634" xr:uid="{00000000-0005-0000-0000-000025640000}"/>
    <cellStyle name="Normal 2 36 3" xfId="25635" xr:uid="{00000000-0005-0000-0000-000026640000}"/>
    <cellStyle name="Normal 2 36 3 2" xfId="25636" xr:uid="{00000000-0005-0000-0000-000027640000}"/>
    <cellStyle name="Normal 2 36 3 2 2" xfId="25637" xr:uid="{00000000-0005-0000-0000-000028640000}"/>
    <cellStyle name="Normal 2 36 3 2 2 2" xfId="25638" xr:uid="{00000000-0005-0000-0000-000029640000}"/>
    <cellStyle name="Normal 2 36 3 2 2 3" xfId="25639" xr:uid="{00000000-0005-0000-0000-00002A640000}"/>
    <cellStyle name="Normal 2 36 3 2 3" xfId="25640" xr:uid="{00000000-0005-0000-0000-00002B640000}"/>
    <cellStyle name="Normal 2 36 3 2 4" xfId="25641" xr:uid="{00000000-0005-0000-0000-00002C640000}"/>
    <cellStyle name="Normal 2 36 3 2 5" xfId="25642" xr:uid="{00000000-0005-0000-0000-00002D640000}"/>
    <cellStyle name="Normal 2 36 3 2 6" xfId="25643" xr:uid="{00000000-0005-0000-0000-00002E640000}"/>
    <cellStyle name="Normal 2 36 3 3" xfId="25644" xr:uid="{00000000-0005-0000-0000-00002F640000}"/>
    <cellStyle name="Normal 2 36 3 3 2" xfId="25645" xr:uid="{00000000-0005-0000-0000-000030640000}"/>
    <cellStyle name="Normal 2 36 3 3 2 2" xfId="25646" xr:uid="{00000000-0005-0000-0000-000031640000}"/>
    <cellStyle name="Normal 2 36 3 3 3" xfId="25647" xr:uid="{00000000-0005-0000-0000-000032640000}"/>
    <cellStyle name="Normal 2 36 3 3 4" xfId="25648" xr:uid="{00000000-0005-0000-0000-000033640000}"/>
    <cellStyle name="Normal 2 36 3 3 5" xfId="25649" xr:uid="{00000000-0005-0000-0000-000034640000}"/>
    <cellStyle name="Normal 2 36 3 4" xfId="25650" xr:uid="{00000000-0005-0000-0000-000035640000}"/>
    <cellStyle name="Normal 2 36 3 4 2" xfId="25651" xr:uid="{00000000-0005-0000-0000-000036640000}"/>
    <cellStyle name="Normal 2 36 3 4 3" xfId="25652" xr:uid="{00000000-0005-0000-0000-000037640000}"/>
    <cellStyle name="Normal 2 36 3 4 4" xfId="25653" xr:uid="{00000000-0005-0000-0000-000038640000}"/>
    <cellStyle name="Normal 2 36 3 5" xfId="25654" xr:uid="{00000000-0005-0000-0000-000039640000}"/>
    <cellStyle name="Normal 2 36 3 5 2" xfId="25655" xr:uid="{00000000-0005-0000-0000-00003A640000}"/>
    <cellStyle name="Normal 2 36 3 6" xfId="25656" xr:uid="{00000000-0005-0000-0000-00003B640000}"/>
    <cellStyle name="Normal 2 36 3 7" xfId="25657" xr:uid="{00000000-0005-0000-0000-00003C640000}"/>
    <cellStyle name="Normal 2 36 3 8" xfId="25658" xr:uid="{00000000-0005-0000-0000-00003D640000}"/>
    <cellStyle name="Normal 2 36 3 9" xfId="25659" xr:uid="{00000000-0005-0000-0000-00003E640000}"/>
    <cellStyle name="Normal 2 36 4" xfId="25660" xr:uid="{00000000-0005-0000-0000-00003F640000}"/>
    <cellStyle name="Normal 2 36 4 2" xfId="25661" xr:uid="{00000000-0005-0000-0000-000040640000}"/>
    <cellStyle name="Normal 2 36 4 2 2" xfId="25662" xr:uid="{00000000-0005-0000-0000-000041640000}"/>
    <cellStyle name="Normal 2 36 4 3" xfId="25663" xr:uid="{00000000-0005-0000-0000-000042640000}"/>
    <cellStyle name="Normal 2 36 4 4" xfId="25664" xr:uid="{00000000-0005-0000-0000-000043640000}"/>
    <cellStyle name="Normal 2 36 4 5" xfId="25665" xr:uid="{00000000-0005-0000-0000-000044640000}"/>
    <cellStyle name="Normal 2 36 4 6" xfId="25666" xr:uid="{00000000-0005-0000-0000-000045640000}"/>
    <cellStyle name="Normal 2 36 5" xfId="25667" xr:uid="{00000000-0005-0000-0000-000046640000}"/>
    <cellStyle name="Normal 2 36 5 2" xfId="25668" xr:uid="{00000000-0005-0000-0000-000047640000}"/>
    <cellStyle name="Normal 2 36 5 3" xfId="25669" xr:uid="{00000000-0005-0000-0000-000048640000}"/>
    <cellStyle name="Normal 2 36 6" xfId="25670" xr:uid="{00000000-0005-0000-0000-000049640000}"/>
    <cellStyle name="Normal 2 36 6 2" xfId="25671" xr:uid="{00000000-0005-0000-0000-00004A640000}"/>
    <cellStyle name="Normal 2 36 7" xfId="25672" xr:uid="{00000000-0005-0000-0000-00004B640000}"/>
    <cellStyle name="Normal 2 36 8" xfId="25673" xr:uid="{00000000-0005-0000-0000-00004C640000}"/>
    <cellStyle name="Normal 2 37" xfId="25674" xr:uid="{00000000-0005-0000-0000-00004D640000}"/>
    <cellStyle name="Normal 2 37 2" xfId="25675" xr:uid="{00000000-0005-0000-0000-00004E640000}"/>
    <cellStyle name="Normal 2 37 2 2" xfId="25676" xr:uid="{00000000-0005-0000-0000-00004F640000}"/>
    <cellStyle name="Normal 2 37 2 2 2" xfId="25677" xr:uid="{00000000-0005-0000-0000-000050640000}"/>
    <cellStyle name="Normal 2 37 2 3" xfId="25678" xr:uid="{00000000-0005-0000-0000-000051640000}"/>
    <cellStyle name="Normal 2 37 3" xfId="25679" xr:uid="{00000000-0005-0000-0000-000052640000}"/>
    <cellStyle name="Normal 2 37 3 2" xfId="25680" xr:uid="{00000000-0005-0000-0000-000053640000}"/>
    <cellStyle name="Normal 2 37 3 2 2" xfId="25681" xr:uid="{00000000-0005-0000-0000-000054640000}"/>
    <cellStyle name="Normal 2 37 3 2 2 2" xfId="25682" xr:uid="{00000000-0005-0000-0000-000055640000}"/>
    <cellStyle name="Normal 2 37 3 2 2 3" xfId="25683" xr:uid="{00000000-0005-0000-0000-000056640000}"/>
    <cellStyle name="Normal 2 37 3 2 3" xfId="25684" xr:uid="{00000000-0005-0000-0000-000057640000}"/>
    <cellStyle name="Normal 2 37 3 2 4" xfId="25685" xr:uid="{00000000-0005-0000-0000-000058640000}"/>
    <cellStyle name="Normal 2 37 3 2 5" xfId="25686" xr:uid="{00000000-0005-0000-0000-000059640000}"/>
    <cellStyle name="Normal 2 37 3 2 6" xfId="25687" xr:uid="{00000000-0005-0000-0000-00005A640000}"/>
    <cellStyle name="Normal 2 37 3 3" xfId="25688" xr:uid="{00000000-0005-0000-0000-00005B640000}"/>
    <cellStyle name="Normal 2 37 3 3 2" xfId="25689" xr:uid="{00000000-0005-0000-0000-00005C640000}"/>
    <cellStyle name="Normal 2 37 3 3 2 2" xfId="25690" xr:uid="{00000000-0005-0000-0000-00005D640000}"/>
    <cellStyle name="Normal 2 37 3 3 3" xfId="25691" xr:uid="{00000000-0005-0000-0000-00005E640000}"/>
    <cellStyle name="Normal 2 37 3 3 4" xfId="25692" xr:uid="{00000000-0005-0000-0000-00005F640000}"/>
    <cellStyle name="Normal 2 37 3 3 5" xfId="25693" xr:uid="{00000000-0005-0000-0000-000060640000}"/>
    <cellStyle name="Normal 2 37 3 4" xfId="25694" xr:uid="{00000000-0005-0000-0000-000061640000}"/>
    <cellStyle name="Normal 2 37 3 4 2" xfId="25695" xr:uid="{00000000-0005-0000-0000-000062640000}"/>
    <cellStyle name="Normal 2 37 3 4 3" xfId="25696" xr:uid="{00000000-0005-0000-0000-000063640000}"/>
    <cellStyle name="Normal 2 37 3 4 4" xfId="25697" xr:uid="{00000000-0005-0000-0000-000064640000}"/>
    <cellStyle name="Normal 2 37 3 5" xfId="25698" xr:uid="{00000000-0005-0000-0000-000065640000}"/>
    <cellStyle name="Normal 2 37 3 5 2" xfId="25699" xr:uid="{00000000-0005-0000-0000-000066640000}"/>
    <cellStyle name="Normal 2 37 3 6" xfId="25700" xr:uid="{00000000-0005-0000-0000-000067640000}"/>
    <cellStyle name="Normal 2 37 3 7" xfId="25701" xr:uid="{00000000-0005-0000-0000-000068640000}"/>
    <cellStyle name="Normal 2 37 3 8" xfId="25702" xr:uid="{00000000-0005-0000-0000-000069640000}"/>
    <cellStyle name="Normal 2 37 3 9" xfId="25703" xr:uid="{00000000-0005-0000-0000-00006A640000}"/>
    <cellStyle name="Normal 2 37 4" xfId="25704" xr:uid="{00000000-0005-0000-0000-00006B640000}"/>
    <cellStyle name="Normal 2 37 4 2" xfId="25705" xr:uid="{00000000-0005-0000-0000-00006C640000}"/>
    <cellStyle name="Normal 2 37 4 2 2" xfId="25706" xr:uid="{00000000-0005-0000-0000-00006D640000}"/>
    <cellStyle name="Normal 2 37 4 3" xfId="25707" xr:uid="{00000000-0005-0000-0000-00006E640000}"/>
    <cellStyle name="Normal 2 37 4 4" xfId="25708" xr:uid="{00000000-0005-0000-0000-00006F640000}"/>
    <cellStyle name="Normal 2 37 4 5" xfId="25709" xr:uid="{00000000-0005-0000-0000-000070640000}"/>
    <cellStyle name="Normal 2 37 4 6" xfId="25710" xr:uid="{00000000-0005-0000-0000-000071640000}"/>
    <cellStyle name="Normal 2 37 5" xfId="25711" xr:uid="{00000000-0005-0000-0000-000072640000}"/>
    <cellStyle name="Normal 2 37 5 2" xfId="25712" xr:uid="{00000000-0005-0000-0000-000073640000}"/>
    <cellStyle name="Normal 2 37 5 3" xfId="25713" xr:uid="{00000000-0005-0000-0000-000074640000}"/>
    <cellStyle name="Normal 2 37 6" xfId="25714" xr:uid="{00000000-0005-0000-0000-000075640000}"/>
    <cellStyle name="Normal 2 37 6 2" xfId="25715" xr:uid="{00000000-0005-0000-0000-000076640000}"/>
    <cellStyle name="Normal 2 37 7" xfId="25716" xr:uid="{00000000-0005-0000-0000-000077640000}"/>
    <cellStyle name="Normal 2 37 8" xfId="25717" xr:uid="{00000000-0005-0000-0000-000078640000}"/>
    <cellStyle name="Normal 2 38" xfId="25718" xr:uid="{00000000-0005-0000-0000-000079640000}"/>
    <cellStyle name="Normal 2 38 10" xfId="25719" xr:uid="{00000000-0005-0000-0000-00007A640000}"/>
    <cellStyle name="Normal 2 38 11" xfId="25720" xr:uid="{00000000-0005-0000-0000-00007B640000}"/>
    <cellStyle name="Normal 2 38 2" xfId="25721" xr:uid="{00000000-0005-0000-0000-00007C640000}"/>
    <cellStyle name="Normal 2 38 2 2" xfId="25722" xr:uid="{00000000-0005-0000-0000-00007D640000}"/>
    <cellStyle name="Normal 2 38 2 2 2" xfId="25723" xr:uid="{00000000-0005-0000-0000-00007E640000}"/>
    <cellStyle name="Normal 2 38 2 2 2 2" xfId="25724" xr:uid="{00000000-0005-0000-0000-00007F640000}"/>
    <cellStyle name="Normal 2 38 2 2 2 3" xfId="25725" xr:uid="{00000000-0005-0000-0000-000080640000}"/>
    <cellStyle name="Normal 2 38 2 2 3" xfId="25726" xr:uid="{00000000-0005-0000-0000-000081640000}"/>
    <cellStyle name="Normal 2 38 2 2 4" xfId="25727" xr:uid="{00000000-0005-0000-0000-000082640000}"/>
    <cellStyle name="Normal 2 38 2 2 5" xfId="25728" xr:uid="{00000000-0005-0000-0000-000083640000}"/>
    <cellStyle name="Normal 2 38 2 2 6" xfId="25729" xr:uid="{00000000-0005-0000-0000-000084640000}"/>
    <cellStyle name="Normal 2 38 2 3" xfId="25730" xr:uid="{00000000-0005-0000-0000-000085640000}"/>
    <cellStyle name="Normal 2 38 2 3 2" xfId="25731" xr:uid="{00000000-0005-0000-0000-000086640000}"/>
    <cellStyle name="Normal 2 38 2 3 2 2" xfId="25732" xr:uid="{00000000-0005-0000-0000-000087640000}"/>
    <cellStyle name="Normal 2 38 2 3 3" xfId="25733" xr:uid="{00000000-0005-0000-0000-000088640000}"/>
    <cellStyle name="Normal 2 38 2 3 4" xfId="25734" xr:uid="{00000000-0005-0000-0000-000089640000}"/>
    <cellStyle name="Normal 2 38 2 3 5" xfId="25735" xr:uid="{00000000-0005-0000-0000-00008A640000}"/>
    <cellStyle name="Normal 2 38 2 4" xfId="25736" xr:uid="{00000000-0005-0000-0000-00008B640000}"/>
    <cellStyle name="Normal 2 38 2 4 2" xfId="25737" xr:uid="{00000000-0005-0000-0000-00008C640000}"/>
    <cellStyle name="Normal 2 38 2 4 3" xfId="25738" xr:uid="{00000000-0005-0000-0000-00008D640000}"/>
    <cellStyle name="Normal 2 38 2 4 4" xfId="25739" xr:uid="{00000000-0005-0000-0000-00008E640000}"/>
    <cellStyle name="Normal 2 38 2 5" xfId="25740" xr:uid="{00000000-0005-0000-0000-00008F640000}"/>
    <cellStyle name="Normal 2 38 2 5 2" xfId="25741" xr:uid="{00000000-0005-0000-0000-000090640000}"/>
    <cellStyle name="Normal 2 38 2 6" xfId="25742" xr:uid="{00000000-0005-0000-0000-000091640000}"/>
    <cellStyle name="Normal 2 38 2 7" xfId="25743" xr:uid="{00000000-0005-0000-0000-000092640000}"/>
    <cellStyle name="Normal 2 38 2 8" xfId="25744" xr:uid="{00000000-0005-0000-0000-000093640000}"/>
    <cellStyle name="Normal 2 38 2 9" xfId="25745" xr:uid="{00000000-0005-0000-0000-000094640000}"/>
    <cellStyle name="Normal 2 38 3" xfId="25746" xr:uid="{00000000-0005-0000-0000-000095640000}"/>
    <cellStyle name="Normal 2 38 3 2" xfId="25747" xr:uid="{00000000-0005-0000-0000-000096640000}"/>
    <cellStyle name="Normal 2 38 3 2 2" xfId="25748" xr:uid="{00000000-0005-0000-0000-000097640000}"/>
    <cellStyle name="Normal 2 38 3 2 2 2" xfId="25749" xr:uid="{00000000-0005-0000-0000-000098640000}"/>
    <cellStyle name="Normal 2 38 3 2 2 3" xfId="25750" xr:uid="{00000000-0005-0000-0000-000099640000}"/>
    <cellStyle name="Normal 2 38 3 2 3" xfId="25751" xr:uid="{00000000-0005-0000-0000-00009A640000}"/>
    <cellStyle name="Normal 2 38 3 2 4" xfId="25752" xr:uid="{00000000-0005-0000-0000-00009B640000}"/>
    <cellStyle name="Normal 2 38 3 2 5" xfId="25753" xr:uid="{00000000-0005-0000-0000-00009C640000}"/>
    <cellStyle name="Normal 2 38 3 2 6" xfId="25754" xr:uid="{00000000-0005-0000-0000-00009D640000}"/>
    <cellStyle name="Normal 2 38 3 3" xfId="25755" xr:uid="{00000000-0005-0000-0000-00009E640000}"/>
    <cellStyle name="Normal 2 38 3 3 2" xfId="25756" xr:uid="{00000000-0005-0000-0000-00009F640000}"/>
    <cellStyle name="Normal 2 38 3 3 2 2" xfId="25757" xr:uid="{00000000-0005-0000-0000-0000A0640000}"/>
    <cellStyle name="Normal 2 38 3 3 3" xfId="25758" xr:uid="{00000000-0005-0000-0000-0000A1640000}"/>
    <cellStyle name="Normal 2 38 3 3 4" xfId="25759" xr:uid="{00000000-0005-0000-0000-0000A2640000}"/>
    <cellStyle name="Normal 2 38 3 3 5" xfId="25760" xr:uid="{00000000-0005-0000-0000-0000A3640000}"/>
    <cellStyle name="Normal 2 38 3 4" xfId="25761" xr:uid="{00000000-0005-0000-0000-0000A4640000}"/>
    <cellStyle name="Normal 2 38 3 4 2" xfId="25762" xr:uid="{00000000-0005-0000-0000-0000A5640000}"/>
    <cellStyle name="Normal 2 38 3 4 3" xfId="25763" xr:uid="{00000000-0005-0000-0000-0000A6640000}"/>
    <cellStyle name="Normal 2 38 3 4 4" xfId="25764" xr:uid="{00000000-0005-0000-0000-0000A7640000}"/>
    <cellStyle name="Normal 2 38 3 5" xfId="25765" xr:uid="{00000000-0005-0000-0000-0000A8640000}"/>
    <cellStyle name="Normal 2 38 3 5 2" xfId="25766" xr:uid="{00000000-0005-0000-0000-0000A9640000}"/>
    <cellStyle name="Normal 2 38 3 6" xfId="25767" xr:uid="{00000000-0005-0000-0000-0000AA640000}"/>
    <cellStyle name="Normal 2 38 3 7" xfId="25768" xr:uid="{00000000-0005-0000-0000-0000AB640000}"/>
    <cellStyle name="Normal 2 38 3 8" xfId="25769" xr:uid="{00000000-0005-0000-0000-0000AC640000}"/>
    <cellStyle name="Normal 2 38 3 9" xfId="25770" xr:uid="{00000000-0005-0000-0000-0000AD640000}"/>
    <cellStyle name="Normal 2 38 4" xfId="25771" xr:uid="{00000000-0005-0000-0000-0000AE640000}"/>
    <cellStyle name="Normal 2 38 4 2" xfId="25772" xr:uid="{00000000-0005-0000-0000-0000AF640000}"/>
    <cellStyle name="Normal 2 38 4 2 2" xfId="25773" xr:uid="{00000000-0005-0000-0000-0000B0640000}"/>
    <cellStyle name="Normal 2 38 4 2 3" xfId="25774" xr:uid="{00000000-0005-0000-0000-0000B1640000}"/>
    <cellStyle name="Normal 2 38 4 3" xfId="25775" xr:uid="{00000000-0005-0000-0000-0000B2640000}"/>
    <cellStyle name="Normal 2 38 4 4" xfId="25776" xr:uid="{00000000-0005-0000-0000-0000B3640000}"/>
    <cellStyle name="Normal 2 38 4 5" xfId="25777" xr:uid="{00000000-0005-0000-0000-0000B4640000}"/>
    <cellStyle name="Normal 2 38 4 6" xfId="25778" xr:uid="{00000000-0005-0000-0000-0000B5640000}"/>
    <cellStyle name="Normal 2 38 5" xfId="25779" xr:uid="{00000000-0005-0000-0000-0000B6640000}"/>
    <cellStyle name="Normal 2 38 5 2" xfId="25780" xr:uid="{00000000-0005-0000-0000-0000B7640000}"/>
    <cellStyle name="Normal 2 38 5 2 2" xfId="25781" xr:uid="{00000000-0005-0000-0000-0000B8640000}"/>
    <cellStyle name="Normal 2 38 5 3" xfId="25782" xr:uid="{00000000-0005-0000-0000-0000B9640000}"/>
    <cellStyle name="Normal 2 38 5 4" xfId="25783" xr:uid="{00000000-0005-0000-0000-0000BA640000}"/>
    <cellStyle name="Normal 2 38 5 5" xfId="25784" xr:uid="{00000000-0005-0000-0000-0000BB640000}"/>
    <cellStyle name="Normal 2 38 5 6" xfId="25785" xr:uid="{00000000-0005-0000-0000-0000BC640000}"/>
    <cellStyle name="Normal 2 38 6" xfId="25786" xr:uid="{00000000-0005-0000-0000-0000BD640000}"/>
    <cellStyle name="Normal 2 38 6 2" xfId="25787" xr:uid="{00000000-0005-0000-0000-0000BE640000}"/>
    <cellStyle name="Normal 2 38 6 3" xfId="25788" xr:uid="{00000000-0005-0000-0000-0000BF640000}"/>
    <cellStyle name="Normal 2 38 6 4" xfId="25789" xr:uid="{00000000-0005-0000-0000-0000C0640000}"/>
    <cellStyle name="Normal 2 38 6 5" xfId="25790" xr:uid="{00000000-0005-0000-0000-0000C1640000}"/>
    <cellStyle name="Normal 2 38 7" xfId="25791" xr:uid="{00000000-0005-0000-0000-0000C2640000}"/>
    <cellStyle name="Normal 2 38 7 2" xfId="25792" xr:uid="{00000000-0005-0000-0000-0000C3640000}"/>
    <cellStyle name="Normal 2 38 7 3" xfId="25793" xr:uid="{00000000-0005-0000-0000-0000C4640000}"/>
    <cellStyle name="Normal 2 38 8" xfId="25794" xr:uid="{00000000-0005-0000-0000-0000C5640000}"/>
    <cellStyle name="Normal 2 38 9" xfId="25795" xr:uid="{00000000-0005-0000-0000-0000C6640000}"/>
    <cellStyle name="Normal 2 39" xfId="25796" xr:uid="{00000000-0005-0000-0000-0000C7640000}"/>
    <cellStyle name="Normal 2 39 10" xfId="25797" xr:uid="{00000000-0005-0000-0000-0000C8640000}"/>
    <cellStyle name="Normal 2 39 2" xfId="25798" xr:uid="{00000000-0005-0000-0000-0000C9640000}"/>
    <cellStyle name="Normal 2 39 2 2" xfId="25799" xr:uid="{00000000-0005-0000-0000-0000CA640000}"/>
    <cellStyle name="Normal 2 39 2 2 2" xfId="25800" xr:uid="{00000000-0005-0000-0000-0000CB640000}"/>
    <cellStyle name="Normal 2 39 2 2 3" xfId="25801" xr:uid="{00000000-0005-0000-0000-0000CC640000}"/>
    <cellStyle name="Normal 2 39 2 3" xfId="25802" xr:uid="{00000000-0005-0000-0000-0000CD640000}"/>
    <cellStyle name="Normal 2 39 2 4" xfId="25803" xr:uid="{00000000-0005-0000-0000-0000CE640000}"/>
    <cellStyle name="Normal 2 39 2 5" xfId="25804" xr:uid="{00000000-0005-0000-0000-0000CF640000}"/>
    <cellStyle name="Normal 2 39 2 6" xfId="25805" xr:uid="{00000000-0005-0000-0000-0000D0640000}"/>
    <cellStyle name="Normal 2 39 3" xfId="25806" xr:uid="{00000000-0005-0000-0000-0000D1640000}"/>
    <cellStyle name="Normal 2 39 3 2" xfId="25807" xr:uid="{00000000-0005-0000-0000-0000D2640000}"/>
    <cellStyle name="Normal 2 39 3 2 2" xfId="25808" xr:uid="{00000000-0005-0000-0000-0000D3640000}"/>
    <cellStyle name="Normal 2 39 3 2 3" xfId="25809" xr:uid="{00000000-0005-0000-0000-0000D4640000}"/>
    <cellStyle name="Normal 2 39 3 3" xfId="25810" xr:uid="{00000000-0005-0000-0000-0000D5640000}"/>
    <cellStyle name="Normal 2 39 3 4" xfId="25811" xr:uid="{00000000-0005-0000-0000-0000D6640000}"/>
    <cellStyle name="Normal 2 39 3 5" xfId="25812" xr:uid="{00000000-0005-0000-0000-0000D7640000}"/>
    <cellStyle name="Normal 2 39 3 6" xfId="25813" xr:uid="{00000000-0005-0000-0000-0000D8640000}"/>
    <cellStyle name="Normal 2 39 4" xfId="25814" xr:uid="{00000000-0005-0000-0000-0000D9640000}"/>
    <cellStyle name="Normal 2 39 4 2" xfId="25815" xr:uid="{00000000-0005-0000-0000-0000DA640000}"/>
    <cellStyle name="Normal 2 39 4 2 2" xfId="25816" xr:uid="{00000000-0005-0000-0000-0000DB640000}"/>
    <cellStyle name="Normal 2 39 4 3" xfId="25817" xr:uid="{00000000-0005-0000-0000-0000DC640000}"/>
    <cellStyle name="Normal 2 39 4 4" xfId="25818" xr:uid="{00000000-0005-0000-0000-0000DD640000}"/>
    <cellStyle name="Normal 2 39 4 5" xfId="25819" xr:uid="{00000000-0005-0000-0000-0000DE640000}"/>
    <cellStyle name="Normal 2 39 4 6" xfId="25820" xr:uid="{00000000-0005-0000-0000-0000DF640000}"/>
    <cellStyle name="Normal 2 39 5" xfId="25821" xr:uid="{00000000-0005-0000-0000-0000E0640000}"/>
    <cellStyle name="Normal 2 39 5 2" xfId="25822" xr:uid="{00000000-0005-0000-0000-0000E1640000}"/>
    <cellStyle name="Normal 2 39 5 3" xfId="25823" xr:uid="{00000000-0005-0000-0000-0000E2640000}"/>
    <cellStyle name="Normal 2 39 5 4" xfId="25824" xr:uid="{00000000-0005-0000-0000-0000E3640000}"/>
    <cellStyle name="Normal 2 39 5 5" xfId="25825" xr:uid="{00000000-0005-0000-0000-0000E4640000}"/>
    <cellStyle name="Normal 2 39 6" xfId="25826" xr:uid="{00000000-0005-0000-0000-0000E5640000}"/>
    <cellStyle name="Normal 2 39 6 2" xfId="25827" xr:uid="{00000000-0005-0000-0000-0000E6640000}"/>
    <cellStyle name="Normal 2 39 6 3" xfId="25828" xr:uid="{00000000-0005-0000-0000-0000E7640000}"/>
    <cellStyle name="Normal 2 39 7" xfId="25829" xr:uid="{00000000-0005-0000-0000-0000E8640000}"/>
    <cellStyle name="Normal 2 39 7 2" xfId="25830" xr:uid="{00000000-0005-0000-0000-0000E9640000}"/>
    <cellStyle name="Normal 2 39 8" xfId="25831" xr:uid="{00000000-0005-0000-0000-0000EA640000}"/>
    <cellStyle name="Normal 2 39 9" xfId="25832" xr:uid="{00000000-0005-0000-0000-0000EB640000}"/>
    <cellStyle name="Normal 2 4" xfId="25833" xr:uid="{00000000-0005-0000-0000-0000EC640000}"/>
    <cellStyle name="Normal 2 4 2" xfId="25834" xr:uid="{00000000-0005-0000-0000-0000ED640000}"/>
    <cellStyle name="Normal 2 4 2 10" xfId="25835" xr:uid="{00000000-0005-0000-0000-0000EE640000}"/>
    <cellStyle name="Normal 2 4 2 10 10" xfId="25836" xr:uid="{00000000-0005-0000-0000-0000EF640000}"/>
    <cellStyle name="Normal 2 4 2 10 2" xfId="25837" xr:uid="{00000000-0005-0000-0000-0000F0640000}"/>
    <cellStyle name="Normal 2 4 2 10 2 2" xfId="25838" xr:uid="{00000000-0005-0000-0000-0000F1640000}"/>
    <cellStyle name="Normal 2 4 2 10 2 2 2" xfId="25839" xr:uid="{00000000-0005-0000-0000-0000F2640000}"/>
    <cellStyle name="Normal 2 4 2 10 2 2 3" xfId="25840" xr:uid="{00000000-0005-0000-0000-0000F3640000}"/>
    <cellStyle name="Normal 2 4 2 10 2 3" xfId="25841" xr:uid="{00000000-0005-0000-0000-0000F4640000}"/>
    <cellStyle name="Normal 2 4 2 10 2 4" xfId="25842" xr:uid="{00000000-0005-0000-0000-0000F5640000}"/>
    <cellStyle name="Normal 2 4 2 10 2 5" xfId="25843" xr:uid="{00000000-0005-0000-0000-0000F6640000}"/>
    <cellStyle name="Normal 2 4 2 10 2 6" xfId="25844" xr:uid="{00000000-0005-0000-0000-0000F7640000}"/>
    <cellStyle name="Normal 2 4 2 10 3" xfId="25845" xr:uid="{00000000-0005-0000-0000-0000F8640000}"/>
    <cellStyle name="Normal 2 4 2 10 3 2" xfId="25846" xr:uid="{00000000-0005-0000-0000-0000F9640000}"/>
    <cellStyle name="Normal 2 4 2 10 3 2 2" xfId="25847" xr:uid="{00000000-0005-0000-0000-0000FA640000}"/>
    <cellStyle name="Normal 2 4 2 10 3 2 3" xfId="25848" xr:uid="{00000000-0005-0000-0000-0000FB640000}"/>
    <cellStyle name="Normal 2 4 2 10 3 3" xfId="25849" xr:uid="{00000000-0005-0000-0000-0000FC640000}"/>
    <cellStyle name="Normal 2 4 2 10 3 4" xfId="25850" xr:uid="{00000000-0005-0000-0000-0000FD640000}"/>
    <cellStyle name="Normal 2 4 2 10 3 5" xfId="25851" xr:uid="{00000000-0005-0000-0000-0000FE640000}"/>
    <cellStyle name="Normal 2 4 2 10 3 6" xfId="25852" xr:uid="{00000000-0005-0000-0000-0000FF640000}"/>
    <cellStyle name="Normal 2 4 2 10 4" xfId="25853" xr:uid="{00000000-0005-0000-0000-000000650000}"/>
    <cellStyle name="Normal 2 4 2 10 4 2" xfId="25854" xr:uid="{00000000-0005-0000-0000-000001650000}"/>
    <cellStyle name="Normal 2 4 2 10 4 2 2" xfId="25855" xr:uid="{00000000-0005-0000-0000-000002650000}"/>
    <cellStyle name="Normal 2 4 2 10 4 3" xfId="25856" xr:uid="{00000000-0005-0000-0000-000003650000}"/>
    <cellStyle name="Normal 2 4 2 10 4 4" xfId="25857" xr:uid="{00000000-0005-0000-0000-000004650000}"/>
    <cellStyle name="Normal 2 4 2 10 4 5" xfId="25858" xr:uid="{00000000-0005-0000-0000-000005650000}"/>
    <cellStyle name="Normal 2 4 2 10 5" xfId="25859" xr:uid="{00000000-0005-0000-0000-000006650000}"/>
    <cellStyle name="Normal 2 4 2 10 5 2" xfId="25860" xr:uid="{00000000-0005-0000-0000-000007650000}"/>
    <cellStyle name="Normal 2 4 2 10 5 3" xfId="25861" xr:uid="{00000000-0005-0000-0000-000008650000}"/>
    <cellStyle name="Normal 2 4 2 10 5 4" xfId="25862" xr:uid="{00000000-0005-0000-0000-000009650000}"/>
    <cellStyle name="Normal 2 4 2 10 6" xfId="25863" xr:uid="{00000000-0005-0000-0000-00000A650000}"/>
    <cellStyle name="Normal 2 4 2 10 6 2" xfId="25864" xr:uid="{00000000-0005-0000-0000-00000B650000}"/>
    <cellStyle name="Normal 2 4 2 10 7" xfId="25865" xr:uid="{00000000-0005-0000-0000-00000C650000}"/>
    <cellStyle name="Normal 2 4 2 10 8" xfId="25866" xr:uid="{00000000-0005-0000-0000-00000D650000}"/>
    <cellStyle name="Normal 2 4 2 10 9" xfId="25867" xr:uid="{00000000-0005-0000-0000-00000E650000}"/>
    <cellStyle name="Normal 2 4 2 11" xfId="25868" xr:uid="{00000000-0005-0000-0000-00000F650000}"/>
    <cellStyle name="Normal 2 4 2 11 10" xfId="25869" xr:uid="{00000000-0005-0000-0000-000010650000}"/>
    <cellStyle name="Normal 2 4 2 11 2" xfId="25870" xr:uid="{00000000-0005-0000-0000-000011650000}"/>
    <cellStyle name="Normal 2 4 2 11 2 2" xfId="25871" xr:uid="{00000000-0005-0000-0000-000012650000}"/>
    <cellStyle name="Normal 2 4 2 11 2 2 2" xfId="25872" xr:uid="{00000000-0005-0000-0000-000013650000}"/>
    <cellStyle name="Normal 2 4 2 11 2 2 3" xfId="25873" xr:uid="{00000000-0005-0000-0000-000014650000}"/>
    <cellStyle name="Normal 2 4 2 11 2 3" xfId="25874" xr:uid="{00000000-0005-0000-0000-000015650000}"/>
    <cellStyle name="Normal 2 4 2 11 2 4" xfId="25875" xr:uid="{00000000-0005-0000-0000-000016650000}"/>
    <cellStyle name="Normal 2 4 2 11 2 5" xfId="25876" xr:uid="{00000000-0005-0000-0000-000017650000}"/>
    <cellStyle name="Normal 2 4 2 11 2 6" xfId="25877" xr:uid="{00000000-0005-0000-0000-000018650000}"/>
    <cellStyle name="Normal 2 4 2 11 3" xfId="25878" xr:uid="{00000000-0005-0000-0000-000019650000}"/>
    <cellStyle name="Normal 2 4 2 11 3 2" xfId="25879" xr:uid="{00000000-0005-0000-0000-00001A650000}"/>
    <cellStyle name="Normal 2 4 2 11 3 2 2" xfId="25880" xr:uid="{00000000-0005-0000-0000-00001B650000}"/>
    <cellStyle name="Normal 2 4 2 11 3 2 3" xfId="25881" xr:uid="{00000000-0005-0000-0000-00001C650000}"/>
    <cellStyle name="Normal 2 4 2 11 3 3" xfId="25882" xr:uid="{00000000-0005-0000-0000-00001D650000}"/>
    <cellStyle name="Normal 2 4 2 11 3 4" xfId="25883" xr:uid="{00000000-0005-0000-0000-00001E650000}"/>
    <cellStyle name="Normal 2 4 2 11 3 5" xfId="25884" xr:uid="{00000000-0005-0000-0000-00001F650000}"/>
    <cellStyle name="Normal 2 4 2 11 3 6" xfId="25885" xr:uid="{00000000-0005-0000-0000-000020650000}"/>
    <cellStyle name="Normal 2 4 2 11 4" xfId="25886" xr:uid="{00000000-0005-0000-0000-000021650000}"/>
    <cellStyle name="Normal 2 4 2 11 4 2" xfId="25887" xr:uid="{00000000-0005-0000-0000-000022650000}"/>
    <cellStyle name="Normal 2 4 2 11 4 2 2" xfId="25888" xr:uid="{00000000-0005-0000-0000-000023650000}"/>
    <cellStyle name="Normal 2 4 2 11 4 3" xfId="25889" xr:uid="{00000000-0005-0000-0000-000024650000}"/>
    <cellStyle name="Normal 2 4 2 11 4 4" xfId="25890" xr:uid="{00000000-0005-0000-0000-000025650000}"/>
    <cellStyle name="Normal 2 4 2 11 4 5" xfId="25891" xr:uid="{00000000-0005-0000-0000-000026650000}"/>
    <cellStyle name="Normal 2 4 2 11 5" xfId="25892" xr:uid="{00000000-0005-0000-0000-000027650000}"/>
    <cellStyle name="Normal 2 4 2 11 5 2" xfId="25893" xr:uid="{00000000-0005-0000-0000-000028650000}"/>
    <cellStyle name="Normal 2 4 2 11 5 3" xfId="25894" xr:uid="{00000000-0005-0000-0000-000029650000}"/>
    <cellStyle name="Normal 2 4 2 11 5 4" xfId="25895" xr:uid="{00000000-0005-0000-0000-00002A650000}"/>
    <cellStyle name="Normal 2 4 2 11 6" xfId="25896" xr:uid="{00000000-0005-0000-0000-00002B650000}"/>
    <cellStyle name="Normal 2 4 2 11 6 2" xfId="25897" xr:uid="{00000000-0005-0000-0000-00002C650000}"/>
    <cellStyle name="Normal 2 4 2 11 7" xfId="25898" xr:uid="{00000000-0005-0000-0000-00002D650000}"/>
    <cellStyle name="Normal 2 4 2 11 8" xfId="25899" xr:uid="{00000000-0005-0000-0000-00002E650000}"/>
    <cellStyle name="Normal 2 4 2 11 9" xfId="25900" xr:uid="{00000000-0005-0000-0000-00002F650000}"/>
    <cellStyle name="Normal 2 4 2 12" xfId="25901" xr:uid="{00000000-0005-0000-0000-000030650000}"/>
    <cellStyle name="Normal 2 4 2 12 10" xfId="25902" xr:uid="{00000000-0005-0000-0000-000031650000}"/>
    <cellStyle name="Normal 2 4 2 12 2" xfId="25903" xr:uid="{00000000-0005-0000-0000-000032650000}"/>
    <cellStyle name="Normal 2 4 2 12 2 2" xfId="25904" xr:uid="{00000000-0005-0000-0000-000033650000}"/>
    <cellStyle name="Normal 2 4 2 12 2 2 2" xfId="25905" xr:uid="{00000000-0005-0000-0000-000034650000}"/>
    <cellStyle name="Normal 2 4 2 12 2 2 3" xfId="25906" xr:uid="{00000000-0005-0000-0000-000035650000}"/>
    <cellStyle name="Normal 2 4 2 12 2 3" xfId="25907" xr:uid="{00000000-0005-0000-0000-000036650000}"/>
    <cellStyle name="Normal 2 4 2 12 2 4" xfId="25908" xr:uid="{00000000-0005-0000-0000-000037650000}"/>
    <cellStyle name="Normal 2 4 2 12 2 5" xfId="25909" xr:uid="{00000000-0005-0000-0000-000038650000}"/>
    <cellStyle name="Normal 2 4 2 12 2 6" xfId="25910" xr:uid="{00000000-0005-0000-0000-000039650000}"/>
    <cellStyle name="Normal 2 4 2 12 3" xfId="25911" xr:uid="{00000000-0005-0000-0000-00003A650000}"/>
    <cellStyle name="Normal 2 4 2 12 3 2" xfId="25912" xr:uid="{00000000-0005-0000-0000-00003B650000}"/>
    <cellStyle name="Normal 2 4 2 12 3 2 2" xfId="25913" xr:uid="{00000000-0005-0000-0000-00003C650000}"/>
    <cellStyle name="Normal 2 4 2 12 3 2 3" xfId="25914" xr:uid="{00000000-0005-0000-0000-00003D650000}"/>
    <cellStyle name="Normal 2 4 2 12 3 3" xfId="25915" xr:uid="{00000000-0005-0000-0000-00003E650000}"/>
    <cellStyle name="Normal 2 4 2 12 3 4" xfId="25916" xr:uid="{00000000-0005-0000-0000-00003F650000}"/>
    <cellStyle name="Normal 2 4 2 12 3 5" xfId="25917" xr:uid="{00000000-0005-0000-0000-000040650000}"/>
    <cellStyle name="Normal 2 4 2 12 3 6" xfId="25918" xr:uid="{00000000-0005-0000-0000-000041650000}"/>
    <cellStyle name="Normal 2 4 2 12 4" xfId="25919" xr:uid="{00000000-0005-0000-0000-000042650000}"/>
    <cellStyle name="Normal 2 4 2 12 4 2" xfId="25920" xr:uid="{00000000-0005-0000-0000-000043650000}"/>
    <cellStyle name="Normal 2 4 2 12 4 2 2" xfId="25921" xr:uid="{00000000-0005-0000-0000-000044650000}"/>
    <cellStyle name="Normal 2 4 2 12 4 3" xfId="25922" xr:uid="{00000000-0005-0000-0000-000045650000}"/>
    <cellStyle name="Normal 2 4 2 12 4 4" xfId="25923" xr:uid="{00000000-0005-0000-0000-000046650000}"/>
    <cellStyle name="Normal 2 4 2 12 4 5" xfId="25924" xr:uid="{00000000-0005-0000-0000-000047650000}"/>
    <cellStyle name="Normal 2 4 2 12 5" xfId="25925" xr:uid="{00000000-0005-0000-0000-000048650000}"/>
    <cellStyle name="Normal 2 4 2 12 5 2" xfId="25926" xr:uid="{00000000-0005-0000-0000-000049650000}"/>
    <cellStyle name="Normal 2 4 2 12 5 3" xfId="25927" xr:uid="{00000000-0005-0000-0000-00004A650000}"/>
    <cellStyle name="Normal 2 4 2 12 5 4" xfId="25928" xr:uid="{00000000-0005-0000-0000-00004B650000}"/>
    <cellStyle name="Normal 2 4 2 12 6" xfId="25929" xr:uid="{00000000-0005-0000-0000-00004C650000}"/>
    <cellStyle name="Normal 2 4 2 12 6 2" xfId="25930" xr:uid="{00000000-0005-0000-0000-00004D650000}"/>
    <cellStyle name="Normal 2 4 2 12 7" xfId="25931" xr:uid="{00000000-0005-0000-0000-00004E650000}"/>
    <cellStyle name="Normal 2 4 2 12 8" xfId="25932" xr:uid="{00000000-0005-0000-0000-00004F650000}"/>
    <cellStyle name="Normal 2 4 2 12 9" xfId="25933" xr:uid="{00000000-0005-0000-0000-000050650000}"/>
    <cellStyle name="Normal 2 4 2 13" xfId="25934" xr:uid="{00000000-0005-0000-0000-000051650000}"/>
    <cellStyle name="Normal 2 4 2 13 2" xfId="25935" xr:uid="{00000000-0005-0000-0000-000052650000}"/>
    <cellStyle name="Normal 2 4 2 13 2 2" xfId="25936" xr:uid="{00000000-0005-0000-0000-000053650000}"/>
    <cellStyle name="Normal 2 4 2 13 2 2 2" xfId="25937" xr:uid="{00000000-0005-0000-0000-000054650000}"/>
    <cellStyle name="Normal 2 4 2 13 2 2 3" xfId="25938" xr:uid="{00000000-0005-0000-0000-000055650000}"/>
    <cellStyle name="Normal 2 4 2 13 2 3" xfId="25939" xr:uid="{00000000-0005-0000-0000-000056650000}"/>
    <cellStyle name="Normal 2 4 2 13 2 4" xfId="25940" xr:uid="{00000000-0005-0000-0000-000057650000}"/>
    <cellStyle name="Normal 2 4 2 13 2 5" xfId="25941" xr:uid="{00000000-0005-0000-0000-000058650000}"/>
    <cellStyle name="Normal 2 4 2 13 2 6" xfId="25942" xr:uid="{00000000-0005-0000-0000-000059650000}"/>
    <cellStyle name="Normal 2 4 2 13 3" xfId="25943" xr:uid="{00000000-0005-0000-0000-00005A650000}"/>
    <cellStyle name="Normal 2 4 2 13 3 2" xfId="25944" xr:uid="{00000000-0005-0000-0000-00005B650000}"/>
    <cellStyle name="Normal 2 4 2 13 3 2 2" xfId="25945" xr:uid="{00000000-0005-0000-0000-00005C650000}"/>
    <cellStyle name="Normal 2 4 2 13 3 3" xfId="25946" xr:uid="{00000000-0005-0000-0000-00005D650000}"/>
    <cellStyle name="Normal 2 4 2 13 3 4" xfId="25947" xr:uid="{00000000-0005-0000-0000-00005E650000}"/>
    <cellStyle name="Normal 2 4 2 13 3 5" xfId="25948" xr:uid="{00000000-0005-0000-0000-00005F650000}"/>
    <cellStyle name="Normal 2 4 2 13 4" xfId="25949" xr:uid="{00000000-0005-0000-0000-000060650000}"/>
    <cellStyle name="Normal 2 4 2 13 4 2" xfId="25950" xr:uid="{00000000-0005-0000-0000-000061650000}"/>
    <cellStyle name="Normal 2 4 2 13 4 3" xfId="25951" xr:uid="{00000000-0005-0000-0000-000062650000}"/>
    <cellStyle name="Normal 2 4 2 13 4 4" xfId="25952" xr:uid="{00000000-0005-0000-0000-000063650000}"/>
    <cellStyle name="Normal 2 4 2 13 5" xfId="25953" xr:uid="{00000000-0005-0000-0000-000064650000}"/>
    <cellStyle name="Normal 2 4 2 13 5 2" xfId="25954" xr:uid="{00000000-0005-0000-0000-000065650000}"/>
    <cellStyle name="Normal 2 4 2 13 6" xfId="25955" xr:uid="{00000000-0005-0000-0000-000066650000}"/>
    <cellStyle name="Normal 2 4 2 13 7" xfId="25956" xr:uid="{00000000-0005-0000-0000-000067650000}"/>
    <cellStyle name="Normal 2 4 2 13 8" xfId="25957" xr:uid="{00000000-0005-0000-0000-000068650000}"/>
    <cellStyle name="Normal 2 4 2 13 9" xfId="25958" xr:uid="{00000000-0005-0000-0000-000069650000}"/>
    <cellStyle name="Normal 2 4 2 14" xfId="25959" xr:uid="{00000000-0005-0000-0000-00006A650000}"/>
    <cellStyle name="Normal 2 4 2 14 2" xfId="25960" xr:uid="{00000000-0005-0000-0000-00006B650000}"/>
    <cellStyle name="Normal 2 4 2 14 2 2" xfId="25961" xr:uid="{00000000-0005-0000-0000-00006C650000}"/>
    <cellStyle name="Normal 2 4 2 14 2 2 2" xfId="25962" xr:uid="{00000000-0005-0000-0000-00006D650000}"/>
    <cellStyle name="Normal 2 4 2 14 2 2 3" xfId="25963" xr:uid="{00000000-0005-0000-0000-00006E650000}"/>
    <cellStyle name="Normal 2 4 2 14 2 3" xfId="25964" xr:uid="{00000000-0005-0000-0000-00006F650000}"/>
    <cellStyle name="Normal 2 4 2 14 2 4" xfId="25965" xr:uid="{00000000-0005-0000-0000-000070650000}"/>
    <cellStyle name="Normal 2 4 2 14 2 5" xfId="25966" xr:uid="{00000000-0005-0000-0000-000071650000}"/>
    <cellStyle name="Normal 2 4 2 14 2 6" xfId="25967" xr:uid="{00000000-0005-0000-0000-000072650000}"/>
    <cellStyle name="Normal 2 4 2 14 3" xfId="25968" xr:uid="{00000000-0005-0000-0000-000073650000}"/>
    <cellStyle name="Normal 2 4 2 14 3 2" xfId="25969" xr:uid="{00000000-0005-0000-0000-000074650000}"/>
    <cellStyle name="Normal 2 4 2 14 3 2 2" xfId="25970" xr:uid="{00000000-0005-0000-0000-000075650000}"/>
    <cellStyle name="Normal 2 4 2 14 3 3" xfId="25971" xr:uid="{00000000-0005-0000-0000-000076650000}"/>
    <cellStyle name="Normal 2 4 2 14 3 4" xfId="25972" xr:uid="{00000000-0005-0000-0000-000077650000}"/>
    <cellStyle name="Normal 2 4 2 14 3 5" xfId="25973" xr:uid="{00000000-0005-0000-0000-000078650000}"/>
    <cellStyle name="Normal 2 4 2 14 4" xfId="25974" xr:uid="{00000000-0005-0000-0000-000079650000}"/>
    <cellStyle name="Normal 2 4 2 14 4 2" xfId="25975" xr:uid="{00000000-0005-0000-0000-00007A650000}"/>
    <cellStyle name="Normal 2 4 2 14 4 3" xfId="25976" xr:uid="{00000000-0005-0000-0000-00007B650000}"/>
    <cellStyle name="Normal 2 4 2 14 4 4" xfId="25977" xr:uid="{00000000-0005-0000-0000-00007C650000}"/>
    <cellStyle name="Normal 2 4 2 14 5" xfId="25978" xr:uid="{00000000-0005-0000-0000-00007D650000}"/>
    <cellStyle name="Normal 2 4 2 14 5 2" xfId="25979" xr:uid="{00000000-0005-0000-0000-00007E650000}"/>
    <cellStyle name="Normal 2 4 2 14 6" xfId="25980" xr:uid="{00000000-0005-0000-0000-00007F650000}"/>
    <cellStyle name="Normal 2 4 2 14 7" xfId="25981" xr:uid="{00000000-0005-0000-0000-000080650000}"/>
    <cellStyle name="Normal 2 4 2 14 8" xfId="25982" xr:uid="{00000000-0005-0000-0000-000081650000}"/>
    <cellStyle name="Normal 2 4 2 14 9" xfId="25983" xr:uid="{00000000-0005-0000-0000-000082650000}"/>
    <cellStyle name="Normal 2 4 2 15" xfId="25984" xr:uid="{00000000-0005-0000-0000-000083650000}"/>
    <cellStyle name="Normal 2 4 2 15 2" xfId="25985" xr:uid="{00000000-0005-0000-0000-000084650000}"/>
    <cellStyle name="Normal 2 4 2 15 2 2" xfId="25986" xr:uid="{00000000-0005-0000-0000-000085650000}"/>
    <cellStyle name="Normal 2 4 2 15 2 3" xfId="25987" xr:uid="{00000000-0005-0000-0000-000086650000}"/>
    <cellStyle name="Normal 2 4 2 15 3" xfId="25988" xr:uid="{00000000-0005-0000-0000-000087650000}"/>
    <cellStyle name="Normal 2 4 2 15 4" xfId="25989" xr:uid="{00000000-0005-0000-0000-000088650000}"/>
    <cellStyle name="Normal 2 4 2 15 5" xfId="25990" xr:uid="{00000000-0005-0000-0000-000089650000}"/>
    <cellStyle name="Normal 2 4 2 15 6" xfId="25991" xr:uid="{00000000-0005-0000-0000-00008A650000}"/>
    <cellStyle name="Normal 2 4 2 16" xfId="25992" xr:uid="{00000000-0005-0000-0000-00008B650000}"/>
    <cellStyle name="Normal 2 4 2 16 2" xfId="25993" xr:uid="{00000000-0005-0000-0000-00008C650000}"/>
    <cellStyle name="Normal 2 4 2 16 2 2" xfId="25994" xr:uid="{00000000-0005-0000-0000-00008D650000}"/>
    <cellStyle name="Normal 2 4 2 16 3" xfId="25995" xr:uid="{00000000-0005-0000-0000-00008E650000}"/>
    <cellStyle name="Normal 2 4 2 16 4" xfId="25996" xr:uid="{00000000-0005-0000-0000-00008F650000}"/>
    <cellStyle name="Normal 2 4 2 16 5" xfId="25997" xr:uid="{00000000-0005-0000-0000-000090650000}"/>
    <cellStyle name="Normal 2 4 2 17" xfId="25998" xr:uid="{00000000-0005-0000-0000-000091650000}"/>
    <cellStyle name="Normal 2 4 2 17 2" xfId="25999" xr:uid="{00000000-0005-0000-0000-000092650000}"/>
    <cellStyle name="Normal 2 4 2 17 2 2" xfId="26000" xr:uid="{00000000-0005-0000-0000-000093650000}"/>
    <cellStyle name="Normal 2 4 2 17 3" xfId="26001" xr:uid="{00000000-0005-0000-0000-000094650000}"/>
    <cellStyle name="Normal 2 4 2 17 4" xfId="26002" xr:uid="{00000000-0005-0000-0000-000095650000}"/>
    <cellStyle name="Normal 2 4 2 17 5" xfId="26003" xr:uid="{00000000-0005-0000-0000-000096650000}"/>
    <cellStyle name="Normal 2 4 2 18" xfId="26004" xr:uid="{00000000-0005-0000-0000-000097650000}"/>
    <cellStyle name="Normal 2 4 2 18 2" xfId="26005" xr:uid="{00000000-0005-0000-0000-000098650000}"/>
    <cellStyle name="Normal 2 4 2 19" xfId="26006" xr:uid="{00000000-0005-0000-0000-000099650000}"/>
    <cellStyle name="Normal 2 4 2 2" xfId="26007" xr:uid="{00000000-0005-0000-0000-00009A650000}"/>
    <cellStyle name="Normal 2 4 2 2 10" xfId="26008" xr:uid="{00000000-0005-0000-0000-00009B650000}"/>
    <cellStyle name="Normal 2 4 2 2 11" xfId="26009" xr:uid="{00000000-0005-0000-0000-00009C650000}"/>
    <cellStyle name="Normal 2 4 2 2 2" xfId="26010" xr:uid="{00000000-0005-0000-0000-00009D650000}"/>
    <cellStyle name="Normal 2 4 2 2 2 2" xfId="26011" xr:uid="{00000000-0005-0000-0000-00009E650000}"/>
    <cellStyle name="Normal 2 4 2 2 2 2 2" xfId="26012" xr:uid="{00000000-0005-0000-0000-00009F650000}"/>
    <cellStyle name="Normal 2 4 2 2 2 2 2 2" xfId="26013" xr:uid="{00000000-0005-0000-0000-0000A0650000}"/>
    <cellStyle name="Normal 2 4 2 2 2 2 2 3" xfId="26014" xr:uid="{00000000-0005-0000-0000-0000A1650000}"/>
    <cellStyle name="Normal 2 4 2 2 2 2 3" xfId="26015" xr:uid="{00000000-0005-0000-0000-0000A2650000}"/>
    <cellStyle name="Normal 2 4 2 2 2 2 4" xfId="26016" xr:uid="{00000000-0005-0000-0000-0000A3650000}"/>
    <cellStyle name="Normal 2 4 2 2 2 2 5" xfId="26017" xr:uid="{00000000-0005-0000-0000-0000A4650000}"/>
    <cellStyle name="Normal 2 4 2 2 2 2 6" xfId="26018" xr:uid="{00000000-0005-0000-0000-0000A5650000}"/>
    <cellStyle name="Normal 2 4 2 2 2 3" xfId="26019" xr:uid="{00000000-0005-0000-0000-0000A6650000}"/>
    <cellStyle name="Normal 2 4 2 2 2 3 2" xfId="26020" xr:uid="{00000000-0005-0000-0000-0000A7650000}"/>
    <cellStyle name="Normal 2 4 2 2 2 3 2 2" xfId="26021" xr:uid="{00000000-0005-0000-0000-0000A8650000}"/>
    <cellStyle name="Normal 2 4 2 2 2 3 3" xfId="26022" xr:uid="{00000000-0005-0000-0000-0000A9650000}"/>
    <cellStyle name="Normal 2 4 2 2 2 3 4" xfId="26023" xr:uid="{00000000-0005-0000-0000-0000AA650000}"/>
    <cellStyle name="Normal 2 4 2 2 2 3 5" xfId="26024" xr:uid="{00000000-0005-0000-0000-0000AB650000}"/>
    <cellStyle name="Normal 2 4 2 2 2 4" xfId="26025" xr:uid="{00000000-0005-0000-0000-0000AC650000}"/>
    <cellStyle name="Normal 2 4 2 2 2 4 2" xfId="26026" xr:uid="{00000000-0005-0000-0000-0000AD650000}"/>
    <cellStyle name="Normal 2 4 2 2 2 4 3" xfId="26027" xr:uid="{00000000-0005-0000-0000-0000AE650000}"/>
    <cellStyle name="Normal 2 4 2 2 2 4 4" xfId="26028" xr:uid="{00000000-0005-0000-0000-0000AF650000}"/>
    <cellStyle name="Normal 2 4 2 2 2 5" xfId="26029" xr:uid="{00000000-0005-0000-0000-0000B0650000}"/>
    <cellStyle name="Normal 2 4 2 2 2 5 2" xfId="26030" xr:uid="{00000000-0005-0000-0000-0000B1650000}"/>
    <cellStyle name="Normal 2 4 2 2 2 6" xfId="26031" xr:uid="{00000000-0005-0000-0000-0000B2650000}"/>
    <cellStyle name="Normal 2 4 2 2 2 7" xfId="26032" xr:uid="{00000000-0005-0000-0000-0000B3650000}"/>
    <cellStyle name="Normal 2 4 2 2 2 8" xfId="26033" xr:uid="{00000000-0005-0000-0000-0000B4650000}"/>
    <cellStyle name="Normal 2 4 2 2 2 9" xfId="26034" xr:uid="{00000000-0005-0000-0000-0000B5650000}"/>
    <cellStyle name="Normal 2 4 2 2 3" xfId="26035" xr:uid="{00000000-0005-0000-0000-0000B6650000}"/>
    <cellStyle name="Normal 2 4 2 2 3 2" xfId="26036" xr:uid="{00000000-0005-0000-0000-0000B7650000}"/>
    <cellStyle name="Normal 2 4 2 2 3 2 2" xfId="26037" xr:uid="{00000000-0005-0000-0000-0000B8650000}"/>
    <cellStyle name="Normal 2 4 2 2 3 2 2 2" xfId="26038" xr:uid="{00000000-0005-0000-0000-0000B9650000}"/>
    <cellStyle name="Normal 2 4 2 2 3 2 2 3" xfId="26039" xr:uid="{00000000-0005-0000-0000-0000BA650000}"/>
    <cellStyle name="Normal 2 4 2 2 3 2 3" xfId="26040" xr:uid="{00000000-0005-0000-0000-0000BB650000}"/>
    <cellStyle name="Normal 2 4 2 2 3 2 4" xfId="26041" xr:uid="{00000000-0005-0000-0000-0000BC650000}"/>
    <cellStyle name="Normal 2 4 2 2 3 2 5" xfId="26042" xr:uid="{00000000-0005-0000-0000-0000BD650000}"/>
    <cellStyle name="Normal 2 4 2 2 3 2 6" xfId="26043" xr:uid="{00000000-0005-0000-0000-0000BE650000}"/>
    <cellStyle name="Normal 2 4 2 2 3 3" xfId="26044" xr:uid="{00000000-0005-0000-0000-0000BF650000}"/>
    <cellStyle name="Normal 2 4 2 2 3 3 2" xfId="26045" xr:uid="{00000000-0005-0000-0000-0000C0650000}"/>
    <cellStyle name="Normal 2 4 2 2 3 3 2 2" xfId="26046" xr:uid="{00000000-0005-0000-0000-0000C1650000}"/>
    <cellStyle name="Normal 2 4 2 2 3 3 3" xfId="26047" xr:uid="{00000000-0005-0000-0000-0000C2650000}"/>
    <cellStyle name="Normal 2 4 2 2 3 3 4" xfId="26048" xr:uid="{00000000-0005-0000-0000-0000C3650000}"/>
    <cellStyle name="Normal 2 4 2 2 3 3 5" xfId="26049" xr:uid="{00000000-0005-0000-0000-0000C4650000}"/>
    <cellStyle name="Normal 2 4 2 2 3 4" xfId="26050" xr:uid="{00000000-0005-0000-0000-0000C5650000}"/>
    <cellStyle name="Normal 2 4 2 2 3 4 2" xfId="26051" xr:uid="{00000000-0005-0000-0000-0000C6650000}"/>
    <cellStyle name="Normal 2 4 2 2 3 4 3" xfId="26052" xr:uid="{00000000-0005-0000-0000-0000C7650000}"/>
    <cellStyle name="Normal 2 4 2 2 3 4 4" xfId="26053" xr:uid="{00000000-0005-0000-0000-0000C8650000}"/>
    <cellStyle name="Normal 2 4 2 2 3 5" xfId="26054" xr:uid="{00000000-0005-0000-0000-0000C9650000}"/>
    <cellStyle name="Normal 2 4 2 2 3 5 2" xfId="26055" xr:uid="{00000000-0005-0000-0000-0000CA650000}"/>
    <cellStyle name="Normal 2 4 2 2 3 6" xfId="26056" xr:uid="{00000000-0005-0000-0000-0000CB650000}"/>
    <cellStyle name="Normal 2 4 2 2 3 7" xfId="26057" xr:uid="{00000000-0005-0000-0000-0000CC650000}"/>
    <cellStyle name="Normal 2 4 2 2 3 8" xfId="26058" xr:uid="{00000000-0005-0000-0000-0000CD650000}"/>
    <cellStyle name="Normal 2 4 2 2 3 9" xfId="26059" xr:uid="{00000000-0005-0000-0000-0000CE650000}"/>
    <cellStyle name="Normal 2 4 2 2 4" xfId="26060" xr:uid="{00000000-0005-0000-0000-0000CF650000}"/>
    <cellStyle name="Normal 2 4 2 2 4 2" xfId="26061" xr:uid="{00000000-0005-0000-0000-0000D0650000}"/>
    <cellStyle name="Normal 2 4 2 2 4 2 2" xfId="26062" xr:uid="{00000000-0005-0000-0000-0000D1650000}"/>
    <cellStyle name="Normal 2 4 2 2 4 2 3" xfId="26063" xr:uid="{00000000-0005-0000-0000-0000D2650000}"/>
    <cellStyle name="Normal 2 4 2 2 4 3" xfId="26064" xr:uid="{00000000-0005-0000-0000-0000D3650000}"/>
    <cellStyle name="Normal 2 4 2 2 4 4" xfId="26065" xr:uid="{00000000-0005-0000-0000-0000D4650000}"/>
    <cellStyle name="Normal 2 4 2 2 4 5" xfId="26066" xr:uid="{00000000-0005-0000-0000-0000D5650000}"/>
    <cellStyle name="Normal 2 4 2 2 4 6" xfId="26067" xr:uid="{00000000-0005-0000-0000-0000D6650000}"/>
    <cellStyle name="Normal 2 4 2 2 5" xfId="26068" xr:uid="{00000000-0005-0000-0000-0000D7650000}"/>
    <cellStyle name="Normal 2 4 2 2 5 2" xfId="26069" xr:uid="{00000000-0005-0000-0000-0000D8650000}"/>
    <cellStyle name="Normal 2 4 2 2 5 2 2" xfId="26070" xr:uid="{00000000-0005-0000-0000-0000D9650000}"/>
    <cellStyle name="Normal 2 4 2 2 5 3" xfId="26071" xr:uid="{00000000-0005-0000-0000-0000DA650000}"/>
    <cellStyle name="Normal 2 4 2 2 5 4" xfId="26072" xr:uid="{00000000-0005-0000-0000-0000DB650000}"/>
    <cellStyle name="Normal 2 4 2 2 5 5" xfId="26073" xr:uid="{00000000-0005-0000-0000-0000DC650000}"/>
    <cellStyle name="Normal 2 4 2 2 6" xfId="26074" xr:uid="{00000000-0005-0000-0000-0000DD650000}"/>
    <cellStyle name="Normal 2 4 2 2 6 2" xfId="26075" xr:uid="{00000000-0005-0000-0000-0000DE650000}"/>
    <cellStyle name="Normal 2 4 2 2 6 3" xfId="26076" xr:uid="{00000000-0005-0000-0000-0000DF650000}"/>
    <cellStyle name="Normal 2 4 2 2 6 4" xfId="26077" xr:uid="{00000000-0005-0000-0000-0000E0650000}"/>
    <cellStyle name="Normal 2 4 2 2 7" xfId="26078" xr:uid="{00000000-0005-0000-0000-0000E1650000}"/>
    <cellStyle name="Normal 2 4 2 2 7 2" xfId="26079" xr:uid="{00000000-0005-0000-0000-0000E2650000}"/>
    <cellStyle name="Normal 2 4 2 2 8" xfId="26080" xr:uid="{00000000-0005-0000-0000-0000E3650000}"/>
    <cellStyle name="Normal 2 4 2 2 9" xfId="26081" xr:uid="{00000000-0005-0000-0000-0000E4650000}"/>
    <cellStyle name="Normal 2 4 2 20" xfId="26082" xr:uid="{00000000-0005-0000-0000-0000E5650000}"/>
    <cellStyle name="Normal 2 4 2 21" xfId="26083" xr:uid="{00000000-0005-0000-0000-0000E6650000}"/>
    <cellStyle name="Normal 2 4 2 22" xfId="26084" xr:uid="{00000000-0005-0000-0000-0000E7650000}"/>
    <cellStyle name="Normal 2 4 2 3" xfId="26085" xr:uid="{00000000-0005-0000-0000-0000E8650000}"/>
    <cellStyle name="Normal 2 4 2 3 10" xfId="26086" xr:uid="{00000000-0005-0000-0000-0000E9650000}"/>
    <cellStyle name="Normal 2 4 2 3 11" xfId="26087" xr:uid="{00000000-0005-0000-0000-0000EA650000}"/>
    <cellStyle name="Normal 2 4 2 3 2" xfId="26088" xr:uid="{00000000-0005-0000-0000-0000EB650000}"/>
    <cellStyle name="Normal 2 4 2 3 2 2" xfId="26089" xr:uid="{00000000-0005-0000-0000-0000EC650000}"/>
    <cellStyle name="Normal 2 4 2 3 2 2 2" xfId="26090" xr:uid="{00000000-0005-0000-0000-0000ED650000}"/>
    <cellStyle name="Normal 2 4 2 3 2 2 2 2" xfId="26091" xr:uid="{00000000-0005-0000-0000-0000EE650000}"/>
    <cellStyle name="Normal 2 4 2 3 2 2 2 3" xfId="26092" xr:uid="{00000000-0005-0000-0000-0000EF650000}"/>
    <cellStyle name="Normal 2 4 2 3 2 2 3" xfId="26093" xr:uid="{00000000-0005-0000-0000-0000F0650000}"/>
    <cellStyle name="Normal 2 4 2 3 2 2 4" xfId="26094" xr:uid="{00000000-0005-0000-0000-0000F1650000}"/>
    <cellStyle name="Normal 2 4 2 3 2 2 5" xfId="26095" xr:uid="{00000000-0005-0000-0000-0000F2650000}"/>
    <cellStyle name="Normal 2 4 2 3 2 2 6" xfId="26096" xr:uid="{00000000-0005-0000-0000-0000F3650000}"/>
    <cellStyle name="Normal 2 4 2 3 2 3" xfId="26097" xr:uid="{00000000-0005-0000-0000-0000F4650000}"/>
    <cellStyle name="Normal 2 4 2 3 2 3 2" xfId="26098" xr:uid="{00000000-0005-0000-0000-0000F5650000}"/>
    <cellStyle name="Normal 2 4 2 3 2 3 2 2" xfId="26099" xr:uid="{00000000-0005-0000-0000-0000F6650000}"/>
    <cellStyle name="Normal 2 4 2 3 2 3 3" xfId="26100" xr:uid="{00000000-0005-0000-0000-0000F7650000}"/>
    <cellStyle name="Normal 2 4 2 3 2 3 4" xfId="26101" xr:uid="{00000000-0005-0000-0000-0000F8650000}"/>
    <cellStyle name="Normal 2 4 2 3 2 3 5" xfId="26102" xr:uid="{00000000-0005-0000-0000-0000F9650000}"/>
    <cellStyle name="Normal 2 4 2 3 2 4" xfId="26103" xr:uid="{00000000-0005-0000-0000-0000FA650000}"/>
    <cellStyle name="Normal 2 4 2 3 2 4 2" xfId="26104" xr:uid="{00000000-0005-0000-0000-0000FB650000}"/>
    <cellStyle name="Normal 2 4 2 3 2 4 3" xfId="26105" xr:uid="{00000000-0005-0000-0000-0000FC650000}"/>
    <cellStyle name="Normal 2 4 2 3 2 4 4" xfId="26106" xr:uid="{00000000-0005-0000-0000-0000FD650000}"/>
    <cellStyle name="Normal 2 4 2 3 2 5" xfId="26107" xr:uid="{00000000-0005-0000-0000-0000FE650000}"/>
    <cellStyle name="Normal 2 4 2 3 2 5 2" xfId="26108" xr:uid="{00000000-0005-0000-0000-0000FF650000}"/>
    <cellStyle name="Normal 2 4 2 3 2 6" xfId="26109" xr:uid="{00000000-0005-0000-0000-000000660000}"/>
    <cellStyle name="Normal 2 4 2 3 2 7" xfId="26110" xr:uid="{00000000-0005-0000-0000-000001660000}"/>
    <cellStyle name="Normal 2 4 2 3 2 8" xfId="26111" xr:uid="{00000000-0005-0000-0000-000002660000}"/>
    <cellStyle name="Normal 2 4 2 3 2 9" xfId="26112" xr:uid="{00000000-0005-0000-0000-000003660000}"/>
    <cellStyle name="Normal 2 4 2 3 3" xfId="26113" xr:uid="{00000000-0005-0000-0000-000004660000}"/>
    <cellStyle name="Normal 2 4 2 3 3 2" xfId="26114" xr:uid="{00000000-0005-0000-0000-000005660000}"/>
    <cellStyle name="Normal 2 4 2 3 3 2 2" xfId="26115" xr:uid="{00000000-0005-0000-0000-000006660000}"/>
    <cellStyle name="Normal 2 4 2 3 3 2 2 2" xfId="26116" xr:uid="{00000000-0005-0000-0000-000007660000}"/>
    <cellStyle name="Normal 2 4 2 3 3 2 2 3" xfId="26117" xr:uid="{00000000-0005-0000-0000-000008660000}"/>
    <cellStyle name="Normal 2 4 2 3 3 2 3" xfId="26118" xr:uid="{00000000-0005-0000-0000-000009660000}"/>
    <cellStyle name="Normal 2 4 2 3 3 2 4" xfId="26119" xr:uid="{00000000-0005-0000-0000-00000A660000}"/>
    <cellStyle name="Normal 2 4 2 3 3 2 5" xfId="26120" xr:uid="{00000000-0005-0000-0000-00000B660000}"/>
    <cellStyle name="Normal 2 4 2 3 3 2 6" xfId="26121" xr:uid="{00000000-0005-0000-0000-00000C660000}"/>
    <cellStyle name="Normal 2 4 2 3 3 3" xfId="26122" xr:uid="{00000000-0005-0000-0000-00000D660000}"/>
    <cellStyle name="Normal 2 4 2 3 3 3 2" xfId="26123" xr:uid="{00000000-0005-0000-0000-00000E660000}"/>
    <cellStyle name="Normal 2 4 2 3 3 3 2 2" xfId="26124" xr:uid="{00000000-0005-0000-0000-00000F660000}"/>
    <cellStyle name="Normal 2 4 2 3 3 3 3" xfId="26125" xr:uid="{00000000-0005-0000-0000-000010660000}"/>
    <cellStyle name="Normal 2 4 2 3 3 3 4" xfId="26126" xr:uid="{00000000-0005-0000-0000-000011660000}"/>
    <cellStyle name="Normal 2 4 2 3 3 3 5" xfId="26127" xr:uid="{00000000-0005-0000-0000-000012660000}"/>
    <cellStyle name="Normal 2 4 2 3 3 4" xfId="26128" xr:uid="{00000000-0005-0000-0000-000013660000}"/>
    <cellStyle name="Normal 2 4 2 3 3 4 2" xfId="26129" xr:uid="{00000000-0005-0000-0000-000014660000}"/>
    <cellStyle name="Normal 2 4 2 3 3 4 3" xfId="26130" xr:uid="{00000000-0005-0000-0000-000015660000}"/>
    <cellStyle name="Normal 2 4 2 3 3 4 4" xfId="26131" xr:uid="{00000000-0005-0000-0000-000016660000}"/>
    <cellStyle name="Normal 2 4 2 3 3 5" xfId="26132" xr:uid="{00000000-0005-0000-0000-000017660000}"/>
    <cellStyle name="Normal 2 4 2 3 3 5 2" xfId="26133" xr:uid="{00000000-0005-0000-0000-000018660000}"/>
    <cellStyle name="Normal 2 4 2 3 3 6" xfId="26134" xr:uid="{00000000-0005-0000-0000-000019660000}"/>
    <cellStyle name="Normal 2 4 2 3 3 7" xfId="26135" xr:uid="{00000000-0005-0000-0000-00001A660000}"/>
    <cellStyle name="Normal 2 4 2 3 3 8" xfId="26136" xr:uid="{00000000-0005-0000-0000-00001B660000}"/>
    <cellStyle name="Normal 2 4 2 3 3 9" xfId="26137" xr:uid="{00000000-0005-0000-0000-00001C660000}"/>
    <cellStyle name="Normal 2 4 2 3 4" xfId="26138" xr:uid="{00000000-0005-0000-0000-00001D660000}"/>
    <cellStyle name="Normal 2 4 2 3 4 2" xfId="26139" xr:uid="{00000000-0005-0000-0000-00001E660000}"/>
    <cellStyle name="Normal 2 4 2 3 4 2 2" xfId="26140" xr:uid="{00000000-0005-0000-0000-00001F660000}"/>
    <cellStyle name="Normal 2 4 2 3 4 2 3" xfId="26141" xr:uid="{00000000-0005-0000-0000-000020660000}"/>
    <cellStyle name="Normal 2 4 2 3 4 3" xfId="26142" xr:uid="{00000000-0005-0000-0000-000021660000}"/>
    <cellStyle name="Normal 2 4 2 3 4 4" xfId="26143" xr:uid="{00000000-0005-0000-0000-000022660000}"/>
    <cellStyle name="Normal 2 4 2 3 4 5" xfId="26144" xr:uid="{00000000-0005-0000-0000-000023660000}"/>
    <cellStyle name="Normal 2 4 2 3 4 6" xfId="26145" xr:uid="{00000000-0005-0000-0000-000024660000}"/>
    <cellStyle name="Normal 2 4 2 3 5" xfId="26146" xr:uid="{00000000-0005-0000-0000-000025660000}"/>
    <cellStyle name="Normal 2 4 2 3 5 2" xfId="26147" xr:uid="{00000000-0005-0000-0000-000026660000}"/>
    <cellStyle name="Normal 2 4 2 3 5 2 2" xfId="26148" xr:uid="{00000000-0005-0000-0000-000027660000}"/>
    <cellStyle name="Normal 2 4 2 3 5 3" xfId="26149" xr:uid="{00000000-0005-0000-0000-000028660000}"/>
    <cellStyle name="Normal 2 4 2 3 5 4" xfId="26150" xr:uid="{00000000-0005-0000-0000-000029660000}"/>
    <cellStyle name="Normal 2 4 2 3 5 5" xfId="26151" xr:uid="{00000000-0005-0000-0000-00002A660000}"/>
    <cellStyle name="Normal 2 4 2 3 6" xfId="26152" xr:uid="{00000000-0005-0000-0000-00002B660000}"/>
    <cellStyle name="Normal 2 4 2 3 6 2" xfId="26153" xr:uid="{00000000-0005-0000-0000-00002C660000}"/>
    <cellStyle name="Normal 2 4 2 3 6 3" xfId="26154" xr:uid="{00000000-0005-0000-0000-00002D660000}"/>
    <cellStyle name="Normal 2 4 2 3 6 4" xfId="26155" xr:uid="{00000000-0005-0000-0000-00002E660000}"/>
    <cellStyle name="Normal 2 4 2 3 7" xfId="26156" xr:uid="{00000000-0005-0000-0000-00002F660000}"/>
    <cellStyle name="Normal 2 4 2 3 7 2" xfId="26157" xr:uid="{00000000-0005-0000-0000-000030660000}"/>
    <cellStyle name="Normal 2 4 2 3 8" xfId="26158" xr:uid="{00000000-0005-0000-0000-000031660000}"/>
    <cellStyle name="Normal 2 4 2 3 9" xfId="26159" xr:uid="{00000000-0005-0000-0000-000032660000}"/>
    <cellStyle name="Normal 2 4 2 4" xfId="26160" xr:uid="{00000000-0005-0000-0000-000033660000}"/>
    <cellStyle name="Normal 2 4 2 4 10" xfId="26161" xr:uid="{00000000-0005-0000-0000-000034660000}"/>
    <cellStyle name="Normal 2 4 2 4 11" xfId="26162" xr:uid="{00000000-0005-0000-0000-000035660000}"/>
    <cellStyle name="Normal 2 4 2 4 2" xfId="26163" xr:uid="{00000000-0005-0000-0000-000036660000}"/>
    <cellStyle name="Normal 2 4 2 4 2 2" xfId="26164" xr:uid="{00000000-0005-0000-0000-000037660000}"/>
    <cellStyle name="Normal 2 4 2 4 2 2 2" xfId="26165" xr:uid="{00000000-0005-0000-0000-000038660000}"/>
    <cellStyle name="Normal 2 4 2 4 2 2 2 2" xfId="26166" xr:uid="{00000000-0005-0000-0000-000039660000}"/>
    <cellStyle name="Normal 2 4 2 4 2 2 2 3" xfId="26167" xr:uid="{00000000-0005-0000-0000-00003A660000}"/>
    <cellStyle name="Normal 2 4 2 4 2 2 3" xfId="26168" xr:uid="{00000000-0005-0000-0000-00003B660000}"/>
    <cellStyle name="Normal 2 4 2 4 2 2 4" xfId="26169" xr:uid="{00000000-0005-0000-0000-00003C660000}"/>
    <cellStyle name="Normal 2 4 2 4 2 2 5" xfId="26170" xr:uid="{00000000-0005-0000-0000-00003D660000}"/>
    <cellStyle name="Normal 2 4 2 4 2 2 6" xfId="26171" xr:uid="{00000000-0005-0000-0000-00003E660000}"/>
    <cellStyle name="Normal 2 4 2 4 2 3" xfId="26172" xr:uid="{00000000-0005-0000-0000-00003F660000}"/>
    <cellStyle name="Normal 2 4 2 4 2 3 2" xfId="26173" xr:uid="{00000000-0005-0000-0000-000040660000}"/>
    <cellStyle name="Normal 2 4 2 4 2 3 2 2" xfId="26174" xr:uid="{00000000-0005-0000-0000-000041660000}"/>
    <cellStyle name="Normal 2 4 2 4 2 3 3" xfId="26175" xr:uid="{00000000-0005-0000-0000-000042660000}"/>
    <cellStyle name="Normal 2 4 2 4 2 3 4" xfId="26176" xr:uid="{00000000-0005-0000-0000-000043660000}"/>
    <cellStyle name="Normal 2 4 2 4 2 3 5" xfId="26177" xr:uid="{00000000-0005-0000-0000-000044660000}"/>
    <cellStyle name="Normal 2 4 2 4 2 4" xfId="26178" xr:uid="{00000000-0005-0000-0000-000045660000}"/>
    <cellStyle name="Normal 2 4 2 4 2 4 2" xfId="26179" xr:uid="{00000000-0005-0000-0000-000046660000}"/>
    <cellStyle name="Normal 2 4 2 4 2 4 3" xfId="26180" xr:uid="{00000000-0005-0000-0000-000047660000}"/>
    <cellStyle name="Normal 2 4 2 4 2 4 4" xfId="26181" xr:uid="{00000000-0005-0000-0000-000048660000}"/>
    <cellStyle name="Normal 2 4 2 4 2 5" xfId="26182" xr:uid="{00000000-0005-0000-0000-000049660000}"/>
    <cellStyle name="Normal 2 4 2 4 2 5 2" xfId="26183" xr:uid="{00000000-0005-0000-0000-00004A660000}"/>
    <cellStyle name="Normal 2 4 2 4 2 6" xfId="26184" xr:uid="{00000000-0005-0000-0000-00004B660000}"/>
    <cellStyle name="Normal 2 4 2 4 2 7" xfId="26185" xr:uid="{00000000-0005-0000-0000-00004C660000}"/>
    <cellStyle name="Normal 2 4 2 4 2 8" xfId="26186" xr:uid="{00000000-0005-0000-0000-00004D660000}"/>
    <cellStyle name="Normal 2 4 2 4 2 9" xfId="26187" xr:uid="{00000000-0005-0000-0000-00004E660000}"/>
    <cellStyle name="Normal 2 4 2 4 3" xfId="26188" xr:uid="{00000000-0005-0000-0000-00004F660000}"/>
    <cellStyle name="Normal 2 4 2 4 3 2" xfId="26189" xr:uid="{00000000-0005-0000-0000-000050660000}"/>
    <cellStyle name="Normal 2 4 2 4 3 2 2" xfId="26190" xr:uid="{00000000-0005-0000-0000-000051660000}"/>
    <cellStyle name="Normal 2 4 2 4 3 2 2 2" xfId="26191" xr:uid="{00000000-0005-0000-0000-000052660000}"/>
    <cellStyle name="Normal 2 4 2 4 3 2 2 3" xfId="26192" xr:uid="{00000000-0005-0000-0000-000053660000}"/>
    <cellStyle name="Normal 2 4 2 4 3 2 3" xfId="26193" xr:uid="{00000000-0005-0000-0000-000054660000}"/>
    <cellStyle name="Normal 2 4 2 4 3 2 4" xfId="26194" xr:uid="{00000000-0005-0000-0000-000055660000}"/>
    <cellStyle name="Normal 2 4 2 4 3 2 5" xfId="26195" xr:uid="{00000000-0005-0000-0000-000056660000}"/>
    <cellStyle name="Normal 2 4 2 4 3 2 6" xfId="26196" xr:uid="{00000000-0005-0000-0000-000057660000}"/>
    <cellStyle name="Normal 2 4 2 4 3 3" xfId="26197" xr:uid="{00000000-0005-0000-0000-000058660000}"/>
    <cellStyle name="Normal 2 4 2 4 3 3 2" xfId="26198" xr:uid="{00000000-0005-0000-0000-000059660000}"/>
    <cellStyle name="Normal 2 4 2 4 3 3 2 2" xfId="26199" xr:uid="{00000000-0005-0000-0000-00005A660000}"/>
    <cellStyle name="Normal 2 4 2 4 3 3 3" xfId="26200" xr:uid="{00000000-0005-0000-0000-00005B660000}"/>
    <cellStyle name="Normal 2 4 2 4 3 3 4" xfId="26201" xr:uid="{00000000-0005-0000-0000-00005C660000}"/>
    <cellStyle name="Normal 2 4 2 4 3 3 5" xfId="26202" xr:uid="{00000000-0005-0000-0000-00005D660000}"/>
    <cellStyle name="Normal 2 4 2 4 3 4" xfId="26203" xr:uid="{00000000-0005-0000-0000-00005E660000}"/>
    <cellStyle name="Normal 2 4 2 4 3 4 2" xfId="26204" xr:uid="{00000000-0005-0000-0000-00005F660000}"/>
    <cellStyle name="Normal 2 4 2 4 3 4 3" xfId="26205" xr:uid="{00000000-0005-0000-0000-000060660000}"/>
    <cellStyle name="Normal 2 4 2 4 3 4 4" xfId="26206" xr:uid="{00000000-0005-0000-0000-000061660000}"/>
    <cellStyle name="Normal 2 4 2 4 3 5" xfId="26207" xr:uid="{00000000-0005-0000-0000-000062660000}"/>
    <cellStyle name="Normal 2 4 2 4 3 5 2" xfId="26208" xr:uid="{00000000-0005-0000-0000-000063660000}"/>
    <cellStyle name="Normal 2 4 2 4 3 6" xfId="26209" xr:uid="{00000000-0005-0000-0000-000064660000}"/>
    <cellStyle name="Normal 2 4 2 4 3 7" xfId="26210" xr:uid="{00000000-0005-0000-0000-000065660000}"/>
    <cellStyle name="Normal 2 4 2 4 3 8" xfId="26211" xr:uid="{00000000-0005-0000-0000-000066660000}"/>
    <cellStyle name="Normal 2 4 2 4 3 9" xfId="26212" xr:uid="{00000000-0005-0000-0000-000067660000}"/>
    <cellStyle name="Normal 2 4 2 4 4" xfId="26213" xr:uid="{00000000-0005-0000-0000-000068660000}"/>
    <cellStyle name="Normal 2 4 2 4 4 2" xfId="26214" xr:uid="{00000000-0005-0000-0000-000069660000}"/>
    <cellStyle name="Normal 2 4 2 4 4 2 2" xfId="26215" xr:uid="{00000000-0005-0000-0000-00006A660000}"/>
    <cellStyle name="Normal 2 4 2 4 4 2 3" xfId="26216" xr:uid="{00000000-0005-0000-0000-00006B660000}"/>
    <cellStyle name="Normal 2 4 2 4 4 3" xfId="26217" xr:uid="{00000000-0005-0000-0000-00006C660000}"/>
    <cellStyle name="Normal 2 4 2 4 4 4" xfId="26218" xr:uid="{00000000-0005-0000-0000-00006D660000}"/>
    <cellStyle name="Normal 2 4 2 4 4 5" xfId="26219" xr:uid="{00000000-0005-0000-0000-00006E660000}"/>
    <cellStyle name="Normal 2 4 2 4 4 6" xfId="26220" xr:uid="{00000000-0005-0000-0000-00006F660000}"/>
    <cellStyle name="Normal 2 4 2 4 5" xfId="26221" xr:uid="{00000000-0005-0000-0000-000070660000}"/>
    <cellStyle name="Normal 2 4 2 4 5 2" xfId="26222" xr:uid="{00000000-0005-0000-0000-000071660000}"/>
    <cellStyle name="Normal 2 4 2 4 5 2 2" xfId="26223" xr:uid="{00000000-0005-0000-0000-000072660000}"/>
    <cellStyle name="Normal 2 4 2 4 5 3" xfId="26224" xr:uid="{00000000-0005-0000-0000-000073660000}"/>
    <cellStyle name="Normal 2 4 2 4 5 4" xfId="26225" xr:uid="{00000000-0005-0000-0000-000074660000}"/>
    <cellStyle name="Normal 2 4 2 4 5 5" xfId="26226" xr:uid="{00000000-0005-0000-0000-000075660000}"/>
    <cellStyle name="Normal 2 4 2 4 6" xfId="26227" xr:uid="{00000000-0005-0000-0000-000076660000}"/>
    <cellStyle name="Normal 2 4 2 4 6 2" xfId="26228" xr:uid="{00000000-0005-0000-0000-000077660000}"/>
    <cellStyle name="Normal 2 4 2 4 6 3" xfId="26229" xr:uid="{00000000-0005-0000-0000-000078660000}"/>
    <cellStyle name="Normal 2 4 2 4 6 4" xfId="26230" xr:uid="{00000000-0005-0000-0000-000079660000}"/>
    <cellStyle name="Normal 2 4 2 4 7" xfId="26231" xr:uid="{00000000-0005-0000-0000-00007A660000}"/>
    <cellStyle name="Normal 2 4 2 4 7 2" xfId="26232" xr:uid="{00000000-0005-0000-0000-00007B660000}"/>
    <cellStyle name="Normal 2 4 2 4 8" xfId="26233" xr:uid="{00000000-0005-0000-0000-00007C660000}"/>
    <cellStyle name="Normal 2 4 2 4 9" xfId="26234" xr:uid="{00000000-0005-0000-0000-00007D660000}"/>
    <cellStyle name="Normal 2 4 2 5" xfId="26235" xr:uid="{00000000-0005-0000-0000-00007E660000}"/>
    <cellStyle name="Normal 2 4 2 5 10" xfId="26236" xr:uid="{00000000-0005-0000-0000-00007F660000}"/>
    <cellStyle name="Normal 2 4 2 5 11" xfId="26237" xr:uid="{00000000-0005-0000-0000-000080660000}"/>
    <cellStyle name="Normal 2 4 2 5 2" xfId="26238" xr:uid="{00000000-0005-0000-0000-000081660000}"/>
    <cellStyle name="Normal 2 4 2 5 2 2" xfId="26239" xr:uid="{00000000-0005-0000-0000-000082660000}"/>
    <cellStyle name="Normal 2 4 2 5 2 2 2" xfId="26240" xr:uid="{00000000-0005-0000-0000-000083660000}"/>
    <cellStyle name="Normal 2 4 2 5 2 2 2 2" xfId="26241" xr:uid="{00000000-0005-0000-0000-000084660000}"/>
    <cellStyle name="Normal 2 4 2 5 2 2 2 3" xfId="26242" xr:uid="{00000000-0005-0000-0000-000085660000}"/>
    <cellStyle name="Normal 2 4 2 5 2 2 3" xfId="26243" xr:uid="{00000000-0005-0000-0000-000086660000}"/>
    <cellStyle name="Normal 2 4 2 5 2 2 4" xfId="26244" xr:uid="{00000000-0005-0000-0000-000087660000}"/>
    <cellStyle name="Normal 2 4 2 5 2 2 5" xfId="26245" xr:uid="{00000000-0005-0000-0000-000088660000}"/>
    <cellStyle name="Normal 2 4 2 5 2 2 6" xfId="26246" xr:uid="{00000000-0005-0000-0000-000089660000}"/>
    <cellStyle name="Normal 2 4 2 5 2 3" xfId="26247" xr:uid="{00000000-0005-0000-0000-00008A660000}"/>
    <cellStyle name="Normal 2 4 2 5 2 3 2" xfId="26248" xr:uid="{00000000-0005-0000-0000-00008B660000}"/>
    <cellStyle name="Normal 2 4 2 5 2 3 2 2" xfId="26249" xr:uid="{00000000-0005-0000-0000-00008C660000}"/>
    <cellStyle name="Normal 2 4 2 5 2 3 3" xfId="26250" xr:uid="{00000000-0005-0000-0000-00008D660000}"/>
    <cellStyle name="Normal 2 4 2 5 2 3 4" xfId="26251" xr:uid="{00000000-0005-0000-0000-00008E660000}"/>
    <cellStyle name="Normal 2 4 2 5 2 3 5" xfId="26252" xr:uid="{00000000-0005-0000-0000-00008F660000}"/>
    <cellStyle name="Normal 2 4 2 5 2 4" xfId="26253" xr:uid="{00000000-0005-0000-0000-000090660000}"/>
    <cellStyle name="Normal 2 4 2 5 2 4 2" xfId="26254" xr:uid="{00000000-0005-0000-0000-000091660000}"/>
    <cellStyle name="Normal 2 4 2 5 2 4 3" xfId="26255" xr:uid="{00000000-0005-0000-0000-000092660000}"/>
    <cellStyle name="Normal 2 4 2 5 2 4 4" xfId="26256" xr:uid="{00000000-0005-0000-0000-000093660000}"/>
    <cellStyle name="Normal 2 4 2 5 2 5" xfId="26257" xr:uid="{00000000-0005-0000-0000-000094660000}"/>
    <cellStyle name="Normal 2 4 2 5 2 5 2" xfId="26258" xr:uid="{00000000-0005-0000-0000-000095660000}"/>
    <cellStyle name="Normal 2 4 2 5 2 6" xfId="26259" xr:uid="{00000000-0005-0000-0000-000096660000}"/>
    <cellStyle name="Normal 2 4 2 5 2 7" xfId="26260" xr:uid="{00000000-0005-0000-0000-000097660000}"/>
    <cellStyle name="Normal 2 4 2 5 2 8" xfId="26261" xr:uid="{00000000-0005-0000-0000-000098660000}"/>
    <cellStyle name="Normal 2 4 2 5 2 9" xfId="26262" xr:uid="{00000000-0005-0000-0000-000099660000}"/>
    <cellStyle name="Normal 2 4 2 5 3" xfId="26263" xr:uid="{00000000-0005-0000-0000-00009A660000}"/>
    <cellStyle name="Normal 2 4 2 5 3 2" xfId="26264" xr:uid="{00000000-0005-0000-0000-00009B660000}"/>
    <cellStyle name="Normal 2 4 2 5 3 2 2" xfId="26265" xr:uid="{00000000-0005-0000-0000-00009C660000}"/>
    <cellStyle name="Normal 2 4 2 5 3 2 2 2" xfId="26266" xr:uid="{00000000-0005-0000-0000-00009D660000}"/>
    <cellStyle name="Normal 2 4 2 5 3 2 2 3" xfId="26267" xr:uid="{00000000-0005-0000-0000-00009E660000}"/>
    <cellStyle name="Normal 2 4 2 5 3 2 3" xfId="26268" xr:uid="{00000000-0005-0000-0000-00009F660000}"/>
    <cellStyle name="Normal 2 4 2 5 3 2 4" xfId="26269" xr:uid="{00000000-0005-0000-0000-0000A0660000}"/>
    <cellStyle name="Normal 2 4 2 5 3 2 5" xfId="26270" xr:uid="{00000000-0005-0000-0000-0000A1660000}"/>
    <cellStyle name="Normal 2 4 2 5 3 2 6" xfId="26271" xr:uid="{00000000-0005-0000-0000-0000A2660000}"/>
    <cellStyle name="Normal 2 4 2 5 3 3" xfId="26272" xr:uid="{00000000-0005-0000-0000-0000A3660000}"/>
    <cellStyle name="Normal 2 4 2 5 3 3 2" xfId="26273" xr:uid="{00000000-0005-0000-0000-0000A4660000}"/>
    <cellStyle name="Normal 2 4 2 5 3 3 2 2" xfId="26274" xr:uid="{00000000-0005-0000-0000-0000A5660000}"/>
    <cellStyle name="Normal 2 4 2 5 3 3 3" xfId="26275" xr:uid="{00000000-0005-0000-0000-0000A6660000}"/>
    <cellStyle name="Normal 2 4 2 5 3 3 4" xfId="26276" xr:uid="{00000000-0005-0000-0000-0000A7660000}"/>
    <cellStyle name="Normal 2 4 2 5 3 3 5" xfId="26277" xr:uid="{00000000-0005-0000-0000-0000A8660000}"/>
    <cellStyle name="Normal 2 4 2 5 3 4" xfId="26278" xr:uid="{00000000-0005-0000-0000-0000A9660000}"/>
    <cellStyle name="Normal 2 4 2 5 3 4 2" xfId="26279" xr:uid="{00000000-0005-0000-0000-0000AA660000}"/>
    <cellStyle name="Normal 2 4 2 5 3 4 3" xfId="26280" xr:uid="{00000000-0005-0000-0000-0000AB660000}"/>
    <cellStyle name="Normal 2 4 2 5 3 4 4" xfId="26281" xr:uid="{00000000-0005-0000-0000-0000AC660000}"/>
    <cellStyle name="Normal 2 4 2 5 3 5" xfId="26282" xr:uid="{00000000-0005-0000-0000-0000AD660000}"/>
    <cellStyle name="Normal 2 4 2 5 3 5 2" xfId="26283" xr:uid="{00000000-0005-0000-0000-0000AE660000}"/>
    <cellStyle name="Normal 2 4 2 5 3 6" xfId="26284" xr:uid="{00000000-0005-0000-0000-0000AF660000}"/>
    <cellStyle name="Normal 2 4 2 5 3 7" xfId="26285" xr:uid="{00000000-0005-0000-0000-0000B0660000}"/>
    <cellStyle name="Normal 2 4 2 5 3 8" xfId="26286" xr:uid="{00000000-0005-0000-0000-0000B1660000}"/>
    <cellStyle name="Normal 2 4 2 5 3 9" xfId="26287" xr:uid="{00000000-0005-0000-0000-0000B2660000}"/>
    <cellStyle name="Normal 2 4 2 5 4" xfId="26288" xr:uid="{00000000-0005-0000-0000-0000B3660000}"/>
    <cellStyle name="Normal 2 4 2 5 4 2" xfId="26289" xr:uid="{00000000-0005-0000-0000-0000B4660000}"/>
    <cellStyle name="Normal 2 4 2 5 4 2 2" xfId="26290" xr:uid="{00000000-0005-0000-0000-0000B5660000}"/>
    <cellStyle name="Normal 2 4 2 5 4 2 3" xfId="26291" xr:uid="{00000000-0005-0000-0000-0000B6660000}"/>
    <cellStyle name="Normal 2 4 2 5 4 3" xfId="26292" xr:uid="{00000000-0005-0000-0000-0000B7660000}"/>
    <cellStyle name="Normal 2 4 2 5 4 4" xfId="26293" xr:uid="{00000000-0005-0000-0000-0000B8660000}"/>
    <cellStyle name="Normal 2 4 2 5 4 5" xfId="26294" xr:uid="{00000000-0005-0000-0000-0000B9660000}"/>
    <cellStyle name="Normal 2 4 2 5 4 6" xfId="26295" xr:uid="{00000000-0005-0000-0000-0000BA660000}"/>
    <cellStyle name="Normal 2 4 2 5 5" xfId="26296" xr:uid="{00000000-0005-0000-0000-0000BB660000}"/>
    <cellStyle name="Normal 2 4 2 5 5 2" xfId="26297" xr:uid="{00000000-0005-0000-0000-0000BC660000}"/>
    <cellStyle name="Normal 2 4 2 5 5 2 2" xfId="26298" xr:uid="{00000000-0005-0000-0000-0000BD660000}"/>
    <cellStyle name="Normal 2 4 2 5 5 3" xfId="26299" xr:uid="{00000000-0005-0000-0000-0000BE660000}"/>
    <cellStyle name="Normal 2 4 2 5 5 4" xfId="26300" xr:uid="{00000000-0005-0000-0000-0000BF660000}"/>
    <cellStyle name="Normal 2 4 2 5 5 5" xfId="26301" xr:uid="{00000000-0005-0000-0000-0000C0660000}"/>
    <cellStyle name="Normal 2 4 2 5 6" xfId="26302" xr:uid="{00000000-0005-0000-0000-0000C1660000}"/>
    <cellStyle name="Normal 2 4 2 5 6 2" xfId="26303" xr:uid="{00000000-0005-0000-0000-0000C2660000}"/>
    <cellStyle name="Normal 2 4 2 5 6 3" xfId="26304" xr:uid="{00000000-0005-0000-0000-0000C3660000}"/>
    <cellStyle name="Normal 2 4 2 5 6 4" xfId="26305" xr:uid="{00000000-0005-0000-0000-0000C4660000}"/>
    <cellStyle name="Normal 2 4 2 5 7" xfId="26306" xr:uid="{00000000-0005-0000-0000-0000C5660000}"/>
    <cellStyle name="Normal 2 4 2 5 7 2" xfId="26307" xr:uid="{00000000-0005-0000-0000-0000C6660000}"/>
    <cellStyle name="Normal 2 4 2 5 8" xfId="26308" xr:uid="{00000000-0005-0000-0000-0000C7660000}"/>
    <cellStyle name="Normal 2 4 2 5 9" xfId="26309" xr:uid="{00000000-0005-0000-0000-0000C8660000}"/>
    <cellStyle name="Normal 2 4 2 6" xfId="26310" xr:uid="{00000000-0005-0000-0000-0000C9660000}"/>
    <cellStyle name="Normal 2 4 2 6 10" xfId="26311" xr:uid="{00000000-0005-0000-0000-0000CA660000}"/>
    <cellStyle name="Normal 2 4 2 6 11" xfId="26312" xr:uid="{00000000-0005-0000-0000-0000CB660000}"/>
    <cellStyle name="Normal 2 4 2 6 2" xfId="26313" xr:uid="{00000000-0005-0000-0000-0000CC660000}"/>
    <cellStyle name="Normal 2 4 2 6 2 2" xfId="26314" xr:uid="{00000000-0005-0000-0000-0000CD660000}"/>
    <cellStyle name="Normal 2 4 2 6 2 2 2" xfId="26315" xr:uid="{00000000-0005-0000-0000-0000CE660000}"/>
    <cellStyle name="Normal 2 4 2 6 2 2 2 2" xfId="26316" xr:uid="{00000000-0005-0000-0000-0000CF660000}"/>
    <cellStyle name="Normal 2 4 2 6 2 2 2 3" xfId="26317" xr:uid="{00000000-0005-0000-0000-0000D0660000}"/>
    <cellStyle name="Normal 2 4 2 6 2 2 3" xfId="26318" xr:uid="{00000000-0005-0000-0000-0000D1660000}"/>
    <cellStyle name="Normal 2 4 2 6 2 2 4" xfId="26319" xr:uid="{00000000-0005-0000-0000-0000D2660000}"/>
    <cellStyle name="Normal 2 4 2 6 2 2 5" xfId="26320" xr:uid="{00000000-0005-0000-0000-0000D3660000}"/>
    <cellStyle name="Normal 2 4 2 6 2 2 6" xfId="26321" xr:uid="{00000000-0005-0000-0000-0000D4660000}"/>
    <cellStyle name="Normal 2 4 2 6 2 3" xfId="26322" xr:uid="{00000000-0005-0000-0000-0000D5660000}"/>
    <cellStyle name="Normal 2 4 2 6 2 3 2" xfId="26323" xr:uid="{00000000-0005-0000-0000-0000D6660000}"/>
    <cellStyle name="Normal 2 4 2 6 2 3 2 2" xfId="26324" xr:uid="{00000000-0005-0000-0000-0000D7660000}"/>
    <cellStyle name="Normal 2 4 2 6 2 3 3" xfId="26325" xr:uid="{00000000-0005-0000-0000-0000D8660000}"/>
    <cellStyle name="Normal 2 4 2 6 2 3 4" xfId="26326" xr:uid="{00000000-0005-0000-0000-0000D9660000}"/>
    <cellStyle name="Normal 2 4 2 6 2 3 5" xfId="26327" xr:uid="{00000000-0005-0000-0000-0000DA660000}"/>
    <cellStyle name="Normal 2 4 2 6 2 4" xfId="26328" xr:uid="{00000000-0005-0000-0000-0000DB660000}"/>
    <cellStyle name="Normal 2 4 2 6 2 4 2" xfId="26329" xr:uid="{00000000-0005-0000-0000-0000DC660000}"/>
    <cellStyle name="Normal 2 4 2 6 2 4 3" xfId="26330" xr:uid="{00000000-0005-0000-0000-0000DD660000}"/>
    <cellStyle name="Normal 2 4 2 6 2 4 4" xfId="26331" xr:uid="{00000000-0005-0000-0000-0000DE660000}"/>
    <cellStyle name="Normal 2 4 2 6 2 5" xfId="26332" xr:uid="{00000000-0005-0000-0000-0000DF660000}"/>
    <cellStyle name="Normal 2 4 2 6 2 5 2" xfId="26333" xr:uid="{00000000-0005-0000-0000-0000E0660000}"/>
    <cellStyle name="Normal 2 4 2 6 2 6" xfId="26334" xr:uid="{00000000-0005-0000-0000-0000E1660000}"/>
    <cellStyle name="Normal 2 4 2 6 2 7" xfId="26335" xr:uid="{00000000-0005-0000-0000-0000E2660000}"/>
    <cellStyle name="Normal 2 4 2 6 2 8" xfId="26336" xr:uid="{00000000-0005-0000-0000-0000E3660000}"/>
    <cellStyle name="Normal 2 4 2 6 2 9" xfId="26337" xr:uid="{00000000-0005-0000-0000-0000E4660000}"/>
    <cellStyle name="Normal 2 4 2 6 3" xfId="26338" xr:uid="{00000000-0005-0000-0000-0000E5660000}"/>
    <cellStyle name="Normal 2 4 2 6 3 2" xfId="26339" xr:uid="{00000000-0005-0000-0000-0000E6660000}"/>
    <cellStyle name="Normal 2 4 2 6 3 2 2" xfId="26340" xr:uid="{00000000-0005-0000-0000-0000E7660000}"/>
    <cellStyle name="Normal 2 4 2 6 3 2 2 2" xfId="26341" xr:uid="{00000000-0005-0000-0000-0000E8660000}"/>
    <cellStyle name="Normal 2 4 2 6 3 2 2 3" xfId="26342" xr:uid="{00000000-0005-0000-0000-0000E9660000}"/>
    <cellStyle name="Normal 2 4 2 6 3 2 3" xfId="26343" xr:uid="{00000000-0005-0000-0000-0000EA660000}"/>
    <cellStyle name="Normal 2 4 2 6 3 2 4" xfId="26344" xr:uid="{00000000-0005-0000-0000-0000EB660000}"/>
    <cellStyle name="Normal 2 4 2 6 3 2 5" xfId="26345" xr:uid="{00000000-0005-0000-0000-0000EC660000}"/>
    <cellStyle name="Normal 2 4 2 6 3 2 6" xfId="26346" xr:uid="{00000000-0005-0000-0000-0000ED660000}"/>
    <cellStyle name="Normal 2 4 2 6 3 3" xfId="26347" xr:uid="{00000000-0005-0000-0000-0000EE660000}"/>
    <cellStyle name="Normal 2 4 2 6 3 3 2" xfId="26348" xr:uid="{00000000-0005-0000-0000-0000EF660000}"/>
    <cellStyle name="Normal 2 4 2 6 3 3 2 2" xfId="26349" xr:uid="{00000000-0005-0000-0000-0000F0660000}"/>
    <cellStyle name="Normal 2 4 2 6 3 3 3" xfId="26350" xr:uid="{00000000-0005-0000-0000-0000F1660000}"/>
    <cellStyle name="Normal 2 4 2 6 3 3 4" xfId="26351" xr:uid="{00000000-0005-0000-0000-0000F2660000}"/>
    <cellStyle name="Normal 2 4 2 6 3 3 5" xfId="26352" xr:uid="{00000000-0005-0000-0000-0000F3660000}"/>
    <cellStyle name="Normal 2 4 2 6 3 4" xfId="26353" xr:uid="{00000000-0005-0000-0000-0000F4660000}"/>
    <cellStyle name="Normal 2 4 2 6 3 4 2" xfId="26354" xr:uid="{00000000-0005-0000-0000-0000F5660000}"/>
    <cellStyle name="Normal 2 4 2 6 3 4 3" xfId="26355" xr:uid="{00000000-0005-0000-0000-0000F6660000}"/>
    <cellStyle name="Normal 2 4 2 6 3 4 4" xfId="26356" xr:uid="{00000000-0005-0000-0000-0000F7660000}"/>
    <cellStyle name="Normal 2 4 2 6 3 5" xfId="26357" xr:uid="{00000000-0005-0000-0000-0000F8660000}"/>
    <cellStyle name="Normal 2 4 2 6 3 5 2" xfId="26358" xr:uid="{00000000-0005-0000-0000-0000F9660000}"/>
    <cellStyle name="Normal 2 4 2 6 3 6" xfId="26359" xr:uid="{00000000-0005-0000-0000-0000FA660000}"/>
    <cellStyle name="Normal 2 4 2 6 3 7" xfId="26360" xr:uid="{00000000-0005-0000-0000-0000FB660000}"/>
    <cellStyle name="Normal 2 4 2 6 3 8" xfId="26361" xr:uid="{00000000-0005-0000-0000-0000FC660000}"/>
    <cellStyle name="Normal 2 4 2 6 3 9" xfId="26362" xr:uid="{00000000-0005-0000-0000-0000FD660000}"/>
    <cellStyle name="Normal 2 4 2 6 4" xfId="26363" xr:uid="{00000000-0005-0000-0000-0000FE660000}"/>
    <cellStyle name="Normal 2 4 2 6 4 2" xfId="26364" xr:uid="{00000000-0005-0000-0000-0000FF660000}"/>
    <cellStyle name="Normal 2 4 2 6 4 2 2" xfId="26365" xr:uid="{00000000-0005-0000-0000-000000670000}"/>
    <cellStyle name="Normal 2 4 2 6 4 2 3" xfId="26366" xr:uid="{00000000-0005-0000-0000-000001670000}"/>
    <cellStyle name="Normal 2 4 2 6 4 3" xfId="26367" xr:uid="{00000000-0005-0000-0000-000002670000}"/>
    <cellStyle name="Normal 2 4 2 6 4 4" xfId="26368" xr:uid="{00000000-0005-0000-0000-000003670000}"/>
    <cellStyle name="Normal 2 4 2 6 4 5" xfId="26369" xr:uid="{00000000-0005-0000-0000-000004670000}"/>
    <cellStyle name="Normal 2 4 2 6 4 6" xfId="26370" xr:uid="{00000000-0005-0000-0000-000005670000}"/>
    <cellStyle name="Normal 2 4 2 6 5" xfId="26371" xr:uid="{00000000-0005-0000-0000-000006670000}"/>
    <cellStyle name="Normal 2 4 2 6 5 2" xfId="26372" xr:uid="{00000000-0005-0000-0000-000007670000}"/>
    <cellStyle name="Normal 2 4 2 6 5 2 2" xfId="26373" xr:uid="{00000000-0005-0000-0000-000008670000}"/>
    <cellStyle name="Normal 2 4 2 6 5 3" xfId="26374" xr:uid="{00000000-0005-0000-0000-000009670000}"/>
    <cellStyle name="Normal 2 4 2 6 5 4" xfId="26375" xr:uid="{00000000-0005-0000-0000-00000A670000}"/>
    <cellStyle name="Normal 2 4 2 6 5 5" xfId="26376" xr:uid="{00000000-0005-0000-0000-00000B670000}"/>
    <cellStyle name="Normal 2 4 2 6 6" xfId="26377" xr:uid="{00000000-0005-0000-0000-00000C670000}"/>
    <cellStyle name="Normal 2 4 2 6 6 2" xfId="26378" xr:uid="{00000000-0005-0000-0000-00000D670000}"/>
    <cellStyle name="Normal 2 4 2 6 6 3" xfId="26379" xr:uid="{00000000-0005-0000-0000-00000E670000}"/>
    <cellStyle name="Normal 2 4 2 6 6 4" xfId="26380" xr:uid="{00000000-0005-0000-0000-00000F670000}"/>
    <cellStyle name="Normal 2 4 2 6 7" xfId="26381" xr:uid="{00000000-0005-0000-0000-000010670000}"/>
    <cellStyle name="Normal 2 4 2 6 7 2" xfId="26382" xr:uid="{00000000-0005-0000-0000-000011670000}"/>
    <cellStyle name="Normal 2 4 2 6 8" xfId="26383" xr:uid="{00000000-0005-0000-0000-000012670000}"/>
    <cellStyle name="Normal 2 4 2 6 9" xfId="26384" xr:uid="{00000000-0005-0000-0000-000013670000}"/>
    <cellStyle name="Normal 2 4 2 7" xfId="26385" xr:uid="{00000000-0005-0000-0000-000014670000}"/>
    <cellStyle name="Normal 2 4 2 7 10" xfId="26386" xr:uid="{00000000-0005-0000-0000-000015670000}"/>
    <cellStyle name="Normal 2 4 2 7 11" xfId="26387" xr:uid="{00000000-0005-0000-0000-000016670000}"/>
    <cellStyle name="Normal 2 4 2 7 2" xfId="26388" xr:uid="{00000000-0005-0000-0000-000017670000}"/>
    <cellStyle name="Normal 2 4 2 7 2 2" xfId="26389" xr:uid="{00000000-0005-0000-0000-000018670000}"/>
    <cellStyle name="Normal 2 4 2 7 2 2 2" xfId="26390" xr:uid="{00000000-0005-0000-0000-000019670000}"/>
    <cellStyle name="Normal 2 4 2 7 2 2 2 2" xfId="26391" xr:uid="{00000000-0005-0000-0000-00001A670000}"/>
    <cellStyle name="Normal 2 4 2 7 2 2 2 3" xfId="26392" xr:uid="{00000000-0005-0000-0000-00001B670000}"/>
    <cellStyle name="Normal 2 4 2 7 2 2 3" xfId="26393" xr:uid="{00000000-0005-0000-0000-00001C670000}"/>
    <cellStyle name="Normal 2 4 2 7 2 2 4" xfId="26394" xr:uid="{00000000-0005-0000-0000-00001D670000}"/>
    <cellStyle name="Normal 2 4 2 7 2 2 5" xfId="26395" xr:uid="{00000000-0005-0000-0000-00001E670000}"/>
    <cellStyle name="Normal 2 4 2 7 2 2 6" xfId="26396" xr:uid="{00000000-0005-0000-0000-00001F670000}"/>
    <cellStyle name="Normal 2 4 2 7 2 3" xfId="26397" xr:uid="{00000000-0005-0000-0000-000020670000}"/>
    <cellStyle name="Normal 2 4 2 7 2 3 2" xfId="26398" xr:uid="{00000000-0005-0000-0000-000021670000}"/>
    <cellStyle name="Normal 2 4 2 7 2 3 2 2" xfId="26399" xr:uid="{00000000-0005-0000-0000-000022670000}"/>
    <cellStyle name="Normal 2 4 2 7 2 3 3" xfId="26400" xr:uid="{00000000-0005-0000-0000-000023670000}"/>
    <cellStyle name="Normal 2 4 2 7 2 3 4" xfId="26401" xr:uid="{00000000-0005-0000-0000-000024670000}"/>
    <cellStyle name="Normal 2 4 2 7 2 3 5" xfId="26402" xr:uid="{00000000-0005-0000-0000-000025670000}"/>
    <cellStyle name="Normal 2 4 2 7 2 4" xfId="26403" xr:uid="{00000000-0005-0000-0000-000026670000}"/>
    <cellStyle name="Normal 2 4 2 7 2 4 2" xfId="26404" xr:uid="{00000000-0005-0000-0000-000027670000}"/>
    <cellStyle name="Normal 2 4 2 7 2 4 3" xfId="26405" xr:uid="{00000000-0005-0000-0000-000028670000}"/>
    <cellStyle name="Normal 2 4 2 7 2 4 4" xfId="26406" xr:uid="{00000000-0005-0000-0000-000029670000}"/>
    <cellStyle name="Normal 2 4 2 7 2 5" xfId="26407" xr:uid="{00000000-0005-0000-0000-00002A670000}"/>
    <cellStyle name="Normal 2 4 2 7 2 5 2" xfId="26408" xr:uid="{00000000-0005-0000-0000-00002B670000}"/>
    <cellStyle name="Normal 2 4 2 7 2 6" xfId="26409" xr:uid="{00000000-0005-0000-0000-00002C670000}"/>
    <cellStyle name="Normal 2 4 2 7 2 7" xfId="26410" xr:uid="{00000000-0005-0000-0000-00002D670000}"/>
    <cellStyle name="Normal 2 4 2 7 2 8" xfId="26411" xr:uid="{00000000-0005-0000-0000-00002E670000}"/>
    <cellStyle name="Normal 2 4 2 7 2 9" xfId="26412" xr:uid="{00000000-0005-0000-0000-00002F670000}"/>
    <cellStyle name="Normal 2 4 2 7 3" xfId="26413" xr:uid="{00000000-0005-0000-0000-000030670000}"/>
    <cellStyle name="Normal 2 4 2 7 3 2" xfId="26414" xr:uid="{00000000-0005-0000-0000-000031670000}"/>
    <cellStyle name="Normal 2 4 2 7 3 2 2" xfId="26415" xr:uid="{00000000-0005-0000-0000-000032670000}"/>
    <cellStyle name="Normal 2 4 2 7 3 2 2 2" xfId="26416" xr:uid="{00000000-0005-0000-0000-000033670000}"/>
    <cellStyle name="Normal 2 4 2 7 3 2 2 3" xfId="26417" xr:uid="{00000000-0005-0000-0000-000034670000}"/>
    <cellStyle name="Normal 2 4 2 7 3 2 3" xfId="26418" xr:uid="{00000000-0005-0000-0000-000035670000}"/>
    <cellStyle name="Normal 2 4 2 7 3 2 4" xfId="26419" xr:uid="{00000000-0005-0000-0000-000036670000}"/>
    <cellStyle name="Normal 2 4 2 7 3 2 5" xfId="26420" xr:uid="{00000000-0005-0000-0000-000037670000}"/>
    <cellStyle name="Normal 2 4 2 7 3 2 6" xfId="26421" xr:uid="{00000000-0005-0000-0000-000038670000}"/>
    <cellStyle name="Normal 2 4 2 7 3 3" xfId="26422" xr:uid="{00000000-0005-0000-0000-000039670000}"/>
    <cellStyle name="Normal 2 4 2 7 3 3 2" xfId="26423" xr:uid="{00000000-0005-0000-0000-00003A670000}"/>
    <cellStyle name="Normal 2 4 2 7 3 3 2 2" xfId="26424" xr:uid="{00000000-0005-0000-0000-00003B670000}"/>
    <cellStyle name="Normal 2 4 2 7 3 3 3" xfId="26425" xr:uid="{00000000-0005-0000-0000-00003C670000}"/>
    <cellStyle name="Normal 2 4 2 7 3 3 4" xfId="26426" xr:uid="{00000000-0005-0000-0000-00003D670000}"/>
    <cellStyle name="Normal 2 4 2 7 3 3 5" xfId="26427" xr:uid="{00000000-0005-0000-0000-00003E670000}"/>
    <cellStyle name="Normal 2 4 2 7 3 4" xfId="26428" xr:uid="{00000000-0005-0000-0000-00003F670000}"/>
    <cellStyle name="Normal 2 4 2 7 3 4 2" xfId="26429" xr:uid="{00000000-0005-0000-0000-000040670000}"/>
    <cellStyle name="Normal 2 4 2 7 3 4 3" xfId="26430" xr:uid="{00000000-0005-0000-0000-000041670000}"/>
    <cellStyle name="Normal 2 4 2 7 3 4 4" xfId="26431" xr:uid="{00000000-0005-0000-0000-000042670000}"/>
    <cellStyle name="Normal 2 4 2 7 3 5" xfId="26432" xr:uid="{00000000-0005-0000-0000-000043670000}"/>
    <cellStyle name="Normal 2 4 2 7 3 5 2" xfId="26433" xr:uid="{00000000-0005-0000-0000-000044670000}"/>
    <cellStyle name="Normal 2 4 2 7 3 6" xfId="26434" xr:uid="{00000000-0005-0000-0000-000045670000}"/>
    <cellStyle name="Normal 2 4 2 7 3 7" xfId="26435" xr:uid="{00000000-0005-0000-0000-000046670000}"/>
    <cellStyle name="Normal 2 4 2 7 3 8" xfId="26436" xr:uid="{00000000-0005-0000-0000-000047670000}"/>
    <cellStyle name="Normal 2 4 2 7 3 9" xfId="26437" xr:uid="{00000000-0005-0000-0000-000048670000}"/>
    <cellStyle name="Normal 2 4 2 7 4" xfId="26438" xr:uid="{00000000-0005-0000-0000-000049670000}"/>
    <cellStyle name="Normal 2 4 2 7 4 2" xfId="26439" xr:uid="{00000000-0005-0000-0000-00004A670000}"/>
    <cellStyle name="Normal 2 4 2 7 4 2 2" xfId="26440" xr:uid="{00000000-0005-0000-0000-00004B670000}"/>
    <cellStyle name="Normal 2 4 2 7 4 2 3" xfId="26441" xr:uid="{00000000-0005-0000-0000-00004C670000}"/>
    <cellStyle name="Normal 2 4 2 7 4 3" xfId="26442" xr:uid="{00000000-0005-0000-0000-00004D670000}"/>
    <cellStyle name="Normal 2 4 2 7 4 4" xfId="26443" xr:uid="{00000000-0005-0000-0000-00004E670000}"/>
    <cellStyle name="Normal 2 4 2 7 4 5" xfId="26444" xr:uid="{00000000-0005-0000-0000-00004F670000}"/>
    <cellStyle name="Normal 2 4 2 7 4 6" xfId="26445" xr:uid="{00000000-0005-0000-0000-000050670000}"/>
    <cellStyle name="Normal 2 4 2 7 5" xfId="26446" xr:uid="{00000000-0005-0000-0000-000051670000}"/>
    <cellStyle name="Normal 2 4 2 7 5 2" xfId="26447" xr:uid="{00000000-0005-0000-0000-000052670000}"/>
    <cellStyle name="Normal 2 4 2 7 5 2 2" xfId="26448" xr:uid="{00000000-0005-0000-0000-000053670000}"/>
    <cellStyle name="Normal 2 4 2 7 5 3" xfId="26449" xr:uid="{00000000-0005-0000-0000-000054670000}"/>
    <cellStyle name="Normal 2 4 2 7 5 4" xfId="26450" xr:uid="{00000000-0005-0000-0000-000055670000}"/>
    <cellStyle name="Normal 2 4 2 7 5 5" xfId="26451" xr:uid="{00000000-0005-0000-0000-000056670000}"/>
    <cellStyle name="Normal 2 4 2 7 6" xfId="26452" xr:uid="{00000000-0005-0000-0000-000057670000}"/>
    <cellStyle name="Normal 2 4 2 7 6 2" xfId="26453" xr:uid="{00000000-0005-0000-0000-000058670000}"/>
    <cellStyle name="Normal 2 4 2 7 6 3" xfId="26454" xr:uid="{00000000-0005-0000-0000-000059670000}"/>
    <cellStyle name="Normal 2 4 2 7 6 4" xfId="26455" xr:uid="{00000000-0005-0000-0000-00005A670000}"/>
    <cellStyle name="Normal 2 4 2 7 7" xfId="26456" xr:uid="{00000000-0005-0000-0000-00005B670000}"/>
    <cellStyle name="Normal 2 4 2 7 7 2" xfId="26457" xr:uid="{00000000-0005-0000-0000-00005C670000}"/>
    <cellStyle name="Normal 2 4 2 7 8" xfId="26458" xr:uid="{00000000-0005-0000-0000-00005D670000}"/>
    <cellStyle name="Normal 2 4 2 7 9" xfId="26459" xr:uid="{00000000-0005-0000-0000-00005E670000}"/>
    <cellStyle name="Normal 2 4 2 8" xfId="26460" xr:uid="{00000000-0005-0000-0000-00005F670000}"/>
    <cellStyle name="Normal 2 4 2 8 10" xfId="26461" xr:uid="{00000000-0005-0000-0000-000060670000}"/>
    <cellStyle name="Normal 2 4 2 8 2" xfId="26462" xr:uid="{00000000-0005-0000-0000-000061670000}"/>
    <cellStyle name="Normal 2 4 2 8 2 2" xfId="26463" xr:uid="{00000000-0005-0000-0000-000062670000}"/>
    <cellStyle name="Normal 2 4 2 8 2 2 2" xfId="26464" xr:uid="{00000000-0005-0000-0000-000063670000}"/>
    <cellStyle name="Normal 2 4 2 8 2 2 3" xfId="26465" xr:uid="{00000000-0005-0000-0000-000064670000}"/>
    <cellStyle name="Normal 2 4 2 8 2 3" xfId="26466" xr:uid="{00000000-0005-0000-0000-000065670000}"/>
    <cellStyle name="Normal 2 4 2 8 2 4" xfId="26467" xr:uid="{00000000-0005-0000-0000-000066670000}"/>
    <cellStyle name="Normal 2 4 2 8 2 5" xfId="26468" xr:uid="{00000000-0005-0000-0000-000067670000}"/>
    <cellStyle name="Normal 2 4 2 8 2 6" xfId="26469" xr:uid="{00000000-0005-0000-0000-000068670000}"/>
    <cellStyle name="Normal 2 4 2 8 3" xfId="26470" xr:uid="{00000000-0005-0000-0000-000069670000}"/>
    <cellStyle name="Normal 2 4 2 8 3 2" xfId="26471" xr:uid="{00000000-0005-0000-0000-00006A670000}"/>
    <cellStyle name="Normal 2 4 2 8 3 2 2" xfId="26472" xr:uid="{00000000-0005-0000-0000-00006B670000}"/>
    <cellStyle name="Normal 2 4 2 8 3 2 3" xfId="26473" xr:uid="{00000000-0005-0000-0000-00006C670000}"/>
    <cellStyle name="Normal 2 4 2 8 3 3" xfId="26474" xr:uid="{00000000-0005-0000-0000-00006D670000}"/>
    <cellStyle name="Normal 2 4 2 8 3 4" xfId="26475" xr:uid="{00000000-0005-0000-0000-00006E670000}"/>
    <cellStyle name="Normal 2 4 2 8 3 5" xfId="26476" xr:uid="{00000000-0005-0000-0000-00006F670000}"/>
    <cellStyle name="Normal 2 4 2 8 3 6" xfId="26477" xr:uid="{00000000-0005-0000-0000-000070670000}"/>
    <cellStyle name="Normal 2 4 2 8 4" xfId="26478" xr:uid="{00000000-0005-0000-0000-000071670000}"/>
    <cellStyle name="Normal 2 4 2 8 4 2" xfId="26479" xr:uid="{00000000-0005-0000-0000-000072670000}"/>
    <cellStyle name="Normal 2 4 2 8 4 2 2" xfId="26480" xr:uid="{00000000-0005-0000-0000-000073670000}"/>
    <cellStyle name="Normal 2 4 2 8 4 3" xfId="26481" xr:uid="{00000000-0005-0000-0000-000074670000}"/>
    <cellStyle name="Normal 2 4 2 8 4 4" xfId="26482" xr:uid="{00000000-0005-0000-0000-000075670000}"/>
    <cellStyle name="Normal 2 4 2 8 4 5" xfId="26483" xr:uid="{00000000-0005-0000-0000-000076670000}"/>
    <cellStyle name="Normal 2 4 2 8 5" xfId="26484" xr:uid="{00000000-0005-0000-0000-000077670000}"/>
    <cellStyle name="Normal 2 4 2 8 5 2" xfId="26485" xr:uid="{00000000-0005-0000-0000-000078670000}"/>
    <cellStyle name="Normal 2 4 2 8 5 3" xfId="26486" xr:uid="{00000000-0005-0000-0000-000079670000}"/>
    <cellStyle name="Normal 2 4 2 8 5 4" xfId="26487" xr:uid="{00000000-0005-0000-0000-00007A670000}"/>
    <cellStyle name="Normal 2 4 2 8 6" xfId="26488" xr:uid="{00000000-0005-0000-0000-00007B670000}"/>
    <cellStyle name="Normal 2 4 2 8 6 2" xfId="26489" xr:uid="{00000000-0005-0000-0000-00007C670000}"/>
    <cellStyle name="Normal 2 4 2 8 7" xfId="26490" xr:uid="{00000000-0005-0000-0000-00007D670000}"/>
    <cellStyle name="Normal 2 4 2 8 8" xfId="26491" xr:uid="{00000000-0005-0000-0000-00007E670000}"/>
    <cellStyle name="Normal 2 4 2 8 9" xfId="26492" xr:uid="{00000000-0005-0000-0000-00007F670000}"/>
    <cellStyle name="Normal 2 4 2 9" xfId="26493" xr:uid="{00000000-0005-0000-0000-000080670000}"/>
    <cellStyle name="Normal 2 4 2 9 10" xfId="26494" xr:uid="{00000000-0005-0000-0000-000081670000}"/>
    <cellStyle name="Normal 2 4 2 9 2" xfId="26495" xr:uid="{00000000-0005-0000-0000-000082670000}"/>
    <cellStyle name="Normal 2 4 2 9 2 2" xfId="26496" xr:uid="{00000000-0005-0000-0000-000083670000}"/>
    <cellStyle name="Normal 2 4 2 9 2 2 2" xfId="26497" xr:uid="{00000000-0005-0000-0000-000084670000}"/>
    <cellStyle name="Normal 2 4 2 9 2 2 3" xfId="26498" xr:uid="{00000000-0005-0000-0000-000085670000}"/>
    <cellStyle name="Normal 2 4 2 9 2 3" xfId="26499" xr:uid="{00000000-0005-0000-0000-000086670000}"/>
    <cellStyle name="Normal 2 4 2 9 2 4" xfId="26500" xr:uid="{00000000-0005-0000-0000-000087670000}"/>
    <cellStyle name="Normal 2 4 2 9 2 5" xfId="26501" xr:uid="{00000000-0005-0000-0000-000088670000}"/>
    <cellStyle name="Normal 2 4 2 9 2 6" xfId="26502" xr:uid="{00000000-0005-0000-0000-000089670000}"/>
    <cellStyle name="Normal 2 4 2 9 3" xfId="26503" xr:uid="{00000000-0005-0000-0000-00008A670000}"/>
    <cellStyle name="Normal 2 4 2 9 3 2" xfId="26504" xr:uid="{00000000-0005-0000-0000-00008B670000}"/>
    <cellStyle name="Normal 2 4 2 9 3 2 2" xfId="26505" xr:uid="{00000000-0005-0000-0000-00008C670000}"/>
    <cellStyle name="Normal 2 4 2 9 3 2 3" xfId="26506" xr:uid="{00000000-0005-0000-0000-00008D670000}"/>
    <cellStyle name="Normal 2 4 2 9 3 3" xfId="26507" xr:uid="{00000000-0005-0000-0000-00008E670000}"/>
    <cellStyle name="Normal 2 4 2 9 3 4" xfId="26508" xr:uid="{00000000-0005-0000-0000-00008F670000}"/>
    <cellStyle name="Normal 2 4 2 9 3 5" xfId="26509" xr:uid="{00000000-0005-0000-0000-000090670000}"/>
    <cellStyle name="Normal 2 4 2 9 3 6" xfId="26510" xr:uid="{00000000-0005-0000-0000-000091670000}"/>
    <cellStyle name="Normal 2 4 2 9 4" xfId="26511" xr:uid="{00000000-0005-0000-0000-000092670000}"/>
    <cellStyle name="Normal 2 4 2 9 4 2" xfId="26512" xr:uid="{00000000-0005-0000-0000-000093670000}"/>
    <cellStyle name="Normal 2 4 2 9 4 2 2" xfId="26513" xr:uid="{00000000-0005-0000-0000-000094670000}"/>
    <cellStyle name="Normal 2 4 2 9 4 3" xfId="26514" xr:uid="{00000000-0005-0000-0000-000095670000}"/>
    <cellStyle name="Normal 2 4 2 9 4 4" xfId="26515" xr:uid="{00000000-0005-0000-0000-000096670000}"/>
    <cellStyle name="Normal 2 4 2 9 4 5" xfId="26516" xr:uid="{00000000-0005-0000-0000-000097670000}"/>
    <cellStyle name="Normal 2 4 2 9 5" xfId="26517" xr:uid="{00000000-0005-0000-0000-000098670000}"/>
    <cellStyle name="Normal 2 4 2 9 5 2" xfId="26518" xr:uid="{00000000-0005-0000-0000-000099670000}"/>
    <cellStyle name="Normal 2 4 2 9 5 3" xfId="26519" xr:uid="{00000000-0005-0000-0000-00009A670000}"/>
    <cellStyle name="Normal 2 4 2 9 5 4" xfId="26520" xr:uid="{00000000-0005-0000-0000-00009B670000}"/>
    <cellStyle name="Normal 2 4 2 9 6" xfId="26521" xr:uid="{00000000-0005-0000-0000-00009C670000}"/>
    <cellStyle name="Normal 2 4 2 9 6 2" xfId="26522" xr:uid="{00000000-0005-0000-0000-00009D670000}"/>
    <cellStyle name="Normal 2 4 2 9 7" xfId="26523" xr:uid="{00000000-0005-0000-0000-00009E670000}"/>
    <cellStyle name="Normal 2 4 2 9 8" xfId="26524" xr:uid="{00000000-0005-0000-0000-00009F670000}"/>
    <cellStyle name="Normal 2 4 2 9 9" xfId="26525" xr:uid="{00000000-0005-0000-0000-0000A0670000}"/>
    <cellStyle name="Normal 2 4 3" xfId="26526" xr:uid="{00000000-0005-0000-0000-0000A1670000}"/>
    <cellStyle name="Normal 2 4 3 2" xfId="26527" xr:uid="{00000000-0005-0000-0000-0000A2670000}"/>
    <cellStyle name="Normal 2 4 4" xfId="26528" xr:uid="{00000000-0005-0000-0000-0000A3670000}"/>
    <cellStyle name="Normal 2 4 4 2" xfId="26529" xr:uid="{00000000-0005-0000-0000-0000A4670000}"/>
    <cellStyle name="Normal 2 4 5" xfId="26530" xr:uid="{00000000-0005-0000-0000-0000A5670000}"/>
    <cellStyle name="Normal 2 4 6" xfId="26531" xr:uid="{00000000-0005-0000-0000-0000A6670000}"/>
    <cellStyle name="Normal 2 4 7" xfId="26532" xr:uid="{00000000-0005-0000-0000-0000A7670000}"/>
    <cellStyle name="Normal 2 4 8" xfId="26533" xr:uid="{00000000-0005-0000-0000-0000A8670000}"/>
    <cellStyle name="Normal 2 4 9" xfId="26534" xr:uid="{00000000-0005-0000-0000-0000A9670000}"/>
    <cellStyle name="Normal 2 40" xfId="26535" xr:uid="{00000000-0005-0000-0000-0000AA670000}"/>
    <cellStyle name="Normal 2 40 10" xfId="26536" xr:uid="{00000000-0005-0000-0000-0000AB670000}"/>
    <cellStyle name="Normal 2 40 2" xfId="26537" xr:uid="{00000000-0005-0000-0000-0000AC670000}"/>
    <cellStyle name="Normal 2 40 2 2" xfId="26538" xr:uid="{00000000-0005-0000-0000-0000AD670000}"/>
    <cellStyle name="Normal 2 40 2 2 2" xfId="26539" xr:uid="{00000000-0005-0000-0000-0000AE670000}"/>
    <cellStyle name="Normal 2 40 2 2 3" xfId="26540" xr:uid="{00000000-0005-0000-0000-0000AF670000}"/>
    <cellStyle name="Normal 2 40 2 3" xfId="26541" xr:uid="{00000000-0005-0000-0000-0000B0670000}"/>
    <cellStyle name="Normal 2 40 2 4" xfId="26542" xr:uid="{00000000-0005-0000-0000-0000B1670000}"/>
    <cellStyle name="Normal 2 40 2 5" xfId="26543" xr:uid="{00000000-0005-0000-0000-0000B2670000}"/>
    <cellStyle name="Normal 2 40 2 6" xfId="26544" xr:uid="{00000000-0005-0000-0000-0000B3670000}"/>
    <cellStyle name="Normal 2 40 3" xfId="26545" xr:uid="{00000000-0005-0000-0000-0000B4670000}"/>
    <cellStyle name="Normal 2 40 3 2" xfId="26546" xr:uid="{00000000-0005-0000-0000-0000B5670000}"/>
    <cellStyle name="Normal 2 40 3 2 2" xfId="26547" xr:uid="{00000000-0005-0000-0000-0000B6670000}"/>
    <cellStyle name="Normal 2 40 3 2 3" xfId="26548" xr:uid="{00000000-0005-0000-0000-0000B7670000}"/>
    <cellStyle name="Normal 2 40 3 3" xfId="26549" xr:uid="{00000000-0005-0000-0000-0000B8670000}"/>
    <cellStyle name="Normal 2 40 3 4" xfId="26550" xr:uid="{00000000-0005-0000-0000-0000B9670000}"/>
    <cellStyle name="Normal 2 40 3 5" xfId="26551" xr:uid="{00000000-0005-0000-0000-0000BA670000}"/>
    <cellStyle name="Normal 2 40 3 6" xfId="26552" xr:uid="{00000000-0005-0000-0000-0000BB670000}"/>
    <cellStyle name="Normal 2 40 4" xfId="26553" xr:uid="{00000000-0005-0000-0000-0000BC670000}"/>
    <cellStyle name="Normal 2 40 4 2" xfId="26554" xr:uid="{00000000-0005-0000-0000-0000BD670000}"/>
    <cellStyle name="Normal 2 40 4 2 2" xfId="26555" xr:uid="{00000000-0005-0000-0000-0000BE670000}"/>
    <cellStyle name="Normal 2 40 4 3" xfId="26556" xr:uid="{00000000-0005-0000-0000-0000BF670000}"/>
    <cellStyle name="Normal 2 40 4 4" xfId="26557" xr:uid="{00000000-0005-0000-0000-0000C0670000}"/>
    <cellStyle name="Normal 2 40 4 5" xfId="26558" xr:uid="{00000000-0005-0000-0000-0000C1670000}"/>
    <cellStyle name="Normal 2 40 4 6" xfId="26559" xr:uid="{00000000-0005-0000-0000-0000C2670000}"/>
    <cellStyle name="Normal 2 40 5" xfId="26560" xr:uid="{00000000-0005-0000-0000-0000C3670000}"/>
    <cellStyle name="Normal 2 40 5 2" xfId="26561" xr:uid="{00000000-0005-0000-0000-0000C4670000}"/>
    <cellStyle name="Normal 2 40 5 3" xfId="26562" xr:uid="{00000000-0005-0000-0000-0000C5670000}"/>
    <cellStyle name="Normal 2 40 5 4" xfId="26563" xr:uid="{00000000-0005-0000-0000-0000C6670000}"/>
    <cellStyle name="Normal 2 40 5 5" xfId="26564" xr:uid="{00000000-0005-0000-0000-0000C7670000}"/>
    <cellStyle name="Normal 2 40 6" xfId="26565" xr:uid="{00000000-0005-0000-0000-0000C8670000}"/>
    <cellStyle name="Normal 2 40 6 2" xfId="26566" xr:uid="{00000000-0005-0000-0000-0000C9670000}"/>
    <cellStyle name="Normal 2 40 6 3" xfId="26567" xr:uid="{00000000-0005-0000-0000-0000CA670000}"/>
    <cellStyle name="Normal 2 40 7" xfId="26568" xr:uid="{00000000-0005-0000-0000-0000CB670000}"/>
    <cellStyle name="Normal 2 40 7 2" xfId="26569" xr:uid="{00000000-0005-0000-0000-0000CC670000}"/>
    <cellStyle name="Normal 2 40 8" xfId="26570" xr:uid="{00000000-0005-0000-0000-0000CD670000}"/>
    <cellStyle name="Normal 2 40 9" xfId="26571" xr:uid="{00000000-0005-0000-0000-0000CE670000}"/>
    <cellStyle name="Normal 2 41" xfId="26572" xr:uid="{00000000-0005-0000-0000-0000CF670000}"/>
    <cellStyle name="Normal 2 41 10" xfId="26573" xr:uid="{00000000-0005-0000-0000-0000D0670000}"/>
    <cellStyle name="Normal 2 41 2" xfId="26574" xr:uid="{00000000-0005-0000-0000-0000D1670000}"/>
    <cellStyle name="Normal 2 41 2 2" xfId="26575" xr:uid="{00000000-0005-0000-0000-0000D2670000}"/>
    <cellStyle name="Normal 2 41 2 2 2" xfId="26576" xr:uid="{00000000-0005-0000-0000-0000D3670000}"/>
    <cellStyle name="Normal 2 41 2 2 3" xfId="26577" xr:uid="{00000000-0005-0000-0000-0000D4670000}"/>
    <cellStyle name="Normal 2 41 2 3" xfId="26578" xr:uid="{00000000-0005-0000-0000-0000D5670000}"/>
    <cellStyle name="Normal 2 41 2 4" xfId="26579" xr:uid="{00000000-0005-0000-0000-0000D6670000}"/>
    <cellStyle name="Normal 2 41 2 5" xfId="26580" xr:uid="{00000000-0005-0000-0000-0000D7670000}"/>
    <cellStyle name="Normal 2 41 2 6" xfId="26581" xr:uid="{00000000-0005-0000-0000-0000D8670000}"/>
    <cellStyle name="Normal 2 41 3" xfId="26582" xr:uid="{00000000-0005-0000-0000-0000D9670000}"/>
    <cellStyle name="Normal 2 41 3 2" xfId="26583" xr:uid="{00000000-0005-0000-0000-0000DA670000}"/>
    <cellStyle name="Normal 2 41 3 2 2" xfId="26584" xr:uid="{00000000-0005-0000-0000-0000DB670000}"/>
    <cellStyle name="Normal 2 41 3 2 3" xfId="26585" xr:uid="{00000000-0005-0000-0000-0000DC670000}"/>
    <cellStyle name="Normal 2 41 3 3" xfId="26586" xr:uid="{00000000-0005-0000-0000-0000DD670000}"/>
    <cellStyle name="Normal 2 41 3 4" xfId="26587" xr:uid="{00000000-0005-0000-0000-0000DE670000}"/>
    <cellStyle name="Normal 2 41 3 5" xfId="26588" xr:uid="{00000000-0005-0000-0000-0000DF670000}"/>
    <cellStyle name="Normal 2 41 3 6" xfId="26589" xr:uid="{00000000-0005-0000-0000-0000E0670000}"/>
    <cellStyle name="Normal 2 41 4" xfId="26590" xr:uid="{00000000-0005-0000-0000-0000E1670000}"/>
    <cellStyle name="Normal 2 41 4 2" xfId="26591" xr:uid="{00000000-0005-0000-0000-0000E2670000}"/>
    <cellStyle name="Normal 2 41 4 2 2" xfId="26592" xr:uid="{00000000-0005-0000-0000-0000E3670000}"/>
    <cellStyle name="Normal 2 41 4 3" xfId="26593" xr:uid="{00000000-0005-0000-0000-0000E4670000}"/>
    <cellStyle name="Normal 2 41 4 4" xfId="26594" xr:uid="{00000000-0005-0000-0000-0000E5670000}"/>
    <cellStyle name="Normal 2 41 4 5" xfId="26595" xr:uid="{00000000-0005-0000-0000-0000E6670000}"/>
    <cellStyle name="Normal 2 41 4 6" xfId="26596" xr:uid="{00000000-0005-0000-0000-0000E7670000}"/>
    <cellStyle name="Normal 2 41 5" xfId="26597" xr:uid="{00000000-0005-0000-0000-0000E8670000}"/>
    <cellStyle name="Normal 2 41 5 2" xfId="26598" xr:uid="{00000000-0005-0000-0000-0000E9670000}"/>
    <cellStyle name="Normal 2 41 5 3" xfId="26599" xr:uid="{00000000-0005-0000-0000-0000EA670000}"/>
    <cellStyle name="Normal 2 41 5 4" xfId="26600" xr:uid="{00000000-0005-0000-0000-0000EB670000}"/>
    <cellStyle name="Normal 2 41 5 5" xfId="26601" xr:uid="{00000000-0005-0000-0000-0000EC670000}"/>
    <cellStyle name="Normal 2 41 6" xfId="26602" xr:uid="{00000000-0005-0000-0000-0000ED670000}"/>
    <cellStyle name="Normal 2 41 6 2" xfId="26603" xr:uid="{00000000-0005-0000-0000-0000EE670000}"/>
    <cellStyle name="Normal 2 41 6 3" xfId="26604" xr:uid="{00000000-0005-0000-0000-0000EF670000}"/>
    <cellStyle name="Normal 2 41 7" xfId="26605" xr:uid="{00000000-0005-0000-0000-0000F0670000}"/>
    <cellStyle name="Normal 2 41 7 2" xfId="26606" xr:uid="{00000000-0005-0000-0000-0000F1670000}"/>
    <cellStyle name="Normal 2 41 8" xfId="26607" xr:uid="{00000000-0005-0000-0000-0000F2670000}"/>
    <cellStyle name="Normal 2 41 9" xfId="26608" xr:uid="{00000000-0005-0000-0000-0000F3670000}"/>
    <cellStyle name="Normal 2 42" xfId="26609" xr:uid="{00000000-0005-0000-0000-0000F4670000}"/>
    <cellStyle name="Normal 2 42 10" xfId="26610" xr:uid="{00000000-0005-0000-0000-0000F5670000}"/>
    <cellStyle name="Normal 2 42 2" xfId="26611" xr:uid="{00000000-0005-0000-0000-0000F6670000}"/>
    <cellStyle name="Normal 2 42 2 2" xfId="26612" xr:uid="{00000000-0005-0000-0000-0000F7670000}"/>
    <cellStyle name="Normal 2 42 2 2 2" xfId="26613" xr:uid="{00000000-0005-0000-0000-0000F8670000}"/>
    <cellStyle name="Normal 2 42 2 2 3" xfId="26614" xr:uid="{00000000-0005-0000-0000-0000F9670000}"/>
    <cellStyle name="Normal 2 42 2 3" xfId="26615" xr:uid="{00000000-0005-0000-0000-0000FA670000}"/>
    <cellStyle name="Normal 2 42 2 4" xfId="26616" xr:uid="{00000000-0005-0000-0000-0000FB670000}"/>
    <cellStyle name="Normal 2 42 2 5" xfId="26617" xr:uid="{00000000-0005-0000-0000-0000FC670000}"/>
    <cellStyle name="Normal 2 42 2 6" xfId="26618" xr:uid="{00000000-0005-0000-0000-0000FD670000}"/>
    <cellStyle name="Normal 2 42 3" xfId="26619" xr:uid="{00000000-0005-0000-0000-0000FE670000}"/>
    <cellStyle name="Normal 2 42 3 2" xfId="26620" xr:uid="{00000000-0005-0000-0000-0000FF670000}"/>
    <cellStyle name="Normal 2 42 3 2 2" xfId="26621" xr:uid="{00000000-0005-0000-0000-000000680000}"/>
    <cellStyle name="Normal 2 42 3 2 3" xfId="26622" xr:uid="{00000000-0005-0000-0000-000001680000}"/>
    <cellStyle name="Normal 2 42 3 3" xfId="26623" xr:uid="{00000000-0005-0000-0000-000002680000}"/>
    <cellStyle name="Normal 2 42 3 4" xfId="26624" xr:uid="{00000000-0005-0000-0000-000003680000}"/>
    <cellStyle name="Normal 2 42 3 5" xfId="26625" xr:uid="{00000000-0005-0000-0000-000004680000}"/>
    <cellStyle name="Normal 2 42 3 6" xfId="26626" xr:uid="{00000000-0005-0000-0000-000005680000}"/>
    <cellStyle name="Normal 2 42 4" xfId="26627" xr:uid="{00000000-0005-0000-0000-000006680000}"/>
    <cellStyle name="Normal 2 42 4 2" xfId="26628" xr:uid="{00000000-0005-0000-0000-000007680000}"/>
    <cellStyle name="Normal 2 42 4 2 2" xfId="26629" xr:uid="{00000000-0005-0000-0000-000008680000}"/>
    <cellStyle name="Normal 2 42 4 3" xfId="26630" xr:uid="{00000000-0005-0000-0000-000009680000}"/>
    <cellStyle name="Normal 2 42 4 4" xfId="26631" xr:uid="{00000000-0005-0000-0000-00000A680000}"/>
    <cellStyle name="Normal 2 42 4 5" xfId="26632" xr:uid="{00000000-0005-0000-0000-00000B680000}"/>
    <cellStyle name="Normal 2 42 4 6" xfId="26633" xr:uid="{00000000-0005-0000-0000-00000C680000}"/>
    <cellStyle name="Normal 2 42 5" xfId="26634" xr:uid="{00000000-0005-0000-0000-00000D680000}"/>
    <cellStyle name="Normal 2 42 5 2" xfId="26635" xr:uid="{00000000-0005-0000-0000-00000E680000}"/>
    <cellStyle name="Normal 2 42 5 3" xfId="26636" xr:uid="{00000000-0005-0000-0000-00000F680000}"/>
    <cellStyle name="Normal 2 42 5 4" xfId="26637" xr:uid="{00000000-0005-0000-0000-000010680000}"/>
    <cellStyle name="Normal 2 42 5 5" xfId="26638" xr:uid="{00000000-0005-0000-0000-000011680000}"/>
    <cellStyle name="Normal 2 42 6" xfId="26639" xr:uid="{00000000-0005-0000-0000-000012680000}"/>
    <cellStyle name="Normal 2 42 6 2" xfId="26640" xr:uid="{00000000-0005-0000-0000-000013680000}"/>
    <cellStyle name="Normal 2 42 6 3" xfId="26641" xr:uid="{00000000-0005-0000-0000-000014680000}"/>
    <cellStyle name="Normal 2 42 7" xfId="26642" xr:uid="{00000000-0005-0000-0000-000015680000}"/>
    <cellStyle name="Normal 2 42 7 2" xfId="26643" xr:uid="{00000000-0005-0000-0000-000016680000}"/>
    <cellStyle name="Normal 2 42 8" xfId="26644" xr:uid="{00000000-0005-0000-0000-000017680000}"/>
    <cellStyle name="Normal 2 42 9" xfId="26645" xr:uid="{00000000-0005-0000-0000-000018680000}"/>
    <cellStyle name="Normal 2 43" xfId="26646" xr:uid="{00000000-0005-0000-0000-000019680000}"/>
    <cellStyle name="Normal 2 43 10" xfId="26647" xr:uid="{00000000-0005-0000-0000-00001A680000}"/>
    <cellStyle name="Normal 2 43 2" xfId="26648" xr:uid="{00000000-0005-0000-0000-00001B680000}"/>
    <cellStyle name="Normal 2 43 2 2" xfId="26649" xr:uid="{00000000-0005-0000-0000-00001C680000}"/>
    <cellStyle name="Normal 2 43 2 2 2" xfId="26650" xr:uid="{00000000-0005-0000-0000-00001D680000}"/>
    <cellStyle name="Normal 2 43 2 2 3" xfId="26651" xr:uid="{00000000-0005-0000-0000-00001E680000}"/>
    <cellStyle name="Normal 2 43 2 3" xfId="26652" xr:uid="{00000000-0005-0000-0000-00001F680000}"/>
    <cellStyle name="Normal 2 43 2 4" xfId="26653" xr:uid="{00000000-0005-0000-0000-000020680000}"/>
    <cellStyle name="Normal 2 43 2 5" xfId="26654" xr:uid="{00000000-0005-0000-0000-000021680000}"/>
    <cellStyle name="Normal 2 43 2 6" xfId="26655" xr:uid="{00000000-0005-0000-0000-000022680000}"/>
    <cellStyle name="Normal 2 43 3" xfId="26656" xr:uid="{00000000-0005-0000-0000-000023680000}"/>
    <cellStyle name="Normal 2 43 3 2" xfId="26657" xr:uid="{00000000-0005-0000-0000-000024680000}"/>
    <cellStyle name="Normal 2 43 3 2 2" xfId="26658" xr:uid="{00000000-0005-0000-0000-000025680000}"/>
    <cellStyle name="Normal 2 43 3 2 3" xfId="26659" xr:uid="{00000000-0005-0000-0000-000026680000}"/>
    <cellStyle name="Normal 2 43 3 3" xfId="26660" xr:uid="{00000000-0005-0000-0000-000027680000}"/>
    <cellStyle name="Normal 2 43 3 4" xfId="26661" xr:uid="{00000000-0005-0000-0000-000028680000}"/>
    <cellStyle name="Normal 2 43 3 5" xfId="26662" xr:uid="{00000000-0005-0000-0000-000029680000}"/>
    <cellStyle name="Normal 2 43 3 6" xfId="26663" xr:uid="{00000000-0005-0000-0000-00002A680000}"/>
    <cellStyle name="Normal 2 43 4" xfId="26664" xr:uid="{00000000-0005-0000-0000-00002B680000}"/>
    <cellStyle name="Normal 2 43 4 2" xfId="26665" xr:uid="{00000000-0005-0000-0000-00002C680000}"/>
    <cellStyle name="Normal 2 43 4 2 2" xfId="26666" xr:uid="{00000000-0005-0000-0000-00002D680000}"/>
    <cellStyle name="Normal 2 43 4 3" xfId="26667" xr:uid="{00000000-0005-0000-0000-00002E680000}"/>
    <cellStyle name="Normal 2 43 4 4" xfId="26668" xr:uid="{00000000-0005-0000-0000-00002F680000}"/>
    <cellStyle name="Normal 2 43 4 5" xfId="26669" xr:uid="{00000000-0005-0000-0000-000030680000}"/>
    <cellStyle name="Normal 2 43 4 6" xfId="26670" xr:uid="{00000000-0005-0000-0000-000031680000}"/>
    <cellStyle name="Normal 2 43 5" xfId="26671" xr:uid="{00000000-0005-0000-0000-000032680000}"/>
    <cellStyle name="Normal 2 43 5 2" xfId="26672" xr:uid="{00000000-0005-0000-0000-000033680000}"/>
    <cellStyle name="Normal 2 43 5 3" xfId="26673" xr:uid="{00000000-0005-0000-0000-000034680000}"/>
    <cellStyle name="Normal 2 43 5 4" xfId="26674" xr:uid="{00000000-0005-0000-0000-000035680000}"/>
    <cellStyle name="Normal 2 43 5 5" xfId="26675" xr:uid="{00000000-0005-0000-0000-000036680000}"/>
    <cellStyle name="Normal 2 43 6" xfId="26676" xr:uid="{00000000-0005-0000-0000-000037680000}"/>
    <cellStyle name="Normal 2 43 6 2" xfId="26677" xr:uid="{00000000-0005-0000-0000-000038680000}"/>
    <cellStyle name="Normal 2 43 6 3" xfId="26678" xr:uid="{00000000-0005-0000-0000-000039680000}"/>
    <cellStyle name="Normal 2 43 7" xfId="26679" xr:uid="{00000000-0005-0000-0000-00003A680000}"/>
    <cellStyle name="Normal 2 43 7 2" xfId="26680" xr:uid="{00000000-0005-0000-0000-00003B680000}"/>
    <cellStyle name="Normal 2 43 8" xfId="26681" xr:uid="{00000000-0005-0000-0000-00003C680000}"/>
    <cellStyle name="Normal 2 43 9" xfId="26682" xr:uid="{00000000-0005-0000-0000-00003D680000}"/>
    <cellStyle name="Normal 2 44" xfId="26683" xr:uid="{00000000-0005-0000-0000-00003E680000}"/>
    <cellStyle name="Normal 2 44 10" xfId="26684" xr:uid="{00000000-0005-0000-0000-00003F680000}"/>
    <cellStyle name="Normal 2 44 2" xfId="26685" xr:uid="{00000000-0005-0000-0000-000040680000}"/>
    <cellStyle name="Normal 2 44 2 2" xfId="26686" xr:uid="{00000000-0005-0000-0000-000041680000}"/>
    <cellStyle name="Normal 2 44 2 2 2" xfId="26687" xr:uid="{00000000-0005-0000-0000-000042680000}"/>
    <cellStyle name="Normal 2 44 2 2 3" xfId="26688" xr:uid="{00000000-0005-0000-0000-000043680000}"/>
    <cellStyle name="Normal 2 44 2 3" xfId="26689" xr:uid="{00000000-0005-0000-0000-000044680000}"/>
    <cellStyle name="Normal 2 44 2 4" xfId="26690" xr:uid="{00000000-0005-0000-0000-000045680000}"/>
    <cellStyle name="Normal 2 44 2 5" xfId="26691" xr:uid="{00000000-0005-0000-0000-000046680000}"/>
    <cellStyle name="Normal 2 44 2 6" xfId="26692" xr:uid="{00000000-0005-0000-0000-000047680000}"/>
    <cellStyle name="Normal 2 44 3" xfId="26693" xr:uid="{00000000-0005-0000-0000-000048680000}"/>
    <cellStyle name="Normal 2 44 3 2" xfId="26694" xr:uid="{00000000-0005-0000-0000-000049680000}"/>
    <cellStyle name="Normal 2 44 3 2 2" xfId="26695" xr:uid="{00000000-0005-0000-0000-00004A680000}"/>
    <cellStyle name="Normal 2 44 3 2 3" xfId="26696" xr:uid="{00000000-0005-0000-0000-00004B680000}"/>
    <cellStyle name="Normal 2 44 3 3" xfId="26697" xr:uid="{00000000-0005-0000-0000-00004C680000}"/>
    <cellStyle name="Normal 2 44 3 4" xfId="26698" xr:uid="{00000000-0005-0000-0000-00004D680000}"/>
    <cellStyle name="Normal 2 44 3 5" xfId="26699" xr:uid="{00000000-0005-0000-0000-00004E680000}"/>
    <cellStyle name="Normal 2 44 3 6" xfId="26700" xr:uid="{00000000-0005-0000-0000-00004F680000}"/>
    <cellStyle name="Normal 2 44 4" xfId="26701" xr:uid="{00000000-0005-0000-0000-000050680000}"/>
    <cellStyle name="Normal 2 44 4 2" xfId="26702" xr:uid="{00000000-0005-0000-0000-000051680000}"/>
    <cellStyle name="Normal 2 44 4 2 2" xfId="26703" xr:uid="{00000000-0005-0000-0000-000052680000}"/>
    <cellStyle name="Normal 2 44 4 3" xfId="26704" xr:uid="{00000000-0005-0000-0000-000053680000}"/>
    <cellStyle name="Normal 2 44 4 4" xfId="26705" xr:uid="{00000000-0005-0000-0000-000054680000}"/>
    <cellStyle name="Normal 2 44 4 5" xfId="26706" xr:uid="{00000000-0005-0000-0000-000055680000}"/>
    <cellStyle name="Normal 2 44 4 6" xfId="26707" xr:uid="{00000000-0005-0000-0000-000056680000}"/>
    <cellStyle name="Normal 2 44 5" xfId="26708" xr:uid="{00000000-0005-0000-0000-000057680000}"/>
    <cellStyle name="Normal 2 44 5 2" xfId="26709" xr:uid="{00000000-0005-0000-0000-000058680000}"/>
    <cellStyle name="Normal 2 44 5 3" xfId="26710" xr:uid="{00000000-0005-0000-0000-000059680000}"/>
    <cellStyle name="Normal 2 44 5 4" xfId="26711" xr:uid="{00000000-0005-0000-0000-00005A680000}"/>
    <cellStyle name="Normal 2 44 5 5" xfId="26712" xr:uid="{00000000-0005-0000-0000-00005B680000}"/>
    <cellStyle name="Normal 2 44 6" xfId="26713" xr:uid="{00000000-0005-0000-0000-00005C680000}"/>
    <cellStyle name="Normal 2 44 6 2" xfId="26714" xr:uid="{00000000-0005-0000-0000-00005D680000}"/>
    <cellStyle name="Normal 2 44 6 3" xfId="26715" xr:uid="{00000000-0005-0000-0000-00005E680000}"/>
    <cellStyle name="Normal 2 44 7" xfId="26716" xr:uid="{00000000-0005-0000-0000-00005F680000}"/>
    <cellStyle name="Normal 2 44 7 2" xfId="26717" xr:uid="{00000000-0005-0000-0000-000060680000}"/>
    <cellStyle name="Normal 2 44 8" xfId="26718" xr:uid="{00000000-0005-0000-0000-000061680000}"/>
    <cellStyle name="Normal 2 44 9" xfId="26719" xr:uid="{00000000-0005-0000-0000-000062680000}"/>
    <cellStyle name="Normal 2 45" xfId="26720" xr:uid="{00000000-0005-0000-0000-000063680000}"/>
    <cellStyle name="Normal 2 45 10" xfId="26721" xr:uid="{00000000-0005-0000-0000-000064680000}"/>
    <cellStyle name="Normal 2 45 2" xfId="26722" xr:uid="{00000000-0005-0000-0000-000065680000}"/>
    <cellStyle name="Normal 2 45 2 2" xfId="26723" xr:uid="{00000000-0005-0000-0000-000066680000}"/>
    <cellStyle name="Normal 2 45 2 2 2" xfId="26724" xr:uid="{00000000-0005-0000-0000-000067680000}"/>
    <cellStyle name="Normal 2 45 2 2 3" xfId="26725" xr:uid="{00000000-0005-0000-0000-000068680000}"/>
    <cellStyle name="Normal 2 45 2 3" xfId="26726" xr:uid="{00000000-0005-0000-0000-000069680000}"/>
    <cellStyle name="Normal 2 45 2 4" xfId="26727" xr:uid="{00000000-0005-0000-0000-00006A680000}"/>
    <cellStyle name="Normal 2 45 2 5" xfId="26728" xr:uid="{00000000-0005-0000-0000-00006B680000}"/>
    <cellStyle name="Normal 2 45 2 6" xfId="26729" xr:uid="{00000000-0005-0000-0000-00006C680000}"/>
    <cellStyle name="Normal 2 45 3" xfId="26730" xr:uid="{00000000-0005-0000-0000-00006D680000}"/>
    <cellStyle name="Normal 2 45 3 2" xfId="26731" xr:uid="{00000000-0005-0000-0000-00006E680000}"/>
    <cellStyle name="Normal 2 45 3 2 2" xfId="26732" xr:uid="{00000000-0005-0000-0000-00006F680000}"/>
    <cellStyle name="Normal 2 45 3 2 3" xfId="26733" xr:uid="{00000000-0005-0000-0000-000070680000}"/>
    <cellStyle name="Normal 2 45 3 3" xfId="26734" xr:uid="{00000000-0005-0000-0000-000071680000}"/>
    <cellStyle name="Normal 2 45 3 4" xfId="26735" xr:uid="{00000000-0005-0000-0000-000072680000}"/>
    <cellStyle name="Normal 2 45 3 5" xfId="26736" xr:uid="{00000000-0005-0000-0000-000073680000}"/>
    <cellStyle name="Normal 2 45 3 6" xfId="26737" xr:uid="{00000000-0005-0000-0000-000074680000}"/>
    <cellStyle name="Normal 2 45 4" xfId="26738" xr:uid="{00000000-0005-0000-0000-000075680000}"/>
    <cellStyle name="Normal 2 45 4 2" xfId="26739" xr:uid="{00000000-0005-0000-0000-000076680000}"/>
    <cellStyle name="Normal 2 45 4 2 2" xfId="26740" xr:uid="{00000000-0005-0000-0000-000077680000}"/>
    <cellStyle name="Normal 2 45 4 3" xfId="26741" xr:uid="{00000000-0005-0000-0000-000078680000}"/>
    <cellStyle name="Normal 2 45 4 4" xfId="26742" xr:uid="{00000000-0005-0000-0000-000079680000}"/>
    <cellStyle name="Normal 2 45 4 5" xfId="26743" xr:uid="{00000000-0005-0000-0000-00007A680000}"/>
    <cellStyle name="Normal 2 45 4 6" xfId="26744" xr:uid="{00000000-0005-0000-0000-00007B680000}"/>
    <cellStyle name="Normal 2 45 5" xfId="26745" xr:uid="{00000000-0005-0000-0000-00007C680000}"/>
    <cellStyle name="Normal 2 45 5 2" xfId="26746" xr:uid="{00000000-0005-0000-0000-00007D680000}"/>
    <cellStyle name="Normal 2 45 5 3" xfId="26747" xr:uid="{00000000-0005-0000-0000-00007E680000}"/>
    <cellStyle name="Normal 2 45 5 4" xfId="26748" xr:uid="{00000000-0005-0000-0000-00007F680000}"/>
    <cellStyle name="Normal 2 45 5 5" xfId="26749" xr:uid="{00000000-0005-0000-0000-000080680000}"/>
    <cellStyle name="Normal 2 45 6" xfId="26750" xr:uid="{00000000-0005-0000-0000-000081680000}"/>
    <cellStyle name="Normal 2 45 6 2" xfId="26751" xr:uid="{00000000-0005-0000-0000-000082680000}"/>
    <cellStyle name="Normal 2 45 6 3" xfId="26752" xr:uid="{00000000-0005-0000-0000-000083680000}"/>
    <cellStyle name="Normal 2 45 7" xfId="26753" xr:uid="{00000000-0005-0000-0000-000084680000}"/>
    <cellStyle name="Normal 2 45 7 2" xfId="26754" xr:uid="{00000000-0005-0000-0000-000085680000}"/>
    <cellStyle name="Normal 2 45 8" xfId="26755" xr:uid="{00000000-0005-0000-0000-000086680000}"/>
    <cellStyle name="Normal 2 45 9" xfId="26756" xr:uid="{00000000-0005-0000-0000-000087680000}"/>
    <cellStyle name="Normal 2 46" xfId="26757" xr:uid="{00000000-0005-0000-0000-000088680000}"/>
    <cellStyle name="Normal 2 46 10" xfId="26758" xr:uid="{00000000-0005-0000-0000-000089680000}"/>
    <cellStyle name="Normal 2 46 2" xfId="26759" xr:uid="{00000000-0005-0000-0000-00008A680000}"/>
    <cellStyle name="Normal 2 46 2 2" xfId="26760" xr:uid="{00000000-0005-0000-0000-00008B680000}"/>
    <cellStyle name="Normal 2 46 2 2 2" xfId="26761" xr:uid="{00000000-0005-0000-0000-00008C680000}"/>
    <cellStyle name="Normal 2 46 2 2 3" xfId="26762" xr:uid="{00000000-0005-0000-0000-00008D680000}"/>
    <cellStyle name="Normal 2 46 2 3" xfId="26763" xr:uid="{00000000-0005-0000-0000-00008E680000}"/>
    <cellStyle name="Normal 2 46 2 4" xfId="26764" xr:uid="{00000000-0005-0000-0000-00008F680000}"/>
    <cellStyle name="Normal 2 46 2 5" xfId="26765" xr:uid="{00000000-0005-0000-0000-000090680000}"/>
    <cellStyle name="Normal 2 46 2 6" xfId="26766" xr:uid="{00000000-0005-0000-0000-000091680000}"/>
    <cellStyle name="Normal 2 46 3" xfId="26767" xr:uid="{00000000-0005-0000-0000-000092680000}"/>
    <cellStyle name="Normal 2 46 3 2" xfId="26768" xr:uid="{00000000-0005-0000-0000-000093680000}"/>
    <cellStyle name="Normal 2 46 3 2 2" xfId="26769" xr:uid="{00000000-0005-0000-0000-000094680000}"/>
    <cellStyle name="Normal 2 46 3 2 3" xfId="26770" xr:uid="{00000000-0005-0000-0000-000095680000}"/>
    <cellStyle name="Normal 2 46 3 3" xfId="26771" xr:uid="{00000000-0005-0000-0000-000096680000}"/>
    <cellStyle name="Normal 2 46 3 4" xfId="26772" xr:uid="{00000000-0005-0000-0000-000097680000}"/>
    <cellStyle name="Normal 2 46 3 5" xfId="26773" xr:uid="{00000000-0005-0000-0000-000098680000}"/>
    <cellStyle name="Normal 2 46 3 6" xfId="26774" xr:uid="{00000000-0005-0000-0000-000099680000}"/>
    <cellStyle name="Normal 2 46 4" xfId="26775" xr:uid="{00000000-0005-0000-0000-00009A680000}"/>
    <cellStyle name="Normal 2 46 4 2" xfId="26776" xr:uid="{00000000-0005-0000-0000-00009B680000}"/>
    <cellStyle name="Normal 2 46 4 2 2" xfId="26777" xr:uid="{00000000-0005-0000-0000-00009C680000}"/>
    <cellStyle name="Normal 2 46 4 3" xfId="26778" xr:uid="{00000000-0005-0000-0000-00009D680000}"/>
    <cellStyle name="Normal 2 46 4 4" xfId="26779" xr:uid="{00000000-0005-0000-0000-00009E680000}"/>
    <cellStyle name="Normal 2 46 4 5" xfId="26780" xr:uid="{00000000-0005-0000-0000-00009F680000}"/>
    <cellStyle name="Normal 2 46 4 6" xfId="26781" xr:uid="{00000000-0005-0000-0000-0000A0680000}"/>
    <cellStyle name="Normal 2 46 5" xfId="26782" xr:uid="{00000000-0005-0000-0000-0000A1680000}"/>
    <cellStyle name="Normal 2 46 5 2" xfId="26783" xr:uid="{00000000-0005-0000-0000-0000A2680000}"/>
    <cellStyle name="Normal 2 46 5 3" xfId="26784" xr:uid="{00000000-0005-0000-0000-0000A3680000}"/>
    <cellStyle name="Normal 2 46 5 4" xfId="26785" xr:uid="{00000000-0005-0000-0000-0000A4680000}"/>
    <cellStyle name="Normal 2 46 5 5" xfId="26786" xr:uid="{00000000-0005-0000-0000-0000A5680000}"/>
    <cellStyle name="Normal 2 46 6" xfId="26787" xr:uid="{00000000-0005-0000-0000-0000A6680000}"/>
    <cellStyle name="Normal 2 46 6 2" xfId="26788" xr:uid="{00000000-0005-0000-0000-0000A7680000}"/>
    <cellStyle name="Normal 2 46 6 3" xfId="26789" xr:uid="{00000000-0005-0000-0000-0000A8680000}"/>
    <cellStyle name="Normal 2 46 7" xfId="26790" xr:uid="{00000000-0005-0000-0000-0000A9680000}"/>
    <cellStyle name="Normal 2 46 7 2" xfId="26791" xr:uid="{00000000-0005-0000-0000-0000AA680000}"/>
    <cellStyle name="Normal 2 46 8" xfId="26792" xr:uid="{00000000-0005-0000-0000-0000AB680000}"/>
    <cellStyle name="Normal 2 46 9" xfId="26793" xr:uid="{00000000-0005-0000-0000-0000AC680000}"/>
    <cellStyle name="Normal 2 47" xfId="26794" xr:uid="{00000000-0005-0000-0000-0000AD680000}"/>
    <cellStyle name="Normal 2 47 10" xfId="26795" xr:uid="{00000000-0005-0000-0000-0000AE680000}"/>
    <cellStyle name="Normal 2 47 2" xfId="26796" xr:uid="{00000000-0005-0000-0000-0000AF680000}"/>
    <cellStyle name="Normal 2 47 2 2" xfId="26797" xr:uid="{00000000-0005-0000-0000-0000B0680000}"/>
    <cellStyle name="Normal 2 47 2 2 2" xfId="26798" xr:uid="{00000000-0005-0000-0000-0000B1680000}"/>
    <cellStyle name="Normal 2 47 2 2 3" xfId="26799" xr:uid="{00000000-0005-0000-0000-0000B2680000}"/>
    <cellStyle name="Normal 2 47 2 3" xfId="26800" xr:uid="{00000000-0005-0000-0000-0000B3680000}"/>
    <cellStyle name="Normal 2 47 2 4" xfId="26801" xr:uid="{00000000-0005-0000-0000-0000B4680000}"/>
    <cellStyle name="Normal 2 47 2 5" xfId="26802" xr:uid="{00000000-0005-0000-0000-0000B5680000}"/>
    <cellStyle name="Normal 2 47 2 6" xfId="26803" xr:uid="{00000000-0005-0000-0000-0000B6680000}"/>
    <cellStyle name="Normal 2 47 3" xfId="26804" xr:uid="{00000000-0005-0000-0000-0000B7680000}"/>
    <cellStyle name="Normal 2 47 3 2" xfId="26805" xr:uid="{00000000-0005-0000-0000-0000B8680000}"/>
    <cellStyle name="Normal 2 47 3 2 2" xfId="26806" xr:uid="{00000000-0005-0000-0000-0000B9680000}"/>
    <cellStyle name="Normal 2 47 3 2 3" xfId="26807" xr:uid="{00000000-0005-0000-0000-0000BA680000}"/>
    <cellStyle name="Normal 2 47 3 3" xfId="26808" xr:uid="{00000000-0005-0000-0000-0000BB680000}"/>
    <cellStyle name="Normal 2 47 3 4" xfId="26809" xr:uid="{00000000-0005-0000-0000-0000BC680000}"/>
    <cellStyle name="Normal 2 47 3 5" xfId="26810" xr:uid="{00000000-0005-0000-0000-0000BD680000}"/>
    <cellStyle name="Normal 2 47 3 6" xfId="26811" xr:uid="{00000000-0005-0000-0000-0000BE680000}"/>
    <cellStyle name="Normal 2 47 4" xfId="26812" xr:uid="{00000000-0005-0000-0000-0000BF680000}"/>
    <cellStyle name="Normal 2 47 4 2" xfId="26813" xr:uid="{00000000-0005-0000-0000-0000C0680000}"/>
    <cellStyle name="Normal 2 47 4 2 2" xfId="26814" xr:uid="{00000000-0005-0000-0000-0000C1680000}"/>
    <cellStyle name="Normal 2 47 4 3" xfId="26815" xr:uid="{00000000-0005-0000-0000-0000C2680000}"/>
    <cellStyle name="Normal 2 47 4 4" xfId="26816" xr:uid="{00000000-0005-0000-0000-0000C3680000}"/>
    <cellStyle name="Normal 2 47 4 5" xfId="26817" xr:uid="{00000000-0005-0000-0000-0000C4680000}"/>
    <cellStyle name="Normal 2 47 4 6" xfId="26818" xr:uid="{00000000-0005-0000-0000-0000C5680000}"/>
    <cellStyle name="Normal 2 47 5" xfId="26819" xr:uid="{00000000-0005-0000-0000-0000C6680000}"/>
    <cellStyle name="Normal 2 47 5 2" xfId="26820" xr:uid="{00000000-0005-0000-0000-0000C7680000}"/>
    <cellStyle name="Normal 2 47 5 3" xfId="26821" xr:uid="{00000000-0005-0000-0000-0000C8680000}"/>
    <cellStyle name="Normal 2 47 5 4" xfId="26822" xr:uid="{00000000-0005-0000-0000-0000C9680000}"/>
    <cellStyle name="Normal 2 47 5 5" xfId="26823" xr:uid="{00000000-0005-0000-0000-0000CA680000}"/>
    <cellStyle name="Normal 2 47 6" xfId="26824" xr:uid="{00000000-0005-0000-0000-0000CB680000}"/>
    <cellStyle name="Normal 2 47 6 2" xfId="26825" xr:uid="{00000000-0005-0000-0000-0000CC680000}"/>
    <cellStyle name="Normal 2 47 6 3" xfId="26826" xr:uid="{00000000-0005-0000-0000-0000CD680000}"/>
    <cellStyle name="Normal 2 47 7" xfId="26827" xr:uid="{00000000-0005-0000-0000-0000CE680000}"/>
    <cellStyle name="Normal 2 47 7 2" xfId="26828" xr:uid="{00000000-0005-0000-0000-0000CF680000}"/>
    <cellStyle name="Normal 2 47 8" xfId="26829" xr:uid="{00000000-0005-0000-0000-0000D0680000}"/>
    <cellStyle name="Normal 2 47 9" xfId="26830" xr:uid="{00000000-0005-0000-0000-0000D1680000}"/>
    <cellStyle name="Normal 2 48" xfId="26831" xr:uid="{00000000-0005-0000-0000-0000D2680000}"/>
    <cellStyle name="Normal 2 48 10" xfId="26832" xr:uid="{00000000-0005-0000-0000-0000D3680000}"/>
    <cellStyle name="Normal 2 48 2" xfId="26833" xr:uid="{00000000-0005-0000-0000-0000D4680000}"/>
    <cellStyle name="Normal 2 48 2 2" xfId="26834" xr:uid="{00000000-0005-0000-0000-0000D5680000}"/>
    <cellStyle name="Normal 2 48 2 2 2" xfId="26835" xr:uid="{00000000-0005-0000-0000-0000D6680000}"/>
    <cellStyle name="Normal 2 48 2 2 3" xfId="26836" xr:uid="{00000000-0005-0000-0000-0000D7680000}"/>
    <cellStyle name="Normal 2 48 2 3" xfId="26837" xr:uid="{00000000-0005-0000-0000-0000D8680000}"/>
    <cellStyle name="Normal 2 48 2 4" xfId="26838" xr:uid="{00000000-0005-0000-0000-0000D9680000}"/>
    <cellStyle name="Normal 2 48 2 5" xfId="26839" xr:uid="{00000000-0005-0000-0000-0000DA680000}"/>
    <cellStyle name="Normal 2 48 2 6" xfId="26840" xr:uid="{00000000-0005-0000-0000-0000DB680000}"/>
    <cellStyle name="Normal 2 48 3" xfId="26841" xr:uid="{00000000-0005-0000-0000-0000DC680000}"/>
    <cellStyle name="Normal 2 48 3 2" xfId="26842" xr:uid="{00000000-0005-0000-0000-0000DD680000}"/>
    <cellStyle name="Normal 2 48 3 2 2" xfId="26843" xr:uid="{00000000-0005-0000-0000-0000DE680000}"/>
    <cellStyle name="Normal 2 48 3 2 3" xfId="26844" xr:uid="{00000000-0005-0000-0000-0000DF680000}"/>
    <cellStyle name="Normal 2 48 3 3" xfId="26845" xr:uid="{00000000-0005-0000-0000-0000E0680000}"/>
    <cellStyle name="Normal 2 48 3 4" xfId="26846" xr:uid="{00000000-0005-0000-0000-0000E1680000}"/>
    <cellStyle name="Normal 2 48 3 5" xfId="26847" xr:uid="{00000000-0005-0000-0000-0000E2680000}"/>
    <cellStyle name="Normal 2 48 3 6" xfId="26848" xr:uid="{00000000-0005-0000-0000-0000E3680000}"/>
    <cellStyle name="Normal 2 48 4" xfId="26849" xr:uid="{00000000-0005-0000-0000-0000E4680000}"/>
    <cellStyle name="Normal 2 48 4 2" xfId="26850" xr:uid="{00000000-0005-0000-0000-0000E5680000}"/>
    <cellStyle name="Normal 2 48 4 2 2" xfId="26851" xr:uid="{00000000-0005-0000-0000-0000E6680000}"/>
    <cellStyle name="Normal 2 48 4 3" xfId="26852" xr:uid="{00000000-0005-0000-0000-0000E7680000}"/>
    <cellStyle name="Normal 2 48 4 4" xfId="26853" xr:uid="{00000000-0005-0000-0000-0000E8680000}"/>
    <cellStyle name="Normal 2 48 4 5" xfId="26854" xr:uid="{00000000-0005-0000-0000-0000E9680000}"/>
    <cellStyle name="Normal 2 48 4 6" xfId="26855" xr:uid="{00000000-0005-0000-0000-0000EA680000}"/>
    <cellStyle name="Normal 2 48 5" xfId="26856" xr:uid="{00000000-0005-0000-0000-0000EB680000}"/>
    <cellStyle name="Normal 2 48 5 2" xfId="26857" xr:uid="{00000000-0005-0000-0000-0000EC680000}"/>
    <cellStyle name="Normal 2 48 5 3" xfId="26858" xr:uid="{00000000-0005-0000-0000-0000ED680000}"/>
    <cellStyle name="Normal 2 48 5 4" xfId="26859" xr:uid="{00000000-0005-0000-0000-0000EE680000}"/>
    <cellStyle name="Normal 2 48 5 5" xfId="26860" xr:uid="{00000000-0005-0000-0000-0000EF680000}"/>
    <cellStyle name="Normal 2 48 6" xfId="26861" xr:uid="{00000000-0005-0000-0000-0000F0680000}"/>
    <cellStyle name="Normal 2 48 6 2" xfId="26862" xr:uid="{00000000-0005-0000-0000-0000F1680000}"/>
    <cellStyle name="Normal 2 48 6 3" xfId="26863" xr:uid="{00000000-0005-0000-0000-0000F2680000}"/>
    <cellStyle name="Normal 2 48 7" xfId="26864" xr:uid="{00000000-0005-0000-0000-0000F3680000}"/>
    <cellStyle name="Normal 2 48 7 2" xfId="26865" xr:uid="{00000000-0005-0000-0000-0000F4680000}"/>
    <cellStyle name="Normal 2 48 8" xfId="26866" xr:uid="{00000000-0005-0000-0000-0000F5680000}"/>
    <cellStyle name="Normal 2 48 9" xfId="26867" xr:uid="{00000000-0005-0000-0000-0000F6680000}"/>
    <cellStyle name="Normal 2 49" xfId="26868" xr:uid="{00000000-0005-0000-0000-0000F7680000}"/>
    <cellStyle name="Normal 2 49 10" xfId="26869" xr:uid="{00000000-0005-0000-0000-0000F8680000}"/>
    <cellStyle name="Normal 2 49 2" xfId="26870" xr:uid="{00000000-0005-0000-0000-0000F9680000}"/>
    <cellStyle name="Normal 2 49 2 2" xfId="26871" xr:uid="{00000000-0005-0000-0000-0000FA680000}"/>
    <cellStyle name="Normal 2 49 2 2 2" xfId="26872" xr:uid="{00000000-0005-0000-0000-0000FB680000}"/>
    <cellStyle name="Normal 2 49 2 2 3" xfId="26873" xr:uid="{00000000-0005-0000-0000-0000FC680000}"/>
    <cellStyle name="Normal 2 49 2 3" xfId="26874" xr:uid="{00000000-0005-0000-0000-0000FD680000}"/>
    <cellStyle name="Normal 2 49 2 4" xfId="26875" xr:uid="{00000000-0005-0000-0000-0000FE680000}"/>
    <cellStyle name="Normal 2 49 2 5" xfId="26876" xr:uid="{00000000-0005-0000-0000-0000FF680000}"/>
    <cellStyle name="Normal 2 49 2 6" xfId="26877" xr:uid="{00000000-0005-0000-0000-000000690000}"/>
    <cellStyle name="Normal 2 49 3" xfId="26878" xr:uid="{00000000-0005-0000-0000-000001690000}"/>
    <cellStyle name="Normal 2 49 3 2" xfId="26879" xr:uid="{00000000-0005-0000-0000-000002690000}"/>
    <cellStyle name="Normal 2 49 3 2 2" xfId="26880" xr:uid="{00000000-0005-0000-0000-000003690000}"/>
    <cellStyle name="Normal 2 49 3 2 3" xfId="26881" xr:uid="{00000000-0005-0000-0000-000004690000}"/>
    <cellStyle name="Normal 2 49 3 3" xfId="26882" xr:uid="{00000000-0005-0000-0000-000005690000}"/>
    <cellStyle name="Normal 2 49 3 4" xfId="26883" xr:uid="{00000000-0005-0000-0000-000006690000}"/>
    <cellStyle name="Normal 2 49 3 5" xfId="26884" xr:uid="{00000000-0005-0000-0000-000007690000}"/>
    <cellStyle name="Normal 2 49 3 6" xfId="26885" xr:uid="{00000000-0005-0000-0000-000008690000}"/>
    <cellStyle name="Normal 2 49 4" xfId="26886" xr:uid="{00000000-0005-0000-0000-000009690000}"/>
    <cellStyle name="Normal 2 49 4 2" xfId="26887" xr:uid="{00000000-0005-0000-0000-00000A690000}"/>
    <cellStyle name="Normal 2 49 4 2 2" xfId="26888" xr:uid="{00000000-0005-0000-0000-00000B690000}"/>
    <cellStyle name="Normal 2 49 4 3" xfId="26889" xr:uid="{00000000-0005-0000-0000-00000C690000}"/>
    <cellStyle name="Normal 2 49 4 4" xfId="26890" xr:uid="{00000000-0005-0000-0000-00000D690000}"/>
    <cellStyle name="Normal 2 49 4 5" xfId="26891" xr:uid="{00000000-0005-0000-0000-00000E690000}"/>
    <cellStyle name="Normal 2 49 4 6" xfId="26892" xr:uid="{00000000-0005-0000-0000-00000F690000}"/>
    <cellStyle name="Normal 2 49 5" xfId="26893" xr:uid="{00000000-0005-0000-0000-000010690000}"/>
    <cellStyle name="Normal 2 49 5 2" xfId="26894" xr:uid="{00000000-0005-0000-0000-000011690000}"/>
    <cellStyle name="Normal 2 49 5 3" xfId="26895" xr:uid="{00000000-0005-0000-0000-000012690000}"/>
    <cellStyle name="Normal 2 49 5 4" xfId="26896" xr:uid="{00000000-0005-0000-0000-000013690000}"/>
    <cellStyle name="Normal 2 49 5 5" xfId="26897" xr:uid="{00000000-0005-0000-0000-000014690000}"/>
    <cellStyle name="Normal 2 49 6" xfId="26898" xr:uid="{00000000-0005-0000-0000-000015690000}"/>
    <cellStyle name="Normal 2 49 6 2" xfId="26899" xr:uid="{00000000-0005-0000-0000-000016690000}"/>
    <cellStyle name="Normal 2 49 6 3" xfId="26900" xr:uid="{00000000-0005-0000-0000-000017690000}"/>
    <cellStyle name="Normal 2 49 7" xfId="26901" xr:uid="{00000000-0005-0000-0000-000018690000}"/>
    <cellStyle name="Normal 2 49 7 2" xfId="26902" xr:uid="{00000000-0005-0000-0000-000019690000}"/>
    <cellStyle name="Normal 2 49 8" xfId="26903" xr:uid="{00000000-0005-0000-0000-00001A690000}"/>
    <cellStyle name="Normal 2 49 9" xfId="26904" xr:uid="{00000000-0005-0000-0000-00001B690000}"/>
    <cellStyle name="Normal 2 5" xfId="26905" xr:uid="{00000000-0005-0000-0000-00001C690000}"/>
    <cellStyle name="Normal 2 5 2" xfId="26906" xr:uid="{00000000-0005-0000-0000-00001D690000}"/>
    <cellStyle name="Normal 2 5 2 10" xfId="26907" xr:uid="{00000000-0005-0000-0000-00001E690000}"/>
    <cellStyle name="Normal 2 5 2 10 10" xfId="26908" xr:uid="{00000000-0005-0000-0000-00001F690000}"/>
    <cellStyle name="Normal 2 5 2 10 2" xfId="26909" xr:uid="{00000000-0005-0000-0000-000020690000}"/>
    <cellStyle name="Normal 2 5 2 10 2 2" xfId="26910" xr:uid="{00000000-0005-0000-0000-000021690000}"/>
    <cellStyle name="Normal 2 5 2 10 2 2 2" xfId="26911" xr:uid="{00000000-0005-0000-0000-000022690000}"/>
    <cellStyle name="Normal 2 5 2 10 2 2 3" xfId="26912" xr:uid="{00000000-0005-0000-0000-000023690000}"/>
    <cellStyle name="Normal 2 5 2 10 2 3" xfId="26913" xr:uid="{00000000-0005-0000-0000-000024690000}"/>
    <cellStyle name="Normal 2 5 2 10 2 4" xfId="26914" xr:uid="{00000000-0005-0000-0000-000025690000}"/>
    <cellStyle name="Normal 2 5 2 10 2 5" xfId="26915" xr:uid="{00000000-0005-0000-0000-000026690000}"/>
    <cellStyle name="Normal 2 5 2 10 2 6" xfId="26916" xr:uid="{00000000-0005-0000-0000-000027690000}"/>
    <cellStyle name="Normal 2 5 2 10 3" xfId="26917" xr:uid="{00000000-0005-0000-0000-000028690000}"/>
    <cellStyle name="Normal 2 5 2 10 3 2" xfId="26918" xr:uid="{00000000-0005-0000-0000-000029690000}"/>
    <cellStyle name="Normal 2 5 2 10 3 2 2" xfId="26919" xr:uid="{00000000-0005-0000-0000-00002A690000}"/>
    <cellStyle name="Normal 2 5 2 10 3 2 3" xfId="26920" xr:uid="{00000000-0005-0000-0000-00002B690000}"/>
    <cellStyle name="Normal 2 5 2 10 3 3" xfId="26921" xr:uid="{00000000-0005-0000-0000-00002C690000}"/>
    <cellStyle name="Normal 2 5 2 10 3 4" xfId="26922" xr:uid="{00000000-0005-0000-0000-00002D690000}"/>
    <cellStyle name="Normal 2 5 2 10 3 5" xfId="26923" xr:uid="{00000000-0005-0000-0000-00002E690000}"/>
    <cellStyle name="Normal 2 5 2 10 3 6" xfId="26924" xr:uid="{00000000-0005-0000-0000-00002F690000}"/>
    <cellStyle name="Normal 2 5 2 10 4" xfId="26925" xr:uid="{00000000-0005-0000-0000-000030690000}"/>
    <cellStyle name="Normal 2 5 2 10 4 2" xfId="26926" xr:uid="{00000000-0005-0000-0000-000031690000}"/>
    <cellStyle name="Normal 2 5 2 10 4 2 2" xfId="26927" xr:uid="{00000000-0005-0000-0000-000032690000}"/>
    <cellStyle name="Normal 2 5 2 10 4 3" xfId="26928" xr:uid="{00000000-0005-0000-0000-000033690000}"/>
    <cellStyle name="Normal 2 5 2 10 4 4" xfId="26929" xr:uid="{00000000-0005-0000-0000-000034690000}"/>
    <cellStyle name="Normal 2 5 2 10 4 5" xfId="26930" xr:uid="{00000000-0005-0000-0000-000035690000}"/>
    <cellStyle name="Normal 2 5 2 10 5" xfId="26931" xr:uid="{00000000-0005-0000-0000-000036690000}"/>
    <cellStyle name="Normal 2 5 2 10 5 2" xfId="26932" xr:uid="{00000000-0005-0000-0000-000037690000}"/>
    <cellStyle name="Normal 2 5 2 10 5 3" xfId="26933" xr:uid="{00000000-0005-0000-0000-000038690000}"/>
    <cellStyle name="Normal 2 5 2 10 5 4" xfId="26934" xr:uid="{00000000-0005-0000-0000-000039690000}"/>
    <cellStyle name="Normal 2 5 2 10 6" xfId="26935" xr:uid="{00000000-0005-0000-0000-00003A690000}"/>
    <cellStyle name="Normal 2 5 2 10 6 2" xfId="26936" xr:uid="{00000000-0005-0000-0000-00003B690000}"/>
    <cellStyle name="Normal 2 5 2 10 7" xfId="26937" xr:uid="{00000000-0005-0000-0000-00003C690000}"/>
    <cellStyle name="Normal 2 5 2 10 8" xfId="26938" xr:uid="{00000000-0005-0000-0000-00003D690000}"/>
    <cellStyle name="Normal 2 5 2 10 9" xfId="26939" xr:uid="{00000000-0005-0000-0000-00003E690000}"/>
    <cellStyle name="Normal 2 5 2 11" xfId="26940" xr:uid="{00000000-0005-0000-0000-00003F690000}"/>
    <cellStyle name="Normal 2 5 2 11 10" xfId="26941" xr:uid="{00000000-0005-0000-0000-000040690000}"/>
    <cellStyle name="Normal 2 5 2 11 2" xfId="26942" xr:uid="{00000000-0005-0000-0000-000041690000}"/>
    <cellStyle name="Normal 2 5 2 11 2 2" xfId="26943" xr:uid="{00000000-0005-0000-0000-000042690000}"/>
    <cellStyle name="Normal 2 5 2 11 2 2 2" xfId="26944" xr:uid="{00000000-0005-0000-0000-000043690000}"/>
    <cellStyle name="Normal 2 5 2 11 2 2 3" xfId="26945" xr:uid="{00000000-0005-0000-0000-000044690000}"/>
    <cellStyle name="Normal 2 5 2 11 2 3" xfId="26946" xr:uid="{00000000-0005-0000-0000-000045690000}"/>
    <cellStyle name="Normal 2 5 2 11 2 4" xfId="26947" xr:uid="{00000000-0005-0000-0000-000046690000}"/>
    <cellStyle name="Normal 2 5 2 11 2 5" xfId="26948" xr:uid="{00000000-0005-0000-0000-000047690000}"/>
    <cellStyle name="Normal 2 5 2 11 2 6" xfId="26949" xr:uid="{00000000-0005-0000-0000-000048690000}"/>
    <cellStyle name="Normal 2 5 2 11 3" xfId="26950" xr:uid="{00000000-0005-0000-0000-000049690000}"/>
    <cellStyle name="Normal 2 5 2 11 3 2" xfId="26951" xr:uid="{00000000-0005-0000-0000-00004A690000}"/>
    <cellStyle name="Normal 2 5 2 11 3 2 2" xfId="26952" xr:uid="{00000000-0005-0000-0000-00004B690000}"/>
    <cellStyle name="Normal 2 5 2 11 3 2 3" xfId="26953" xr:uid="{00000000-0005-0000-0000-00004C690000}"/>
    <cellStyle name="Normal 2 5 2 11 3 3" xfId="26954" xr:uid="{00000000-0005-0000-0000-00004D690000}"/>
    <cellStyle name="Normal 2 5 2 11 3 4" xfId="26955" xr:uid="{00000000-0005-0000-0000-00004E690000}"/>
    <cellStyle name="Normal 2 5 2 11 3 5" xfId="26956" xr:uid="{00000000-0005-0000-0000-00004F690000}"/>
    <cellStyle name="Normal 2 5 2 11 3 6" xfId="26957" xr:uid="{00000000-0005-0000-0000-000050690000}"/>
    <cellStyle name="Normal 2 5 2 11 4" xfId="26958" xr:uid="{00000000-0005-0000-0000-000051690000}"/>
    <cellStyle name="Normal 2 5 2 11 4 2" xfId="26959" xr:uid="{00000000-0005-0000-0000-000052690000}"/>
    <cellStyle name="Normal 2 5 2 11 4 2 2" xfId="26960" xr:uid="{00000000-0005-0000-0000-000053690000}"/>
    <cellStyle name="Normal 2 5 2 11 4 3" xfId="26961" xr:uid="{00000000-0005-0000-0000-000054690000}"/>
    <cellStyle name="Normal 2 5 2 11 4 4" xfId="26962" xr:uid="{00000000-0005-0000-0000-000055690000}"/>
    <cellStyle name="Normal 2 5 2 11 4 5" xfId="26963" xr:uid="{00000000-0005-0000-0000-000056690000}"/>
    <cellStyle name="Normal 2 5 2 11 5" xfId="26964" xr:uid="{00000000-0005-0000-0000-000057690000}"/>
    <cellStyle name="Normal 2 5 2 11 5 2" xfId="26965" xr:uid="{00000000-0005-0000-0000-000058690000}"/>
    <cellStyle name="Normal 2 5 2 11 5 3" xfId="26966" xr:uid="{00000000-0005-0000-0000-000059690000}"/>
    <cellStyle name="Normal 2 5 2 11 5 4" xfId="26967" xr:uid="{00000000-0005-0000-0000-00005A690000}"/>
    <cellStyle name="Normal 2 5 2 11 6" xfId="26968" xr:uid="{00000000-0005-0000-0000-00005B690000}"/>
    <cellStyle name="Normal 2 5 2 11 6 2" xfId="26969" xr:uid="{00000000-0005-0000-0000-00005C690000}"/>
    <cellStyle name="Normal 2 5 2 11 7" xfId="26970" xr:uid="{00000000-0005-0000-0000-00005D690000}"/>
    <cellStyle name="Normal 2 5 2 11 8" xfId="26971" xr:uid="{00000000-0005-0000-0000-00005E690000}"/>
    <cellStyle name="Normal 2 5 2 11 9" xfId="26972" xr:uid="{00000000-0005-0000-0000-00005F690000}"/>
    <cellStyle name="Normal 2 5 2 12" xfId="26973" xr:uid="{00000000-0005-0000-0000-000060690000}"/>
    <cellStyle name="Normal 2 5 2 12 10" xfId="26974" xr:uid="{00000000-0005-0000-0000-000061690000}"/>
    <cellStyle name="Normal 2 5 2 12 2" xfId="26975" xr:uid="{00000000-0005-0000-0000-000062690000}"/>
    <cellStyle name="Normal 2 5 2 12 2 2" xfId="26976" xr:uid="{00000000-0005-0000-0000-000063690000}"/>
    <cellStyle name="Normal 2 5 2 12 2 2 2" xfId="26977" xr:uid="{00000000-0005-0000-0000-000064690000}"/>
    <cellStyle name="Normal 2 5 2 12 2 2 3" xfId="26978" xr:uid="{00000000-0005-0000-0000-000065690000}"/>
    <cellStyle name="Normal 2 5 2 12 2 3" xfId="26979" xr:uid="{00000000-0005-0000-0000-000066690000}"/>
    <cellStyle name="Normal 2 5 2 12 2 4" xfId="26980" xr:uid="{00000000-0005-0000-0000-000067690000}"/>
    <cellStyle name="Normal 2 5 2 12 2 5" xfId="26981" xr:uid="{00000000-0005-0000-0000-000068690000}"/>
    <cellStyle name="Normal 2 5 2 12 2 6" xfId="26982" xr:uid="{00000000-0005-0000-0000-000069690000}"/>
    <cellStyle name="Normal 2 5 2 12 3" xfId="26983" xr:uid="{00000000-0005-0000-0000-00006A690000}"/>
    <cellStyle name="Normal 2 5 2 12 3 2" xfId="26984" xr:uid="{00000000-0005-0000-0000-00006B690000}"/>
    <cellStyle name="Normal 2 5 2 12 3 2 2" xfId="26985" xr:uid="{00000000-0005-0000-0000-00006C690000}"/>
    <cellStyle name="Normal 2 5 2 12 3 2 3" xfId="26986" xr:uid="{00000000-0005-0000-0000-00006D690000}"/>
    <cellStyle name="Normal 2 5 2 12 3 3" xfId="26987" xr:uid="{00000000-0005-0000-0000-00006E690000}"/>
    <cellStyle name="Normal 2 5 2 12 3 4" xfId="26988" xr:uid="{00000000-0005-0000-0000-00006F690000}"/>
    <cellStyle name="Normal 2 5 2 12 3 5" xfId="26989" xr:uid="{00000000-0005-0000-0000-000070690000}"/>
    <cellStyle name="Normal 2 5 2 12 3 6" xfId="26990" xr:uid="{00000000-0005-0000-0000-000071690000}"/>
    <cellStyle name="Normal 2 5 2 12 4" xfId="26991" xr:uid="{00000000-0005-0000-0000-000072690000}"/>
    <cellStyle name="Normal 2 5 2 12 4 2" xfId="26992" xr:uid="{00000000-0005-0000-0000-000073690000}"/>
    <cellStyle name="Normal 2 5 2 12 4 2 2" xfId="26993" xr:uid="{00000000-0005-0000-0000-000074690000}"/>
    <cellStyle name="Normal 2 5 2 12 4 3" xfId="26994" xr:uid="{00000000-0005-0000-0000-000075690000}"/>
    <cellStyle name="Normal 2 5 2 12 4 4" xfId="26995" xr:uid="{00000000-0005-0000-0000-000076690000}"/>
    <cellStyle name="Normal 2 5 2 12 4 5" xfId="26996" xr:uid="{00000000-0005-0000-0000-000077690000}"/>
    <cellStyle name="Normal 2 5 2 12 5" xfId="26997" xr:uid="{00000000-0005-0000-0000-000078690000}"/>
    <cellStyle name="Normal 2 5 2 12 5 2" xfId="26998" xr:uid="{00000000-0005-0000-0000-000079690000}"/>
    <cellStyle name="Normal 2 5 2 12 5 3" xfId="26999" xr:uid="{00000000-0005-0000-0000-00007A690000}"/>
    <cellStyle name="Normal 2 5 2 12 5 4" xfId="27000" xr:uid="{00000000-0005-0000-0000-00007B690000}"/>
    <cellStyle name="Normal 2 5 2 12 6" xfId="27001" xr:uid="{00000000-0005-0000-0000-00007C690000}"/>
    <cellStyle name="Normal 2 5 2 12 6 2" xfId="27002" xr:uid="{00000000-0005-0000-0000-00007D690000}"/>
    <cellStyle name="Normal 2 5 2 12 7" xfId="27003" xr:uid="{00000000-0005-0000-0000-00007E690000}"/>
    <cellStyle name="Normal 2 5 2 12 8" xfId="27004" xr:uid="{00000000-0005-0000-0000-00007F690000}"/>
    <cellStyle name="Normal 2 5 2 12 9" xfId="27005" xr:uid="{00000000-0005-0000-0000-000080690000}"/>
    <cellStyle name="Normal 2 5 2 13" xfId="27006" xr:uid="{00000000-0005-0000-0000-000081690000}"/>
    <cellStyle name="Normal 2 5 2 13 2" xfId="27007" xr:uid="{00000000-0005-0000-0000-000082690000}"/>
    <cellStyle name="Normal 2 5 2 13 2 2" xfId="27008" xr:uid="{00000000-0005-0000-0000-000083690000}"/>
    <cellStyle name="Normal 2 5 2 13 2 2 2" xfId="27009" xr:uid="{00000000-0005-0000-0000-000084690000}"/>
    <cellStyle name="Normal 2 5 2 13 2 2 3" xfId="27010" xr:uid="{00000000-0005-0000-0000-000085690000}"/>
    <cellStyle name="Normal 2 5 2 13 2 3" xfId="27011" xr:uid="{00000000-0005-0000-0000-000086690000}"/>
    <cellStyle name="Normal 2 5 2 13 2 4" xfId="27012" xr:uid="{00000000-0005-0000-0000-000087690000}"/>
    <cellStyle name="Normal 2 5 2 13 2 5" xfId="27013" xr:uid="{00000000-0005-0000-0000-000088690000}"/>
    <cellStyle name="Normal 2 5 2 13 2 6" xfId="27014" xr:uid="{00000000-0005-0000-0000-000089690000}"/>
    <cellStyle name="Normal 2 5 2 13 3" xfId="27015" xr:uid="{00000000-0005-0000-0000-00008A690000}"/>
    <cellStyle name="Normal 2 5 2 13 3 2" xfId="27016" xr:uid="{00000000-0005-0000-0000-00008B690000}"/>
    <cellStyle name="Normal 2 5 2 13 3 2 2" xfId="27017" xr:uid="{00000000-0005-0000-0000-00008C690000}"/>
    <cellStyle name="Normal 2 5 2 13 3 3" xfId="27018" xr:uid="{00000000-0005-0000-0000-00008D690000}"/>
    <cellStyle name="Normal 2 5 2 13 3 4" xfId="27019" xr:uid="{00000000-0005-0000-0000-00008E690000}"/>
    <cellStyle name="Normal 2 5 2 13 3 5" xfId="27020" xr:uid="{00000000-0005-0000-0000-00008F690000}"/>
    <cellStyle name="Normal 2 5 2 13 4" xfId="27021" xr:uid="{00000000-0005-0000-0000-000090690000}"/>
    <cellStyle name="Normal 2 5 2 13 4 2" xfId="27022" xr:uid="{00000000-0005-0000-0000-000091690000}"/>
    <cellStyle name="Normal 2 5 2 13 4 3" xfId="27023" xr:uid="{00000000-0005-0000-0000-000092690000}"/>
    <cellStyle name="Normal 2 5 2 13 4 4" xfId="27024" xr:uid="{00000000-0005-0000-0000-000093690000}"/>
    <cellStyle name="Normal 2 5 2 13 5" xfId="27025" xr:uid="{00000000-0005-0000-0000-000094690000}"/>
    <cellStyle name="Normal 2 5 2 13 5 2" xfId="27026" xr:uid="{00000000-0005-0000-0000-000095690000}"/>
    <cellStyle name="Normal 2 5 2 13 6" xfId="27027" xr:uid="{00000000-0005-0000-0000-000096690000}"/>
    <cellStyle name="Normal 2 5 2 13 7" xfId="27028" xr:uid="{00000000-0005-0000-0000-000097690000}"/>
    <cellStyle name="Normal 2 5 2 13 8" xfId="27029" xr:uid="{00000000-0005-0000-0000-000098690000}"/>
    <cellStyle name="Normal 2 5 2 13 9" xfId="27030" xr:uid="{00000000-0005-0000-0000-000099690000}"/>
    <cellStyle name="Normal 2 5 2 14" xfId="27031" xr:uid="{00000000-0005-0000-0000-00009A690000}"/>
    <cellStyle name="Normal 2 5 2 14 2" xfId="27032" xr:uid="{00000000-0005-0000-0000-00009B690000}"/>
    <cellStyle name="Normal 2 5 2 14 2 2" xfId="27033" xr:uid="{00000000-0005-0000-0000-00009C690000}"/>
    <cellStyle name="Normal 2 5 2 14 2 2 2" xfId="27034" xr:uid="{00000000-0005-0000-0000-00009D690000}"/>
    <cellStyle name="Normal 2 5 2 14 2 2 3" xfId="27035" xr:uid="{00000000-0005-0000-0000-00009E690000}"/>
    <cellStyle name="Normal 2 5 2 14 2 3" xfId="27036" xr:uid="{00000000-0005-0000-0000-00009F690000}"/>
    <cellStyle name="Normal 2 5 2 14 2 4" xfId="27037" xr:uid="{00000000-0005-0000-0000-0000A0690000}"/>
    <cellStyle name="Normal 2 5 2 14 2 5" xfId="27038" xr:uid="{00000000-0005-0000-0000-0000A1690000}"/>
    <cellStyle name="Normal 2 5 2 14 2 6" xfId="27039" xr:uid="{00000000-0005-0000-0000-0000A2690000}"/>
    <cellStyle name="Normal 2 5 2 14 3" xfId="27040" xr:uid="{00000000-0005-0000-0000-0000A3690000}"/>
    <cellStyle name="Normal 2 5 2 14 3 2" xfId="27041" xr:uid="{00000000-0005-0000-0000-0000A4690000}"/>
    <cellStyle name="Normal 2 5 2 14 3 2 2" xfId="27042" xr:uid="{00000000-0005-0000-0000-0000A5690000}"/>
    <cellStyle name="Normal 2 5 2 14 3 3" xfId="27043" xr:uid="{00000000-0005-0000-0000-0000A6690000}"/>
    <cellStyle name="Normal 2 5 2 14 3 4" xfId="27044" xr:uid="{00000000-0005-0000-0000-0000A7690000}"/>
    <cellStyle name="Normal 2 5 2 14 3 5" xfId="27045" xr:uid="{00000000-0005-0000-0000-0000A8690000}"/>
    <cellStyle name="Normal 2 5 2 14 4" xfId="27046" xr:uid="{00000000-0005-0000-0000-0000A9690000}"/>
    <cellStyle name="Normal 2 5 2 14 4 2" xfId="27047" xr:uid="{00000000-0005-0000-0000-0000AA690000}"/>
    <cellStyle name="Normal 2 5 2 14 4 3" xfId="27048" xr:uid="{00000000-0005-0000-0000-0000AB690000}"/>
    <cellStyle name="Normal 2 5 2 14 4 4" xfId="27049" xr:uid="{00000000-0005-0000-0000-0000AC690000}"/>
    <cellStyle name="Normal 2 5 2 14 5" xfId="27050" xr:uid="{00000000-0005-0000-0000-0000AD690000}"/>
    <cellStyle name="Normal 2 5 2 14 5 2" xfId="27051" xr:uid="{00000000-0005-0000-0000-0000AE690000}"/>
    <cellStyle name="Normal 2 5 2 14 6" xfId="27052" xr:uid="{00000000-0005-0000-0000-0000AF690000}"/>
    <cellStyle name="Normal 2 5 2 14 7" xfId="27053" xr:uid="{00000000-0005-0000-0000-0000B0690000}"/>
    <cellStyle name="Normal 2 5 2 14 8" xfId="27054" xr:uid="{00000000-0005-0000-0000-0000B1690000}"/>
    <cellStyle name="Normal 2 5 2 14 9" xfId="27055" xr:uid="{00000000-0005-0000-0000-0000B2690000}"/>
    <cellStyle name="Normal 2 5 2 15" xfId="27056" xr:uid="{00000000-0005-0000-0000-0000B3690000}"/>
    <cellStyle name="Normal 2 5 2 15 2" xfId="27057" xr:uid="{00000000-0005-0000-0000-0000B4690000}"/>
    <cellStyle name="Normal 2 5 2 15 2 2" xfId="27058" xr:uid="{00000000-0005-0000-0000-0000B5690000}"/>
    <cellStyle name="Normal 2 5 2 15 2 3" xfId="27059" xr:uid="{00000000-0005-0000-0000-0000B6690000}"/>
    <cellStyle name="Normal 2 5 2 15 3" xfId="27060" xr:uid="{00000000-0005-0000-0000-0000B7690000}"/>
    <cellStyle name="Normal 2 5 2 15 4" xfId="27061" xr:uid="{00000000-0005-0000-0000-0000B8690000}"/>
    <cellStyle name="Normal 2 5 2 15 5" xfId="27062" xr:uid="{00000000-0005-0000-0000-0000B9690000}"/>
    <cellStyle name="Normal 2 5 2 15 6" xfId="27063" xr:uid="{00000000-0005-0000-0000-0000BA690000}"/>
    <cellStyle name="Normal 2 5 2 16" xfId="27064" xr:uid="{00000000-0005-0000-0000-0000BB690000}"/>
    <cellStyle name="Normal 2 5 2 16 2" xfId="27065" xr:uid="{00000000-0005-0000-0000-0000BC690000}"/>
    <cellStyle name="Normal 2 5 2 16 2 2" xfId="27066" xr:uid="{00000000-0005-0000-0000-0000BD690000}"/>
    <cellStyle name="Normal 2 5 2 16 3" xfId="27067" xr:uid="{00000000-0005-0000-0000-0000BE690000}"/>
    <cellStyle name="Normal 2 5 2 16 4" xfId="27068" xr:uid="{00000000-0005-0000-0000-0000BF690000}"/>
    <cellStyle name="Normal 2 5 2 16 5" xfId="27069" xr:uid="{00000000-0005-0000-0000-0000C0690000}"/>
    <cellStyle name="Normal 2 5 2 17" xfId="27070" xr:uid="{00000000-0005-0000-0000-0000C1690000}"/>
    <cellStyle name="Normal 2 5 2 17 2" xfId="27071" xr:uid="{00000000-0005-0000-0000-0000C2690000}"/>
    <cellStyle name="Normal 2 5 2 17 2 2" xfId="27072" xr:uid="{00000000-0005-0000-0000-0000C3690000}"/>
    <cellStyle name="Normal 2 5 2 17 3" xfId="27073" xr:uid="{00000000-0005-0000-0000-0000C4690000}"/>
    <cellStyle name="Normal 2 5 2 17 4" xfId="27074" xr:uid="{00000000-0005-0000-0000-0000C5690000}"/>
    <cellStyle name="Normal 2 5 2 17 5" xfId="27075" xr:uid="{00000000-0005-0000-0000-0000C6690000}"/>
    <cellStyle name="Normal 2 5 2 18" xfId="27076" xr:uid="{00000000-0005-0000-0000-0000C7690000}"/>
    <cellStyle name="Normal 2 5 2 18 2" xfId="27077" xr:uid="{00000000-0005-0000-0000-0000C8690000}"/>
    <cellStyle name="Normal 2 5 2 19" xfId="27078" xr:uid="{00000000-0005-0000-0000-0000C9690000}"/>
    <cellStyle name="Normal 2 5 2 2" xfId="27079" xr:uid="{00000000-0005-0000-0000-0000CA690000}"/>
    <cellStyle name="Normal 2 5 2 2 10" xfId="27080" xr:uid="{00000000-0005-0000-0000-0000CB690000}"/>
    <cellStyle name="Normal 2 5 2 2 11" xfId="27081" xr:uid="{00000000-0005-0000-0000-0000CC690000}"/>
    <cellStyle name="Normal 2 5 2 2 2" xfId="27082" xr:uid="{00000000-0005-0000-0000-0000CD690000}"/>
    <cellStyle name="Normal 2 5 2 2 2 2" xfId="27083" xr:uid="{00000000-0005-0000-0000-0000CE690000}"/>
    <cellStyle name="Normal 2 5 2 2 2 2 2" xfId="27084" xr:uid="{00000000-0005-0000-0000-0000CF690000}"/>
    <cellStyle name="Normal 2 5 2 2 2 2 2 2" xfId="27085" xr:uid="{00000000-0005-0000-0000-0000D0690000}"/>
    <cellStyle name="Normal 2 5 2 2 2 2 2 3" xfId="27086" xr:uid="{00000000-0005-0000-0000-0000D1690000}"/>
    <cellStyle name="Normal 2 5 2 2 2 2 3" xfId="27087" xr:uid="{00000000-0005-0000-0000-0000D2690000}"/>
    <cellStyle name="Normal 2 5 2 2 2 2 4" xfId="27088" xr:uid="{00000000-0005-0000-0000-0000D3690000}"/>
    <cellStyle name="Normal 2 5 2 2 2 2 5" xfId="27089" xr:uid="{00000000-0005-0000-0000-0000D4690000}"/>
    <cellStyle name="Normal 2 5 2 2 2 2 6" xfId="27090" xr:uid="{00000000-0005-0000-0000-0000D5690000}"/>
    <cellStyle name="Normal 2 5 2 2 2 3" xfId="27091" xr:uid="{00000000-0005-0000-0000-0000D6690000}"/>
    <cellStyle name="Normal 2 5 2 2 2 3 2" xfId="27092" xr:uid="{00000000-0005-0000-0000-0000D7690000}"/>
    <cellStyle name="Normal 2 5 2 2 2 3 2 2" xfId="27093" xr:uid="{00000000-0005-0000-0000-0000D8690000}"/>
    <cellStyle name="Normal 2 5 2 2 2 3 3" xfId="27094" xr:uid="{00000000-0005-0000-0000-0000D9690000}"/>
    <cellStyle name="Normal 2 5 2 2 2 3 4" xfId="27095" xr:uid="{00000000-0005-0000-0000-0000DA690000}"/>
    <cellStyle name="Normal 2 5 2 2 2 3 5" xfId="27096" xr:uid="{00000000-0005-0000-0000-0000DB690000}"/>
    <cellStyle name="Normal 2 5 2 2 2 4" xfId="27097" xr:uid="{00000000-0005-0000-0000-0000DC690000}"/>
    <cellStyle name="Normal 2 5 2 2 2 4 2" xfId="27098" xr:uid="{00000000-0005-0000-0000-0000DD690000}"/>
    <cellStyle name="Normal 2 5 2 2 2 4 3" xfId="27099" xr:uid="{00000000-0005-0000-0000-0000DE690000}"/>
    <cellStyle name="Normal 2 5 2 2 2 4 4" xfId="27100" xr:uid="{00000000-0005-0000-0000-0000DF690000}"/>
    <cellStyle name="Normal 2 5 2 2 2 5" xfId="27101" xr:uid="{00000000-0005-0000-0000-0000E0690000}"/>
    <cellStyle name="Normal 2 5 2 2 2 5 2" xfId="27102" xr:uid="{00000000-0005-0000-0000-0000E1690000}"/>
    <cellStyle name="Normal 2 5 2 2 2 6" xfId="27103" xr:uid="{00000000-0005-0000-0000-0000E2690000}"/>
    <cellStyle name="Normal 2 5 2 2 2 7" xfId="27104" xr:uid="{00000000-0005-0000-0000-0000E3690000}"/>
    <cellStyle name="Normal 2 5 2 2 2 8" xfId="27105" xr:uid="{00000000-0005-0000-0000-0000E4690000}"/>
    <cellStyle name="Normal 2 5 2 2 2 9" xfId="27106" xr:uid="{00000000-0005-0000-0000-0000E5690000}"/>
    <cellStyle name="Normal 2 5 2 2 3" xfId="27107" xr:uid="{00000000-0005-0000-0000-0000E6690000}"/>
    <cellStyle name="Normal 2 5 2 2 3 2" xfId="27108" xr:uid="{00000000-0005-0000-0000-0000E7690000}"/>
    <cellStyle name="Normal 2 5 2 2 3 2 2" xfId="27109" xr:uid="{00000000-0005-0000-0000-0000E8690000}"/>
    <cellStyle name="Normal 2 5 2 2 3 2 2 2" xfId="27110" xr:uid="{00000000-0005-0000-0000-0000E9690000}"/>
    <cellStyle name="Normal 2 5 2 2 3 2 2 3" xfId="27111" xr:uid="{00000000-0005-0000-0000-0000EA690000}"/>
    <cellStyle name="Normal 2 5 2 2 3 2 3" xfId="27112" xr:uid="{00000000-0005-0000-0000-0000EB690000}"/>
    <cellStyle name="Normal 2 5 2 2 3 2 4" xfId="27113" xr:uid="{00000000-0005-0000-0000-0000EC690000}"/>
    <cellStyle name="Normal 2 5 2 2 3 2 5" xfId="27114" xr:uid="{00000000-0005-0000-0000-0000ED690000}"/>
    <cellStyle name="Normal 2 5 2 2 3 2 6" xfId="27115" xr:uid="{00000000-0005-0000-0000-0000EE690000}"/>
    <cellStyle name="Normal 2 5 2 2 3 3" xfId="27116" xr:uid="{00000000-0005-0000-0000-0000EF690000}"/>
    <cellStyle name="Normal 2 5 2 2 3 3 2" xfId="27117" xr:uid="{00000000-0005-0000-0000-0000F0690000}"/>
    <cellStyle name="Normal 2 5 2 2 3 3 2 2" xfId="27118" xr:uid="{00000000-0005-0000-0000-0000F1690000}"/>
    <cellStyle name="Normal 2 5 2 2 3 3 3" xfId="27119" xr:uid="{00000000-0005-0000-0000-0000F2690000}"/>
    <cellStyle name="Normal 2 5 2 2 3 3 4" xfId="27120" xr:uid="{00000000-0005-0000-0000-0000F3690000}"/>
    <cellStyle name="Normal 2 5 2 2 3 3 5" xfId="27121" xr:uid="{00000000-0005-0000-0000-0000F4690000}"/>
    <cellStyle name="Normal 2 5 2 2 3 4" xfId="27122" xr:uid="{00000000-0005-0000-0000-0000F5690000}"/>
    <cellStyle name="Normal 2 5 2 2 3 4 2" xfId="27123" xr:uid="{00000000-0005-0000-0000-0000F6690000}"/>
    <cellStyle name="Normal 2 5 2 2 3 4 3" xfId="27124" xr:uid="{00000000-0005-0000-0000-0000F7690000}"/>
    <cellStyle name="Normal 2 5 2 2 3 4 4" xfId="27125" xr:uid="{00000000-0005-0000-0000-0000F8690000}"/>
    <cellStyle name="Normal 2 5 2 2 3 5" xfId="27126" xr:uid="{00000000-0005-0000-0000-0000F9690000}"/>
    <cellStyle name="Normal 2 5 2 2 3 5 2" xfId="27127" xr:uid="{00000000-0005-0000-0000-0000FA690000}"/>
    <cellStyle name="Normal 2 5 2 2 3 6" xfId="27128" xr:uid="{00000000-0005-0000-0000-0000FB690000}"/>
    <cellStyle name="Normal 2 5 2 2 3 7" xfId="27129" xr:uid="{00000000-0005-0000-0000-0000FC690000}"/>
    <cellStyle name="Normal 2 5 2 2 3 8" xfId="27130" xr:uid="{00000000-0005-0000-0000-0000FD690000}"/>
    <cellStyle name="Normal 2 5 2 2 3 9" xfId="27131" xr:uid="{00000000-0005-0000-0000-0000FE690000}"/>
    <cellStyle name="Normal 2 5 2 2 4" xfId="27132" xr:uid="{00000000-0005-0000-0000-0000FF690000}"/>
    <cellStyle name="Normal 2 5 2 2 4 2" xfId="27133" xr:uid="{00000000-0005-0000-0000-0000006A0000}"/>
    <cellStyle name="Normal 2 5 2 2 4 2 2" xfId="27134" xr:uid="{00000000-0005-0000-0000-0000016A0000}"/>
    <cellStyle name="Normal 2 5 2 2 4 2 3" xfId="27135" xr:uid="{00000000-0005-0000-0000-0000026A0000}"/>
    <cellStyle name="Normal 2 5 2 2 4 3" xfId="27136" xr:uid="{00000000-0005-0000-0000-0000036A0000}"/>
    <cellStyle name="Normal 2 5 2 2 4 4" xfId="27137" xr:uid="{00000000-0005-0000-0000-0000046A0000}"/>
    <cellStyle name="Normal 2 5 2 2 4 5" xfId="27138" xr:uid="{00000000-0005-0000-0000-0000056A0000}"/>
    <cellStyle name="Normal 2 5 2 2 4 6" xfId="27139" xr:uid="{00000000-0005-0000-0000-0000066A0000}"/>
    <cellStyle name="Normal 2 5 2 2 5" xfId="27140" xr:uid="{00000000-0005-0000-0000-0000076A0000}"/>
    <cellStyle name="Normal 2 5 2 2 5 2" xfId="27141" xr:uid="{00000000-0005-0000-0000-0000086A0000}"/>
    <cellStyle name="Normal 2 5 2 2 5 2 2" xfId="27142" xr:uid="{00000000-0005-0000-0000-0000096A0000}"/>
    <cellStyle name="Normal 2 5 2 2 5 3" xfId="27143" xr:uid="{00000000-0005-0000-0000-00000A6A0000}"/>
    <cellStyle name="Normal 2 5 2 2 5 4" xfId="27144" xr:uid="{00000000-0005-0000-0000-00000B6A0000}"/>
    <cellStyle name="Normal 2 5 2 2 5 5" xfId="27145" xr:uid="{00000000-0005-0000-0000-00000C6A0000}"/>
    <cellStyle name="Normal 2 5 2 2 6" xfId="27146" xr:uid="{00000000-0005-0000-0000-00000D6A0000}"/>
    <cellStyle name="Normal 2 5 2 2 6 2" xfId="27147" xr:uid="{00000000-0005-0000-0000-00000E6A0000}"/>
    <cellStyle name="Normal 2 5 2 2 6 3" xfId="27148" xr:uid="{00000000-0005-0000-0000-00000F6A0000}"/>
    <cellStyle name="Normal 2 5 2 2 6 4" xfId="27149" xr:uid="{00000000-0005-0000-0000-0000106A0000}"/>
    <cellStyle name="Normal 2 5 2 2 7" xfId="27150" xr:uid="{00000000-0005-0000-0000-0000116A0000}"/>
    <cellStyle name="Normal 2 5 2 2 7 2" xfId="27151" xr:uid="{00000000-0005-0000-0000-0000126A0000}"/>
    <cellStyle name="Normal 2 5 2 2 8" xfId="27152" xr:uid="{00000000-0005-0000-0000-0000136A0000}"/>
    <cellStyle name="Normal 2 5 2 2 9" xfId="27153" xr:uid="{00000000-0005-0000-0000-0000146A0000}"/>
    <cellStyle name="Normal 2 5 2 20" xfId="27154" xr:uid="{00000000-0005-0000-0000-0000156A0000}"/>
    <cellStyle name="Normal 2 5 2 21" xfId="27155" xr:uid="{00000000-0005-0000-0000-0000166A0000}"/>
    <cellStyle name="Normal 2 5 2 22" xfId="27156" xr:uid="{00000000-0005-0000-0000-0000176A0000}"/>
    <cellStyle name="Normal 2 5 2 3" xfId="27157" xr:uid="{00000000-0005-0000-0000-0000186A0000}"/>
    <cellStyle name="Normal 2 5 2 3 10" xfId="27158" xr:uid="{00000000-0005-0000-0000-0000196A0000}"/>
    <cellStyle name="Normal 2 5 2 3 11" xfId="27159" xr:uid="{00000000-0005-0000-0000-00001A6A0000}"/>
    <cellStyle name="Normal 2 5 2 3 2" xfId="27160" xr:uid="{00000000-0005-0000-0000-00001B6A0000}"/>
    <cellStyle name="Normal 2 5 2 3 2 2" xfId="27161" xr:uid="{00000000-0005-0000-0000-00001C6A0000}"/>
    <cellStyle name="Normal 2 5 2 3 2 2 2" xfId="27162" xr:uid="{00000000-0005-0000-0000-00001D6A0000}"/>
    <cellStyle name="Normal 2 5 2 3 2 2 2 2" xfId="27163" xr:uid="{00000000-0005-0000-0000-00001E6A0000}"/>
    <cellStyle name="Normal 2 5 2 3 2 2 2 3" xfId="27164" xr:uid="{00000000-0005-0000-0000-00001F6A0000}"/>
    <cellStyle name="Normal 2 5 2 3 2 2 3" xfId="27165" xr:uid="{00000000-0005-0000-0000-0000206A0000}"/>
    <cellStyle name="Normal 2 5 2 3 2 2 4" xfId="27166" xr:uid="{00000000-0005-0000-0000-0000216A0000}"/>
    <cellStyle name="Normal 2 5 2 3 2 2 5" xfId="27167" xr:uid="{00000000-0005-0000-0000-0000226A0000}"/>
    <cellStyle name="Normal 2 5 2 3 2 2 6" xfId="27168" xr:uid="{00000000-0005-0000-0000-0000236A0000}"/>
    <cellStyle name="Normal 2 5 2 3 2 3" xfId="27169" xr:uid="{00000000-0005-0000-0000-0000246A0000}"/>
    <cellStyle name="Normal 2 5 2 3 2 3 2" xfId="27170" xr:uid="{00000000-0005-0000-0000-0000256A0000}"/>
    <cellStyle name="Normal 2 5 2 3 2 3 2 2" xfId="27171" xr:uid="{00000000-0005-0000-0000-0000266A0000}"/>
    <cellStyle name="Normal 2 5 2 3 2 3 3" xfId="27172" xr:uid="{00000000-0005-0000-0000-0000276A0000}"/>
    <cellStyle name="Normal 2 5 2 3 2 3 4" xfId="27173" xr:uid="{00000000-0005-0000-0000-0000286A0000}"/>
    <cellStyle name="Normal 2 5 2 3 2 3 5" xfId="27174" xr:uid="{00000000-0005-0000-0000-0000296A0000}"/>
    <cellStyle name="Normal 2 5 2 3 2 4" xfId="27175" xr:uid="{00000000-0005-0000-0000-00002A6A0000}"/>
    <cellStyle name="Normal 2 5 2 3 2 4 2" xfId="27176" xr:uid="{00000000-0005-0000-0000-00002B6A0000}"/>
    <cellStyle name="Normal 2 5 2 3 2 4 3" xfId="27177" xr:uid="{00000000-0005-0000-0000-00002C6A0000}"/>
    <cellStyle name="Normal 2 5 2 3 2 4 4" xfId="27178" xr:uid="{00000000-0005-0000-0000-00002D6A0000}"/>
    <cellStyle name="Normal 2 5 2 3 2 5" xfId="27179" xr:uid="{00000000-0005-0000-0000-00002E6A0000}"/>
    <cellStyle name="Normal 2 5 2 3 2 5 2" xfId="27180" xr:uid="{00000000-0005-0000-0000-00002F6A0000}"/>
    <cellStyle name="Normal 2 5 2 3 2 6" xfId="27181" xr:uid="{00000000-0005-0000-0000-0000306A0000}"/>
    <cellStyle name="Normal 2 5 2 3 2 7" xfId="27182" xr:uid="{00000000-0005-0000-0000-0000316A0000}"/>
    <cellStyle name="Normal 2 5 2 3 2 8" xfId="27183" xr:uid="{00000000-0005-0000-0000-0000326A0000}"/>
    <cellStyle name="Normal 2 5 2 3 2 9" xfId="27184" xr:uid="{00000000-0005-0000-0000-0000336A0000}"/>
    <cellStyle name="Normal 2 5 2 3 3" xfId="27185" xr:uid="{00000000-0005-0000-0000-0000346A0000}"/>
    <cellStyle name="Normal 2 5 2 3 3 2" xfId="27186" xr:uid="{00000000-0005-0000-0000-0000356A0000}"/>
    <cellStyle name="Normal 2 5 2 3 3 2 2" xfId="27187" xr:uid="{00000000-0005-0000-0000-0000366A0000}"/>
    <cellStyle name="Normal 2 5 2 3 3 2 2 2" xfId="27188" xr:uid="{00000000-0005-0000-0000-0000376A0000}"/>
    <cellStyle name="Normal 2 5 2 3 3 2 2 3" xfId="27189" xr:uid="{00000000-0005-0000-0000-0000386A0000}"/>
    <cellStyle name="Normal 2 5 2 3 3 2 3" xfId="27190" xr:uid="{00000000-0005-0000-0000-0000396A0000}"/>
    <cellStyle name="Normal 2 5 2 3 3 2 4" xfId="27191" xr:uid="{00000000-0005-0000-0000-00003A6A0000}"/>
    <cellStyle name="Normal 2 5 2 3 3 2 5" xfId="27192" xr:uid="{00000000-0005-0000-0000-00003B6A0000}"/>
    <cellStyle name="Normal 2 5 2 3 3 2 6" xfId="27193" xr:uid="{00000000-0005-0000-0000-00003C6A0000}"/>
    <cellStyle name="Normal 2 5 2 3 3 3" xfId="27194" xr:uid="{00000000-0005-0000-0000-00003D6A0000}"/>
    <cellStyle name="Normal 2 5 2 3 3 3 2" xfId="27195" xr:uid="{00000000-0005-0000-0000-00003E6A0000}"/>
    <cellStyle name="Normal 2 5 2 3 3 3 2 2" xfId="27196" xr:uid="{00000000-0005-0000-0000-00003F6A0000}"/>
    <cellStyle name="Normal 2 5 2 3 3 3 3" xfId="27197" xr:uid="{00000000-0005-0000-0000-0000406A0000}"/>
    <cellStyle name="Normal 2 5 2 3 3 3 4" xfId="27198" xr:uid="{00000000-0005-0000-0000-0000416A0000}"/>
    <cellStyle name="Normal 2 5 2 3 3 3 5" xfId="27199" xr:uid="{00000000-0005-0000-0000-0000426A0000}"/>
    <cellStyle name="Normal 2 5 2 3 3 4" xfId="27200" xr:uid="{00000000-0005-0000-0000-0000436A0000}"/>
    <cellStyle name="Normal 2 5 2 3 3 4 2" xfId="27201" xr:uid="{00000000-0005-0000-0000-0000446A0000}"/>
    <cellStyle name="Normal 2 5 2 3 3 4 3" xfId="27202" xr:uid="{00000000-0005-0000-0000-0000456A0000}"/>
    <cellStyle name="Normal 2 5 2 3 3 4 4" xfId="27203" xr:uid="{00000000-0005-0000-0000-0000466A0000}"/>
    <cellStyle name="Normal 2 5 2 3 3 5" xfId="27204" xr:uid="{00000000-0005-0000-0000-0000476A0000}"/>
    <cellStyle name="Normal 2 5 2 3 3 5 2" xfId="27205" xr:uid="{00000000-0005-0000-0000-0000486A0000}"/>
    <cellStyle name="Normal 2 5 2 3 3 6" xfId="27206" xr:uid="{00000000-0005-0000-0000-0000496A0000}"/>
    <cellStyle name="Normal 2 5 2 3 3 7" xfId="27207" xr:uid="{00000000-0005-0000-0000-00004A6A0000}"/>
    <cellStyle name="Normal 2 5 2 3 3 8" xfId="27208" xr:uid="{00000000-0005-0000-0000-00004B6A0000}"/>
    <cellStyle name="Normal 2 5 2 3 3 9" xfId="27209" xr:uid="{00000000-0005-0000-0000-00004C6A0000}"/>
    <cellStyle name="Normal 2 5 2 3 4" xfId="27210" xr:uid="{00000000-0005-0000-0000-00004D6A0000}"/>
    <cellStyle name="Normal 2 5 2 3 4 2" xfId="27211" xr:uid="{00000000-0005-0000-0000-00004E6A0000}"/>
    <cellStyle name="Normal 2 5 2 3 4 2 2" xfId="27212" xr:uid="{00000000-0005-0000-0000-00004F6A0000}"/>
    <cellStyle name="Normal 2 5 2 3 4 2 3" xfId="27213" xr:uid="{00000000-0005-0000-0000-0000506A0000}"/>
    <cellStyle name="Normal 2 5 2 3 4 3" xfId="27214" xr:uid="{00000000-0005-0000-0000-0000516A0000}"/>
    <cellStyle name="Normal 2 5 2 3 4 4" xfId="27215" xr:uid="{00000000-0005-0000-0000-0000526A0000}"/>
    <cellStyle name="Normal 2 5 2 3 4 5" xfId="27216" xr:uid="{00000000-0005-0000-0000-0000536A0000}"/>
    <cellStyle name="Normal 2 5 2 3 4 6" xfId="27217" xr:uid="{00000000-0005-0000-0000-0000546A0000}"/>
    <cellStyle name="Normal 2 5 2 3 5" xfId="27218" xr:uid="{00000000-0005-0000-0000-0000556A0000}"/>
    <cellStyle name="Normal 2 5 2 3 5 2" xfId="27219" xr:uid="{00000000-0005-0000-0000-0000566A0000}"/>
    <cellStyle name="Normal 2 5 2 3 5 2 2" xfId="27220" xr:uid="{00000000-0005-0000-0000-0000576A0000}"/>
    <cellStyle name="Normal 2 5 2 3 5 3" xfId="27221" xr:uid="{00000000-0005-0000-0000-0000586A0000}"/>
    <cellStyle name="Normal 2 5 2 3 5 4" xfId="27222" xr:uid="{00000000-0005-0000-0000-0000596A0000}"/>
    <cellStyle name="Normal 2 5 2 3 5 5" xfId="27223" xr:uid="{00000000-0005-0000-0000-00005A6A0000}"/>
    <cellStyle name="Normal 2 5 2 3 6" xfId="27224" xr:uid="{00000000-0005-0000-0000-00005B6A0000}"/>
    <cellStyle name="Normal 2 5 2 3 6 2" xfId="27225" xr:uid="{00000000-0005-0000-0000-00005C6A0000}"/>
    <cellStyle name="Normal 2 5 2 3 6 3" xfId="27226" xr:uid="{00000000-0005-0000-0000-00005D6A0000}"/>
    <cellStyle name="Normal 2 5 2 3 6 4" xfId="27227" xr:uid="{00000000-0005-0000-0000-00005E6A0000}"/>
    <cellStyle name="Normal 2 5 2 3 7" xfId="27228" xr:uid="{00000000-0005-0000-0000-00005F6A0000}"/>
    <cellStyle name="Normal 2 5 2 3 7 2" xfId="27229" xr:uid="{00000000-0005-0000-0000-0000606A0000}"/>
    <cellStyle name="Normal 2 5 2 3 8" xfId="27230" xr:uid="{00000000-0005-0000-0000-0000616A0000}"/>
    <cellStyle name="Normal 2 5 2 3 9" xfId="27231" xr:uid="{00000000-0005-0000-0000-0000626A0000}"/>
    <cellStyle name="Normal 2 5 2 4" xfId="27232" xr:uid="{00000000-0005-0000-0000-0000636A0000}"/>
    <cellStyle name="Normal 2 5 2 4 10" xfId="27233" xr:uid="{00000000-0005-0000-0000-0000646A0000}"/>
    <cellStyle name="Normal 2 5 2 4 11" xfId="27234" xr:uid="{00000000-0005-0000-0000-0000656A0000}"/>
    <cellStyle name="Normal 2 5 2 4 2" xfId="27235" xr:uid="{00000000-0005-0000-0000-0000666A0000}"/>
    <cellStyle name="Normal 2 5 2 4 2 2" xfId="27236" xr:uid="{00000000-0005-0000-0000-0000676A0000}"/>
    <cellStyle name="Normal 2 5 2 4 2 2 2" xfId="27237" xr:uid="{00000000-0005-0000-0000-0000686A0000}"/>
    <cellStyle name="Normal 2 5 2 4 2 2 2 2" xfId="27238" xr:uid="{00000000-0005-0000-0000-0000696A0000}"/>
    <cellStyle name="Normal 2 5 2 4 2 2 2 3" xfId="27239" xr:uid="{00000000-0005-0000-0000-00006A6A0000}"/>
    <cellStyle name="Normal 2 5 2 4 2 2 3" xfId="27240" xr:uid="{00000000-0005-0000-0000-00006B6A0000}"/>
    <cellStyle name="Normal 2 5 2 4 2 2 4" xfId="27241" xr:uid="{00000000-0005-0000-0000-00006C6A0000}"/>
    <cellStyle name="Normal 2 5 2 4 2 2 5" xfId="27242" xr:uid="{00000000-0005-0000-0000-00006D6A0000}"/>
    <cellStyle name="Normal 2 5 2 4 2 2 6" xfId="27243" xr:uid="{00000000-0005-0000-0000-00006E6A0000}"/>
    <cellStyle name="Normal 2 5 2 4 2 3" xfId="27244" xr:uid="{00000000-0005-0000-0000-00006F6A0000}"/>
    <cellStyle name="Normal 2 5 2 4 2 3 2" xfId="27245" xr:uid="{00000000-0005-0000-0000-0000706A0000}"/>
    <cellStyle name="Normal 2 5 2 4 2 3 2 2" xfId="27246" xr:uid="{00000000-0005-0000-0000-0000716A0000}"/>
    <cellStyle name="Normal 2 5 2 4 2 3 3" xfId="27247" xr:uid="{00000000-0005-0000-0000-0000726A0000}"/>
    <cellStyle name="Normal 2 5 2 4 2 3 4" xfId="27248" xr:uid="{00000000-0005-0000-0000-0000736A0000}"/>
    <cellStyle name="Normal 2 5 2 4 2 3 5" xfId="27249" xr:uid="{00000000-0005-0000-0000-0000746A0000}"/>
    <cellStyle name="Normal 2 5 2 4 2 4" xfId="27250" xr:uid="{00000000-0005-0000-0000-0000756A0000}"/>
    <cellStyle name="Normal 2 5 2 4 2 4 2" xfId="27251" xr:uid="{00000000-0005-0000-0000-0000766A0000}"/>
    <cellStyle name="Normal 2 5 2 4 2 4 3" xfId="27252" xr:uid="{00000000-0005-0000-0000-0000776A0000}"/>
    <cellStyle name="Normal 2 5 2 4 2 4 4" xfId="27253" xr:uid="{00000000-0005-0000-0000-0000786A0000}"/>
    <cellStyle name="Normal 2 5 2 4 2 5" xfId="27254" xr:uid="{00000000-0005-0000-0000-0000796A0000}"/>
    <cellStyle name="Normal 2 5 2 4 2 5 2" xfId="27255" xr:uid="{00000000-0005-0000-0000-00007A6A0000}"/>
    <cellStyle name="Normal 2 5 2 4 2 6" xfId="27256" xr:uid="{00000000-0005-0000-0000-00007B6A0000}"/>
    <cellStyle name="Normal 2 5 2 4 2 7" xfId="27257" xr:uid="{00000000-0005-0000-0000-00007C6A0000}"/>
    <cellStyle name="Normal 2 5 2 4 2 8" xfId="27258" xr:uid="{00000000-0005-0000-0000-00007D6A0000}"/>
    <cellStyle name="Normal 2 5 2 4 2 9" xfId="27259" xr:uid="{00000000-0005-0000-0000-00007E6A0000}"/>
    <cellStyle name="Normal 2 5 2 4 3" xfId="27260" xr:uid="{00000000-0005-0000-0000-00007F6A0000}"/>
    <cellStyle name="Normal 2 5 2 4 3 2" xfId="27261" xr:uid="{00000000-0005-0000-0000-0000806A0000}"/>
    <cellStyle name="Normal 2 5 2 4 3 2 2" xfId="27262" xr:uid="{00000000-0005-0000-0000-0000816A0000}"/>
    <cellStyle name="Normal 2 5 2 4 3 2 2 2" xfId="27263" xr:uid="{00000000-0005-0000-0000-0000826A0000}"/>
    <cellStyle name="Normal 2 5 2 4 3 2 2 3" xfId="27264" xr:uid="{00000000-0005-0000-0000-0000836A0000}"/>
    <cellStyle name="Normal 2 5 2 4 3 2 3" xfId="27265" xr:uid="{00000000-0005-0000-0000-0000846A0000}"/>
    <cellStyle name="Normal 2 5 2 4 3 2 4" xfId="27266" xr:uid="{00000000-0005-0000-0000-0000856A0000}"/>
    <cellStyle name="Normal 2 5 2 4 3 2 5" xfId="27267" xr:uid="{00000000-0005-0000-0000-0000866A0000}"/>
    <cellStyle name="Normal 2 5 2 4 3 2 6" xfId="27268" xr:uid="{00000000-0005-0000-0000-0000876A0000}"/>
    <cellStyle name="Normal 2 5 2 4 3 3" xfId="27269" xr:uid="{00000000-0005-0000-0000-0000886A0000}"/>
    <cellStyle name="Normal 2 5 2 4 3 3 2" xfId="27270" xr:uid="{00000000-0005-0000-0000-0000896A0000}"/>
    <cellStyle name="Normal 2 5 2 4 3 3 2 2" xfId="27271" xr:uid="{00000000-0005-0000-0000-00008A6A0000}"/>
    <cellStyle name="Normal 2 5 2 4 3 3 3" xfId="27272" xr:uid="{00000000-0005-0000-0000-00008B6A0000}"/>
    <cellStyle name="Normal 2 5 2 4 3 3 4" xfId="27273" xr:uid="{00000000-0005-0000-0000-00008C6A0000}"/>
    <cellStyle name="Normal 2 5 2 4 3 3 5" xfId="27274" xr:uid="{00000000-0005-0000-0000-00008D6A0000}"/>
    <cellStyle name="Normal 2 5 2 4 3 4" xfId="27275" xr:uid="{00000000-0005-0000-0000-00008E6A0000}"/>
    <cellStyle name="Normal 2 5 2 4 3 4 2" xfId="27276" xr:uid="{00000000-0005-0000-0000-00008F6A0000}"/>
    <cellStyle name="Normal 2 5 2 4 3 4 3" xfId="27277" xr:uid="{00000000-0005-0000-0000-0000906A0000}"/>
    <cellStyle name="Normal 2 5 2 4 3 4 4" xfId="27278" xr:uid="{00000000-0005-0000-0000-0000916A0000}"/>
    <cellStyle name="Normal 2 5 2 4 3 5" xfId="27279" xr:uid="{00000000-0005-0000-0000-0000926A0000}"/>
    <cellStyle name="Normal 2 5 2 4 3 5 2" xfId="27280" xr:uid="{00000000-0005-0000-0000-0000936A0000}"/>
    <cellStyle name="Normal 2 5 2 4 3 6" xfId="27281" xr:uid="{00000000-0005-0000-0000-0000946A0000}"/>
    <cellStyle name="Normal 2 5 2 4 3 7" xfId="27282" xr:uid="{00000000-0005-0000-0000-0000956A0000}"/>
    <cellStyle name="Normal 2 5 2 4 3 8" xfId="27283" xr:uid="{00000000-0005-0000-0000-0000966A0000}"/>
    <cellStyle name="Normal 2 5 2 4 3 9" xfId="27284" xr:uid="{00000000-0005-0000-0000-0000976A0000}"/>
    <cellStyle name="Normal 2 5 2 4 4" xfId="27285" xr:uid="{00000000-0005-0000-0000-0000986A0000}"/>
    <cellStyle name="Normal 2 5 2 4 4 2" xfId="27286" xr:uid="{00000000-0005-0000-0000-0000996A0000}"/>
    <cellStyle name="Normal 2 5 2 4 4 2 2" xfId="27287" xr:uid="{00000000-0005-0000-0000-00009A6A0000}"/>
    <cellStyle name="Normal 2 5 2 4 4 2 3" xfId="27288" xr:uid="{00000000-0005-0000-0000-00009B6A0000}"/>
    <cellStyle name="Normal 2 5 2 4 4 3" xfId="27289" xr:uid="{00000000-0005-0000-0000-00009C6A0000}"/>
    <cellStyle name="Normal 2 5 2 4 4 4" xfId="27290" xr:uid="{00000000-0005-0000-0000-00009D6A0000}"/>
    <cellStyle name="Normal 2 5 2 4 4 5" xfId="27291" xr:uid="{00000000-0005-0000-0000-00009E6A0000}"/>
    <cellStyle name="Normal 2 5 2 4 4 6" xfId="27292" xr:uid="{00000000-0005-0000-0000-00009F6A0000}"/>
    <cellStyle name="Normal 2 5 2 4 5" xfId="27293" xr:uid="{00000000-0005-0000-0000-0000A06A0000}"/>
    <cellStyle name="Normal 2 5 2 4 5 2" xfId="27294" xr:uid="{00000000-0005-0000-0000-0000A16A0000}"/>
    <cellStyle name="Normal 2 5 2 4 5 2 2" xfId="27295" xr:uid="{00000000-0005-0000-0000-0000A26A0000}"/>
    <cellStyle name="Normal 2 5 2 4 5 3" xfId="27296" xr:uid="{00000000-0005-0000-0000-0000A36A0000}"/>
    <cellStyle name="Normal 2 5 2 4 5 4" xfId="27297" xr:uid="{00000000-0005-0000-0000-0000A46A0000}"/>
    <cellStyle name="Normal 2 5 2 4 5 5" xfId="27298" xr:uid="{00000000-0005-0000-0000-0000A56A0000}"/>
    <cellStyle name="Normal 2 5 2 4 6" xfId="27299" xr:uid="{00000000-0005-0000-0000-0000A66A0000}"/>
    <cellStyle name="Normal 2 5 2 4 6 2" xfId="27300" xr:uid="{00000000-0005-0000-0000-0000A76A0000}"/>
    <cellStyle name="Normal 2 5 2 4 6 3" xfId="27301" xr:uid="{00000000-0005-0000-0000-0000A86A0000}"/>
    <cellStyle name="Normal 2 5 2 4 6 4" xfId="27302" xr:uid="{00000000-0005-0000-0000-0000A96A0000}"/>
    <cellStyle name="Normal 2 5 2 4 7" xfId="27303" xr:uid="{00000000-0005-0000-0000-0000AA6A0000}"/>
    <cellStyle name="Normal 2 5 2 4 7 2" xfId="27304" xr:uid="{00000000-0005-0000-0000-0000AB6A0000}"/>
    <cellStyle name="Normal 2 5 2 4 8" xfId="27305" xr:uid="{00000000-0005-0000-0000-0000AC6A0000}"/>
    <cellStyle name="Normal 2 5 2 4 9" xfId="27306" xr:uid="{00000000-0005-0000-0000-0000AD6A0000}"/>
    <cellStyle name="Normal 2 5 2 5" xfId="27307" xr:uid="{00000000-0005-0000-0000-0000AE6A0000}"/>
    <cellStyle name="Normal 2 5 2 5 10" xfId="27308" xr:uid="{00000000-0005-0000-0000-0000AF6A0000}"/>
    <cellStyle name="Normal 2 5 2 5 11" xfId="27309" xr:uid="{00000000-0005-0000-0000-0000B06A0000}"/>
    <cellStyle name="Normal 2 5 2 5 2" xfId="27310" xr:uid="{00000000-0005-0000-0000-0000B16A0000}"/>
    <cellStyle name="Normal 2 5 2 5 2 2" xfId="27311" xr:uid="{00000000-0005-0000-0000-0000B26A0000}"/>
    <cellStyle name="Normal 2 5 2 5 2 2 2" xfId="27312" xr:uid="{00000000-0005-0000-0000-0000B36A0000}"/>
    <cellStyle name="Normal 2 5 2 5 2 2 2 2" xfId="27313" xr:uid="{00000000-0005-0000-0000-0000B46A0000}"/>
    <cellStyle name="Normal 2 5 2 5 2 2 2 3" xfId="27314" xr:uid="{00000000-0005-0000-0000-0000B56A0000}"/>
    <cellStyle name="Normal 2 5 2 5 2 2 3" xfId="27315" xr:uid="{00000000-0005-0000-0000-0000B66A0000}"/>
    <cellStyle name="Normal 2 5 2 5 2 2 4" xfId="27316" xr:uid="{00000000-0005-0000-0000-0000B76A0000}"/>
    <cellStyle name="Normal 2 5 2 5 2 2 5" xfId="27317" xr:uid="{00000000-0005-0000-0000-0000B86A0000}"/>
    <cellStyle name="Normal 2 5 2 5 2 2 6" xfId="27318" xr:uid="{00000000-0005-0000-0000-0000B96A0000}"/>
    <cellStyle name="Normal 2 5 2 5 2 3" xfId="27319" xr:uid="{00000000-0005-0000-0000-0000BA6A0000}"/>
    <cellStyle name="Normal 2 5 2 5 2 3 2" xfId="27320" xr:uid="{00000000-0005-0000-0000-0000BB6A0000}"/>
    <cellStyle name="Normal 2 5 2 5 2 3 2 2" xfId="27321" xr:uid="{00000000-0005-0000-0000-0000BC6A0000}"/>
    <cellStyle name="Normal 2 5 2 5 2 3 3" xfId="27322" xr:uid="{00000000-0005-0000-0000-0000BD6A0000}"/>
    <cellStyle name="Normal 2 5 2 5 2 3 4" xfId="27323" xr:uid="{00000000-0005-0000-0000-0000BE6A0000}"/>
    <cellStyle name="Normal 2 5 2 5 2 3 5" xfId="27324" xr:uid="{00000000-0005-0000-0000-0000BF6A0000}"/>
    <cellStyle name="Normal 2 5 2 5 2 4" xfId="27325" xr:uid="{00000000-0005-0000-0000-0000C06A0000}"/>
    <cellStyle name="Normal 2 5 2 5 2 4 2" xfId="27326" xr:uid="{00000000-0005-0000-0000-0000C16A0000}"/>
    <cellStyle name="Normal 2 5 2 5 2 4 3" xfId="27327" xr:uid="{00000000-0005-0000-0000-0000C26A0000}"/>
    <cellStyle name="Normal 2 5 2 5 2 4 4" xfId="27328" xr:uid="{00000000-0005-0000-0000-0000C36A0000}"/>
    <cellStyle name="Normal 2 5 2 5 2 5" xfId="27329" xr:uid="{00000000-0005-0000-0000-0000C46A0000}"/>
    <cellStyle name="Normal 2 5 2 5 2 5 2" xfId="27330" xr:uid="{00000000-0005-0000-0000-0000C56A0000}"/>
    <cellStyle name="Normal 2 5 2 5 2 6" xfId="27331" xr:uid="{00000000-0005-0000-0000-0000C66A0000}"/>
    <cellStyle name="Normal 2 5 2 5 2 7" xfId="27332" xr:uid="{00000000-0005-0000-0000-0000C76A0000}"/>
    <cellStyle name="Normal 2 5 2 5 2 8" xfId="27333" xr:uid="{00000000-0005-0000-0000-0000C86A0000}"/>
    <cellStyle name="Normal 2 5 2 5 2 9" xfId="27334" xr:uid="{00000000-0005-0000-0000-0000C96A0000}"/>
    <cellStyle name="Normal 2 5 2 5 3" xfId="27335" xr:uid="{00000000-0005-0000-0000-0000CA6A0000}"/>
    <cellStyle name="Normal 2 5 2 5 3 2" xfId="27336" xr:uid="{00000000-0005-0000-0000-0000CB6A0000}"/>
    <cellStyle name="Normal 2 5 2 5 3 2 2" xfId="27337" xr:uid="{00000000-0005-0000-0000-0000CC6A0000}"/>
    <cellStyle name="Normal 2 5 2 5 3 2 2 2" xfId="27338" xr:uid="{00000000-0005-0000-0000-0000CD6A0000}"/>
    <cellStyle name="Normal 2 5 2 5 3 2 2 3" xfId="27339" xr:uid="{00000000-0005-0000-0000-0000CE6A0000}"/>
    <cellStyle name="Normal 2 5 2 5 3 2 3" xfId="27340" xr:uid="{00000000-0005-0000-0000-0000CF6A0000}"/>
    <cellStyle name="Normal 2 5 2 5 3 2 4" xfId="27341" xr:uid="{00000000-0005-0000-0000-0000D06A0000}"/>
    <cellStyle name="Normal 2 5 2 5 3 2 5" xfId="27342" xr:uid="{00000000-0005-0000-0000-0000D16A0000}"/>
    <cellStyle name="Normal 2 5 2 5 3 2 6" xfId="27343" xr:uid="{00000000-0005-0000-0000-0000D26A0000}"/>
    <cellStyle name="Normal 2 5 2 5 3 3" xfId="27344" xr:uid="{00000000-0005-0000-0000-0000D36A0000}"/>
    <cellStyle name="Normal 2 5 2 5 3 3 2" xfId="27345" xr:uid="{00000000-0005-0000-0000-0000D46A0000}"/>
    <cellStyle name="Normal 2 5 2 5 3 3 2 2" xfId="27346" xr:uid="{00000000-0005-0000-0000-0000D56A0000}"/>
    <cellStyle name="Normal 2 5 2 5 3 3 3" xfId="27347" xr:uid="{00000000-0005-0000-0000-0000D66A0000}"/>
    <cellStyle name="Normal 2 5 2 5 3 3 4" xfId="27348" xr:uid="{00000000-0005-0000-0000-0000D76A0000}"/>
    <cellStyle name="Normal 2 5 2 5 3 3 5" xfId="27349" xr:uid="{00000000-0005-0000-0000-0000D86A0000}"/>
    <cellStyle name="Normal 2 5 2 5 3 4" xfId="27350" xr:uid="{00000000-0005-0000-0000-0000D96A0000}"/>
    <cellStyle name="Normal 2 5 2 5 3 4 2" xfId="27351" xr:uid="{00000000-0005-0000-0000-0000DA6A0000}"/>
    <cellStyle name="Normal 2 5 2 5 3 4 3" xfId="27352" xr:uid="{00000000-0005-0000-0000-0000DB6A0000}"/>
    <cellStyle name="Normal 2 5 2 5 3 4 4" xfId="27353" xr:uid="{00000000-0005-0000-0000-0000DC6A0000}"/>
    <cellStyle name="Normal 2 5 2 5 3 5" xfId="27354" xr:uid="{00000000-0005-0000-0000-0000DD6A0000}"/>
    <cellStyle name="Normal 2 5 2 5 3 5 2" xfId="27355" xr:uid="{00000000-0005-0000-0000-0000DE6A0000}"/>
    <cellStyle name="Normal 2 5 2 5 3 6" xfId="27356" xr:uid="{00000000-0005-0000-0000-0000DF6A0000}"/>
    <cellStyle name="Normal 2 5 2 5 3 7" xfId="27357" xr:uid="{00000000-0005-0000-0000-0000E06A0000}"/>
    <cellStyle name="Normal 2 5 2 5 3 8" xfId="27358" xr:uid="{00000000-0005-0000-0000-0000E16A0000}"/>
    <cellStyle name="Normal 2 5 2 5 3 9" xfId="27359" xr:uid="{00000000-0005-0000-0000-0000E26A0000}"/>
    <cellStyle name="Normal 2 5 2 5 4" xfId="27360" xr:uid="{00000000-0005-0000-0000-0000E36A0000}"/>
    <cellStyle name="Normal 2 5 2 5 4 2" xfId="27361" xr:uid="{00000000-0005-0000-0000-0000E46A0000}"/>
    <cellStyle name="Normal 2 5 2 5 4 2 2" xfId="27362" xr:uid="{00000000-0005-0000-0000-0000E56A0000}"/>
    <cellStyle name="Normal 2 5 2 5 4 2 3" xfId="27363" xr:uid="{00000000-0005-0000-0000-0000E66A0000}"/>
    <cellStyle name="Normal 2 5 2 5 4 3" xfId="27364" xr:uid="{00000000-0005-0000-0000-0000E76A0000}"/>
    <cellStyle name="Normal 2 5 2 5 4 4" xfId="27365" xr:uid="{00000000-0005-0000-0000-0000E86A0000}"/>
    <cellStyle name="Normal 2 5 2 5 4 5" xfId="27366" xr:uid="{00000000-0005-0000-0000-0000E96A0000}"/>
    <cellStyle name="Normal 2 5 2 5 4 6" xfId="27367" xr:uid="{00000000-0005-0000-0000-0000EA6A0000}"/>
    <cellStyle name="Normal 2 5 2 5 5" xfId="27368" xr:uid="{00000000-0005-0000-0000-0000EB6A0000}"/>
    <cellStyle name="Normal 2 5 2 5 5 2" xfId="27369" xr:uid="{00000000-0005-0000-0000-0000EC6A0000}"/>
    <cellStyle name="Normal 2 5 2 5 5 2 2" xfId="27370" xr:uid="{00000000-0005-0000-0000-0000ED6A0000}"/>
    <cellStyle name="Normal 2 5 2 5 5 3" xfId="27371" xr:uid="{00000000-0005-0000-0000-0000EE6A0000}"/>
    <cellStyle name="Normal 2 5 2 5 5 4" xfId="27372" xr:uid="{00000000-0005-0000-0000-0000EF6A0000}"/>
    <cellStyle name="Normal 2 5 2 5 5 5" xfId="27373" xr:uid="{00000000-0005-0000-0000-0000F06A0000}"/>
    <cellStyle name="Normal 2 5 2 5 6" xfId="27374" xr:uid="{00000000-0005-0000-0000-0000F16A0000}"/>
    <cellStyle name="Normal 2 5 2 5 6 2" xfId="27375" xr:uid="{00000000-0005-0000-0000-0000F26A0000}"/>
    <cellStyle name="Normal 2 5 2 5 6 3" xfId="27376" xr:uid="{00000000-0005-0000-0000-0000F36A0000}"/>
    <cellStyle name="Normal 2 5 2 5 6 4" xfId="27377" xr:uid="{00000000-0005-0000-0000-0000F46A0000}"/>
    <cellStyle name="Normal 2 5 2 5 7" xfId="27378" xr:uid="{00000000-0005-0000-0000-0000F56A0000}"/>
    <cellStyle name="Normal 2 5 2 5 7 2" xfId="27379" xr:uid="{00000000-0005-0000-0000-0000F66A0000}"/>
    <cellStyle name="Normal 2 5 2 5 8" xfId="27380" xr:uid="{00000000-0005-0000-0000-0000F76A0000}"/>
    <cellStyle name="Normal 2 5 2 5 9" xfId="27381" xr:uid="{00000000-0005-0000-0000-0000F86A0000}"/>
    <cellStyle name="Normal 2 5 2 6" xfId="27382" xr:uid="{00000000-0005-0000-0000-0000F96A0000}"/>
    <cellStyle name="Normal 2 5 2 6 10" xfId="27383" xr:uid="{00000000-0005-0000-0000-0000FA6A0000}"/>
    <cellStyle name="Normal 2 5 2 6 11" xfId="27384" xr:uid="{00000000-0005-0000-0000-0000FB6A0000}"/>
    <cellStyle name="Normal 2 5 2 6 2" xfId="27385" xr:uid="{00000000-0005-0000-0000-0000FC6A0000}"/>
    <cellStyle name="Normal 2 5 2 6 2 2" xfId="27386" xr:uid="{00000000-0005-0000-0000-0000FD6A0000}"/>
    <cellStyle name="Normal 2 5 2 6 2 2 2" xfId="27387" xr:uid="{00000000-0005-0000-0000-0000FE6A0000}"/>
    <cellStyle name="Normal 2 5 2 6 2 2 2 2" xfId="27388" xr:uid="{00000000-0005-0000-0000-0000FF6A0000}"/>
    <cellStyle name="Normal 2 5 2 6 2 2 2 3" xfId="27389" xr:uid="{00000000-0005-0000-0000-0000006B0000}"/>
    <cellStyle name="Normal 2 5 2 6 2 2 3" xfId="27390" xr:uid="{00000000-0005-0000-0000-0000016B0000}"/>
    <cellStyle name="Normal 2 5 2 6 2 2 4" xfId="27391" xr:uid="{00000000-0005-0000-0000-0000026B0000}"/>
    <cellStyle name="Normal 2 5 2 6 2 2 5" xfId="27392" xr:uid="{00000000-0005-0000-0000-0000036B0000}"/>
    <cellStyle name="Normal 2 5 2 6 2 2 6" xfId="27393" xr:uid="{00000000-0005-0000-0000-0000046B0000}"/>
    <cellStyle name="Normal 2 5 2 6 2 3" xfId="27394" xr:uid="{00000000-0005-0000-0000-0000056B0000}"/>
    <cellStyle name="Normal 2 5 2 6 2 3 2" xfId="27395" xr:uid="{00000000-0005-0000-0000-0000066B0000}"/>
    <cellStyle name="Normal 2 5 2 6 2 3 2 2" xfId="27396" xr:uid="{00000000-0005-0000-0000-0000076B0000}"/>
    <cellStyle name="Normal 2 5 2 6 2 3 3" xfId="27397" xr:uid="{00000000-0005-0000-0000-0000086B0000}"/>
    <cellStyle name="Normal 2 5 2 6 2 3 4" xfId="27398" xr:uid="{00000000-0005-0000-0000-0000096B0000}"/>
    <cellStyle name="Normal 2 5 2 6 2 3 5" xfId="27399" xr:uid="{00000000-0005-0000-0000-00000A6B0000}"/>
    <cellStyle name="Normal 2 5 2 6 2 4" xfId="27400" xr:uid="{00000000-0005-0000-0000-00000B6B0000}"/>
    <cellStyle name="Normal 2 5 2 6 2 4 2" xfId="27401" xr:uid="{00000000-0005-0000-0000-00000C6B0000}"/>
    <cellStyle name="Normal 2 5 2 6 2 4 3" xfId="27402" xr:uid="{00000000-0005-0000-0000-00000D6B0000}"/>
    <cellStyle name="Normal 2 5 2 6 2 4 4" xfId="27403" xr:uid="{00000000-0005-0000-0000-00000E6B0000}"/>
    <cellStyle name="Normal 2 5 2 6 2 5" xfId="27404" xr:uid="{00000000-0005-0000-0000-00000F6B0000}"/>
    <cellStyle name="Normal 2 5 2 6 2 5 2" xfId="27405" xr:uid="{00000000-0005-0000-0000-0000106B0000}"/>
    <cellStyle name="Normal 2 5 2 6 2 6" xfId="27406" xr:uid="{00000000-0005-0000-0000-0000116B0000}"/>
    <cellStyle name="Normal 2 5 2 6 2 7" xfId="27407" xr:uid="{00000000-0005-0000-0000-0000126B0000}"/>
    <cellStyle name="Normal 2 5 2 6 2 8" xfId="27408" xr:uid="{00000000-0005-0000-0000-0000136B0000}"/>
    <cellStyle name="Normal 2 5 2 6 2 9" xfId="27409" xr:uid="{00000000-0005-0000-0000-0000146B0000}"/>
    <cellStyle name="Normal 2 5 2 6 3" xfId="27410" xr:uid="{00000000-0005-0000-0000-0000156B0000}"/>
    <cellStyle name="Normal 2 5 2 6 3 2" xfId="27411" xr:uid="{00000000-0005-0000-0000-0000166B0000}"/>
    <cellStyle name="Normal 2 5 2 6 3 2 2" xfId="27412" xr:uid="{00000000-0005-0000-0000-0000176B0000}"/>
    <cellStyle name="Normal 2 5 2 6 3 2 2 2" xfId="27413" xr:uid="{00000000-0005-0000-0000-0000186B0000}"/>
    <cellStyle name="Normal 2 5 2 6 3 2 2 3" xfId="27414" xr:uid="{00000000-0005-0000-0000-0000196B0000}"/>
    <cellStyle name="Normal 2 5 2 6 3 2 3" xfId="27415" xr:uid="{00000000-0005-0000-0000-00001A6B0000}"/>
    <cellStyle name="Normal 2 5 2 6 3 2 4" xfId="27416" xr:uid="{00000000-0005-0000-0000-00001B6B0000}"/>
    <cellStyle name="Normal 2 5 2 6 3 2 5" xfId="27417" xr:uid="{00000000-0005-0000-0000-00001C6B0000}"/>
    <cellStyle name="Normal 2 5 2 6 3 2 6" xfId="27418" xr:uid="{00000000-0005-0000-0000-00001D6B0000}"/>
    <cellStyle name="Normal 2 5 2 6 3 3" xfId="27419" xr:uid="{00000000-0005-0000-0000-00001E6B0000}"/>
    <cellStyle name="Normal 2 5 2 6 3 3 2" xfId="27420" xr:uid="{00000000-0005-0000-0000-00001F6B0000}"/>
    <cellStyle name="Normal 2 5 2 6 3 3 2 2" xfId="27421" xr:uid="{00000000-0005-0000-0000-0000206B0000}"/>
    <cellStyle name="Normal 2 5 2 6 3 3 3" xfId="27422" xr:uid="{00000000-0005-0000-0000-0000216B0000}"/>
    <cellStyle name="Normal 2 5 2 6 3 3 4" xfId="27423" xr:uid="{00000000-0005-0000-0000-0000226B0000}"/>
    <cellStyle name="Normal 2 5 2 6 3 3 5" xfId="27424" xr:uid="{00000000-0005-0000-0000-0000236B0000}"/>
    <cellStyle name="Normal 2 5 2 6 3 4" xfId="27425" xr:uid="{00000000-0005-0000-0000-0000246B0000}"/>
    <cellStyle name="Normal 2 5 2 6 3 4 2" xfId="27426" xr:uid="{00000000-0005-0000-0000-0000256B0000}"/>
    <cellStyle name="Normal 2 5 2 6 3 4 3" xfId="27427" xr:uid="{00000000-0005-0000-0000-0000266B0000}"/>
    <cellStyle name="Normal 2 5 2 6 3 4 4" xfId="27428" xr:uid="{00000000-0005-0000-0000-0000276B0000}"/>
    <cellStyle name="Normal 2 5 2 6 3 5" xfId="27429" xr:uid="{00000000-0005-0000-0000-0000286B0000}"/>
    <cellStyle name="Normal 2 5 2 6 3 5 2" xfId="27430" xr:uid="{00000000-0005-0000-0000-0000296B0000}"/>
    <cellStyle name="Normal 2 5 2 6 3 6" xfId="27431" xr:uid="{00000000-0005-0000-0000-00002A6B0000}"/>
    <cellStyle name="Normal 2 5 2 6 3 7" xfId="27432" xr:uid="{00000000-0005-0000-0000-00002B6B0000}"/>
    <cellStyle name="Normal 2 5 2 6 3 8" xfId="27433" xr:uid="{00000000-0005-0000-0000-00002C6B0000}"/>
    <cellStyle name="Normal 2 5 2 6 3 9" xfId="27434" xr:uid="{00000000-0005-0000-0000-00002D6B0000}"/>
    <cellStyle name="Normal 2 5 2 6 4" xfId="27435" xr:uid="{00000000-0005-0000-0000-00002E6B0000}"/>
    <cellStyle name="Normal 2 5 2 6 4 2" xfId="27436" xr:uid="{00000000-0005-0000-0000-00002F6B0000}"/>
    <cellStyle name="Normal 2 5 2 6 4 2 2" xfId="27437" xr:uid="{00000000-0005-0000-0000-0000306B0000}"/>
    <cellStyle name="Normal 2 5 2 6 4 2 3" xfId="27438" xr:uid="{00000000-0005-0000-0000-0000316B0000}"/>
    <cellStyle name="Normal 2 5 2 6 4 3" xfId="27439" xr:uid="{00000000-0005-0000-0000-0000326B0000}"/>
    <cellStyle name="Normal 2 5 2 6 4 4" xfId="27440" xr:uid="{00000000-0005-0000-0000-0000336B0000}"/>
    <cellStyle name="Normal 2 5 2 6 4 5" xfId="27441" xr:uid="{00000000-0005-0000-0000-0000346B0000}"/>
    <cellStyle name="Normal 2 5 2 6 4 6" xfId="27442" xr:uid="{00000000-0005-0000-0000-0000356B0000}"/>
    <cellStyle name="Normal 2 5 2 6 5" xfId="27443" xr:uid="{00000000-0005-0000-0000-0000366B0000}"/>
    <cellStyle name="Normal 2 5 2 6 5 2" xfId="27444" xr:uid="{00000000-0005-0000-0000-0000376B0000}"/>
    <cellStyle name="Normal 2 5 2 6 5 2 2" xfId="27445" xr:uid="{00000000-0005-0000-0000-0000386B0000}"/>
    <cellStyle name="Normal 2 5 2 6 5 3" xfId="27446" xr:uid="{00000000-0005-0000-0000-0000396B0000}"/>
    <cellStyle name="Normal 2 5 2 6 5 4" xfId="27447" xr:uid="{00000000-0005-0000-0000-00003A6B0000}"/>
    <cellStyle name="Normal 2 5 2 6 5 5" xfId="27448" xr:uid="{00000000-0005-0000-0000-00003B6B0000}"/>
    <cellStyle name="Normal 2 5 2 6 6" xfId="27449" xr:uid="{00000000-0005-0000-0000-00003C6B0000}"/>
    <cellStyle name="Normal 2 5 2 6 6 2" xfId="27450" xr:uid="{00000000-0005-0000-0000-00003D6B0000}"/>
    <cellStyle name="Normal 2 5 2 6 6 3" xfId="27451" xr:uid="{00000000-0005-0000-0000-00003E6B0000}"/>
    <cellStyle name="Normal 2 5 2 6 6 4" xfId="27452" xr:uid="{00000000-0005-0000-0000-00003F6B0000}"/>
    <cellStyle name="Normal 2 5 2 6 7" xfId="27453" xr:uid="{00000000-0005-0000-0000-0000406B0000}"/>
    <cellStyle name="Normal 2 5 2 6 7 2" xfId="27454" xr:uid="{00000000-0005-0000-0000-0000416B0000}"/>
    <cellStyle name="Normal 2 5 2 6 8" xfId="27455" xr:uid="{00000000-0005-0000-0000-0000426B0000}"/>
    <cellStyle name="Normal 2 5 2 6 9" xfId="27456" xr:uid="{00000000-0005-0000-0000-0000436B0000}"/>
    <cellStyle name="Normal 2 5 2 7" xfId="27457" xr:uid="{00000000-0005-0000-0000-0000446B0000}"/>
    <cellStyle name="Normal 2 5 2 7 10" xfId="27458" xr:uid="{00000000-0005-0000-0000-0000456B0000}"/>
    <cellStyle name="Normal 2 5 2 7 11" xfId="27459" xr:uid="{00000000-0005-0000-0000-0000466B0000}"/>
    <cellStyle name="Normal 2 5 2 7 2" xfId="27460" xr:uid="{00000000-0005-0000-0000-0000476B0000}"/>
    <cellStyle name="Normal 2 5 2 7 2 2" xfId="27461" xr:uid="{00000000-0005-0000-0000-0000486B0000}"/>
    <cellStyle name="Normal 2 5 2 7 2 2 2" xfId="27462" xr:uid="{00000000-0005-0000-0000-0000496B0000}"/>
    <cellStyle name="Normal 2 5 2 7 2 2 2 2" xfId="27463" xr:uid="{00000000-0005-0000-0000-00004A6B0000}"/>
    <cellStyle name="Normal 2 5 2 7 2 2 2 3" xfId="27464" xr:uid="{00000000-0005-0000-0000-00004B6B0000}"/>
    <cellStyle name="Normal 2 5 2 7 2 2 3" xfId="27465" xr:uid="{00000000-0005-0000-0000-00004C6B0000}"/>
    <cellStyle name="Normal 2 5 2 7 2 2 4" xfId="27466" xr:uid="{00000000-0005-0000-0000-00004D6B0000}"/>
    <cellStyle name="Normal 2 5 2 7 2 2 5" xfId="27467" xr:uid="{00000000-0005-0000-0000-00004E6B0000}"/>
    <cellStyle name="Normal 2 5 2 7 2 2 6" xfId="27468" xr:uid="{00000000-0005-0000-0000-00004F6B0000}"/>
    <cellStyle name="Normal 2 5 2 7 2 3" xfId="27469" xr:uid="{00000000-0005-0000-0000-0000506B0000}"/>
    <cellStyle name="Normal 2 5 2 7 2 3 2" xfId="27470" xr:uid="{00000000-0005-0000-0000-0000516B0000}"/>
    <cellStyle name="Normal 2 5 2 7 2 3 2 2" xfId="27471" xr:uid="{00000000-0005-0000-0000-0000526B0000}"/>
    <cellStyle name="Normal 2 5 2 7 2 3 3" xfId="27472" xr:uid="{00000000-0005-0000-0000-0000536B0000}"/>
    <cellStyle name="Normal 2 5 2 7 2 3 4" xfId="27473" xr:uid="{00000000-0005-0000-0000-0000546B0000}"/>
    <cellStyle name="Normal 2 5 2 7 2 3 5" xfId="27474" xr:uid="{00000000-0005-0000-0000-0000556B0000}"/>
    <cellStyle name="Normal 2 5 2 7 2 4" xfId="27475" xr:uid="{00000000-0005-0000-0000-0000566B0000}"/>
    <cellStyle name="Normal 2 5 2 7 2 4 2" xfId="27476" xr:uid="{00000000-0005-0000-0000-0000576B0000}"/>
    <cellStyle name="Normal 2 5 2 7 2 4 3" xfId="27477" xr:uid="{00000000-0005-0000-0000-0000586B0000}"/>
    <cellStyle name="Normal 2 5 2 7 2 4 4" xfId="27478" xr:uid="{00000000-0005-0000-0000-0000596B0000}"/>
    <cellStyle name="Normal 2 5 2 7 2 5" xfId="27479" xr:uid="{00000000-0005-0000-0000-00005A6B0000}"/>
    <cellStyle name="Normal 2 5 2 7 2 5 2" xfId="27480" xr:uid="{00000000-0005-0000-0000-00005B6B0000}"/>
    <cellStyle name="Normal 2 5 2 7 2 6" xfId="27481" xr:uid="{00000000-0005-0000-0000-00005C6B0000}"/>
    <cellStyle name="Normal 2 5 2 7 2 7" xfId="27482" xr:uid="{00000000-0005-0000-0000-00005D6B0000}"/>
    <cellStyle name="Normal 2 5 2 7 2 8" xfId="27483" xr:uid="{00000000-0005-0000-0000-00005E6B0000}"/>
    <cellStyle name="Normal 2 5 2 7 2 9" xfId="27484" xr:uid="{00000000-0005-0000-0000-00005F6B0000}"/>
    <cellStyle name="Normal 2 5 2 7 3" xfId="27485" xr:uid="{00000000-0005-0000-0000-0000606B0000}"/>
    <cellStyle name="Normal 2 5 2 7 3 2" xfId="27486" xr:uid="{00000000-0005-0000-0000-0000616B0000}"/>
    <cellStyle name="Normal 2 5 2 7 3 2 2" xfId="27487" xr:uid="{00000000-0005-0000-0000-0000626B0000}"/>
    <cellStyle name="Normal 2 5 2 7 3 2 2 2" xfId="27488" xr:uid="{00000000-0005-0000-0000-0000636B0000}"/>
    <cellStyle name="Normal 2 5 2 7 3 2 2 3" xfId="27489" xr:uid="{00000000-0005-0000-0000-0000646B0000}"/>
    <cellStyle name="Normal 2 5 2 7 3 2 3" xfId="27490" xr:uid="{00000000-0005-0000-0000-0000656B0000}"/>
    <cellStyle name="Normal 2 5 2 7 3 2 4" xfId="27491" xr:uid="{00000000-0005-0000-0000-0000666B0000}"/>
    <cellStyle name="Normal 2 5 2 7 3 2 5" xfId="27492" xr:uid="{00000000-0005-0000-0000-0000676B0000}"/>
    <cellStyle name="Normal 2 5 2 7 3 2 6" xfId="27493" xr:uid="{00000000-0005-0000-0000-0000686B0000}"/>
    <cellStyle name="Normal 2 5 2 7 3 3" xfId="27494" xr:uid="{00000000-0005-0000-0000-0000696B0000}"/>
    <cellStyle name="Normal 2 5 2 7 3 3 2" xfId="27495" xr:uid="{00000000-0005-0000-0000-00006A6B0000}"/>
    <cellStyle name="Normal 2 5 2 7 3 3 2 2" xfId="27496" xr:uid="{00000000-0005-0000-0000-00006B6B0000}"/>
    <cellStyle name="Normal 2 5 2 7 3 3 3" xfId="27497" xr:uid="{00000000-0005-0000-0000-00006C6B0000}"/>
    <cellStyle name="Normal 2 5 2 7 3 3 4" xfId="27498" xr:uid="{00000000-0005-0000-0000-00006D6B0000}"/>
    <cellStyle name="Normal 2 5 2 7 3 3 5" xfId="27499" xr:uid="{00000000-0005-0000-0000-00006E6B0000}"/>
    <cellStyle name="Normal 2 5 2 7 3 4" xfId="27500" xr:uid="{00000000-0005-0000-0000-00006F6B0000}"/>
    <cellStyle name="Normal 2 5 2 7 3 4 2" xfId="27501" xr:uid="{00000000-0005-0000-0000-0000706B0000}"/>
    <cellStyle name="Normal 2 5 2 7 3 4 3" xfId="27502" xr:uid="{00000000-0005-0000-0000-0000716B0000}"/>
    <cellStyle name="Normal 2 5 2 7 3 4 4" xfId="27503" xr:uid="{00000000-0005-0000-0000-0000726B0000}"/>
    <cellStyle name="Normal 2 5 2 7 3 5" xfId="27504" xr:uid="{00000000-0005-0000-0000-0000736B0000}"/>
    <cellStyle name="Normal 2 5 2 7 3 5 2" xfId="27505" xr:uid="{00000000-0005-0000-0000-0000746B0000}"/>
    <cellStyle name="Normal 2 5 2 7 3 6" xfId="27506" xr:uid="{00000000-0005-0000-0000-0000756B0000}"/>
    <cellStyle name="Normal 2 5 2 7 3 7" xfId="27507" xr:uid="{00000000-0005-0000-0000-0000766B0000}"/>
    <cellStyle name="Normal 2 5 2 7 3 8" xfId="27508" xr:uid="{00000000-0005-0000-0000-0000776B0000}"/>
    <cellStyle name="Normal 2 5 2 7 3 9" xfId="27509" xr:uid="{00000000-0005-0000-0000-0000786B0000}"/>
    <cellStyle name="Normal 2 5 2 7 4" xfId="27510" xr:uid="{00000000-0005-0000-0000-0000796B0000}"/>
    <cellStyle name="Normal 2 5 2 7 4 2" xfId="27511" xr:uid="{00000000-0005-0000-0000-00007A6B0000}"/>
    <cellStyle name="Normal 2 5 2 7 4 2 2" xfId="27512" xr:uid="{00000000-0005-0000-0000-00007B6B0000}"/>
    <cellStyle name="Normal 2 5 2 7 4 2 3" xfId="27513" xr:uid="{00000000-0005-0000-0000-00007C6B0000}"/>
    <cellStyle name="Normal 2 5 2 7 4 3" xfId="27514" xr:uid="{00000000-0005-0000-0000-00007D6B0000}"/>
    <cellStyle name="Normal 2 5 2 7 4 4" xfId="27515" xr:uid="{00000000-0005-0000-0000-00007E6B0000}"/>
    <cellStyle name="Normal 2 5 2 7 4 5" xfId="27516" xr:uid="{00000000-0005-0000-0000-00007F6B0000}"/>
    <cellStyle name="Normal 2 5 2 7 4 6" xfId="27517" xr:uid="{00000000-0005-0000-0000-0000806B0000}"/>
    <cellStyle name="Normal 2 5 2 7 5" xfId="27518" xr:uid="{00000000-0005-0000-0000-0000816B0000}"/>
    <cellStyle name="Normal 2 5 2 7 5 2" xfId="27519" xr:uid="{00000000-0005-0000-0000-0000826B0000}"/>
    <cellStyle name="Normal 2 5 2 7 5 2 2" xfId="27520" xr:uid="{00000000-0005-0000-0000-0000836B0000}"/>
    <cellStyle name="Normal 2 5 2 7 5 3" xfId="27521" xr:uid="{00000000-0005-0000-0000-0000846B0000}"/>
    <cellStyle name="Normal 2 5 2 7 5 4" xfId="27522" xr:uid="{00000000-0005-0000-0000-0000856B0000}"/>
    <cellStyle name="Normal 2 5 2 7 5 5" xfId="27523" xr:uid="{00000000-0005-0000-0000-0000866B0000}"/>
    <cellStyle name="Normal 2 5 2 7 6" xfId="27524" xr:uid="{00000000-0005-0000-0000-0000876B0000}"/>
    <cellStyle name="Normal 2 5 2 7 6 2" xfId="27525" xr:uid="{00000000-0005-0000-0000-0000886B0000}"/>
    <cellStyle name="Normal 2 5 2 7 6 3" xfId="27526" xr:uid="{00000000-0005-0000-0000-0000896B0000}"/>
    <cellStyle name="Normal 2 5 2 7 6 4" xfId="27527" xr:uid="{00000000-0005-0000-0000-00008A6B0000}"/>
    <cellStyle name="Normal 2 5 2 7 7" xfId="27528" xr:uid="{00000000-0005-0000-0000-00008B6B0000}"/>
    <cellStyle name="Normal 2 5 2 7 7 2" xfId="27529" xr:uid="{00000000-0005-0000-0000-00008C6B0000}"/>
    <cellStyle name="Normal 2 5 2 7 8" xfId="27530" xr:uid="{00000000-0005-0000-0000-00008D6B0000}"/>
    <cellStyle name="Normal 2 5 2 7 9" xfId="27531" xr:uid="{00000000-0005-0000-0000-00008E6B0000}"/>
    <cellStyle name="Normal 2 5 2 8" xfId="27532" xr:uid="{00000000-0005-0000-0000-00008F6B0000}"/>
    <cellStyle name="Normal 2 5 2 8 10" xfId="27533" xr:uid="{00000000-0005-0000-0000-0000906B0000}"/>
    <cellStyle name="Normal 2 5 2 8 2" xfId="27534" xr:uid="{00000000-0005-0000-0000-0000916B0000}"/>
    <cellStyle name="Normal 2 5 2 8 2 2" xfId="27535" xr:uid="{00000000-0005-0000-0000-0000926B0000}"/>
    <cellStyle name="Normal 2 5 2 8 2 2 2" xfId="27536" xr:uid="{00000000-0005-0000-0000-0000936B0000}"/>
    <cellStyle name="Normal 2 5 2 8 2 2 3" xfId="27537" xr:uid="{00000000-0005-0000-0000-0000946B0000}"/>
    <cellStyle name="Normal 2 5 2 8 2 3" xfId="27538" xr:uid="{00000000-0005-0000-0000-0000956B0000}"/>
    <cellStyle name="Normal 2 5 2 8 2 4" xfId="27539" xr:uid="{00000000-0005-0000-0000-0000966B0000}"/>
    <cellStyle name="Normal 2 5 2 8 2 5" xfId="27540" xr:uid="{00000000-0005-0000-0000-0000976B0000}"/>
    <cellStyle name="Normal 2 5 2 8 2 6" xfId="27541" xr:uid="{00000000-0005-0000-0000-0000986B0000}"/>
    <cellStyle name="Normal 2 5 2 8 3" xfId="27542" xr:uid="{00000000-0005-0000-0000-0000996B0000}"/>
    <cellStyle name="Normal 2 5 2 8 3 2" xfId="27543" xr:uid="{00000000-0005-0000-0000-00009A6B0000}"/>
    <cellStyle name="Normal 2 5 2 8 3 2 2" xfId="27544" xr:uid="{00000000-0005-0000-0000-00009B6B0000}"/>
    <cellStyle name="Normal 2 5 2 8 3 2 3" xfId="27545" xr:uid="{00000000-0005-0000-0000-00009C6B0000}"/>
    <cellStyle name="Normal 2 5 2 8 3 3" xfId="27546" xr:uid="{00000000-0005-0000-0000-00009D6B0000}"/>
    <cellStyle name="Normal 2 5 2 8 3 4" xfId="27547" xr:uid="{00000000-0005-0000-0000-00009E6B0000}"/>
    <cellStyle name="Normal 2 5 2 8 3 5" xfId="27548" xr:uid="{00000000-0005-0000-0000-00009F6B0000}"/>
    <cellStyle name="Normal 2 5 2 8 3 6" xfId="27549" xr:uid="{00000000-0005-0000-0000-0000A06B0000}"/>
    <cellStyle name="Normal 2 5 2 8 4" xfId="27550" xr:uid="{00000000-0005-0000-0000-0000A16B0000}"/>
    <cellStyle name="Normal 2 5 2 8 4 2" xfId="27551" xr:uid="{00000000-0005-0000-0000-0000A26B0000}"/>
    <cellStyle name="Normal 2 5 2 8 4 2 2" xfId="27552" xr:uid="{00000000-0005-0000-0000-0000A36B0000}"/>
    <cellStyle name="Normal 2 5 2 8 4 3" xfId="27553" xr:uid="{00000000-0005-0000-0000-0000A46B0000}"/>
    <cellStyle name="Normal 2 5 2 8 4 4" xfId="27554" xr:uid="{00000000-0005-0000-0000-0000A56B0000}"/>
    <cellStyle name="Normal 2 5 2 8 4 5" xfId="27555" xr:uid="{00000000-0005-0000-0000-0000A66B0000}"/>
    <cellStyle name="Normal 2 5 2 8 5" xfId="27556" xr:uid="{00000000-0005-0000-0000-0000A76B0000}"/>
    <cellStyle name="Normal 2 5 2 8 5 2" xfId="27557" xr:uid="{00000000-0005-0000-0000-0000A86B0000}"/>
    <cellStyle name="Normal 2 5 2 8 5 3" xfId="27558" xr:uid="{00000000-0005-0000-0000-0000A96B0000}"/>
    <cellStyle name="Normal 2 5 2 8 5 4" xfId="27559" xr:uid="{00000000-0005-0000-0000-0000AA6B0000}"/>
    <cellStyle name="Normal 2 5 2 8 6" xfId="27560" xr:uid="{00000000-0005-0000-0000-0000AB6B0000}"/>
    <cellStyle name="Normal 2 5 2 8 6 2" xfId="27561" xr:uid="{00000000-0005-0000-0000-0000AC6B0000}"/>
    <cellStyle name="Normal 2 5 2 8 7" xfId="27562" xr:uid="{00000000-0005-0000-0000-0000AD6B0000}"/>
    <cellStyle name="Normal 2 5 2 8 8" xfId="27563" xr:uid="{00000000-0005-0000-0000-0000AE6B0000}"/>
    <cellStyle name="Normal 2 5 2 8 9" xfId="27564" xr:uid="{00000000-0005-0000-0000-0000AF6B0000}"/>
    <cellStyle name="Normal 2 5 2 9" xfId="27565" xr:uid="{00000000-0005-0000-0000-0000B06B0000}"/>
    <cellStyle name="Normal 2 5 2 9 10" xfId="27566" xr:uid="{00000000-0005-0000-0000-0000B16B0000}"/>
    <cellStyle name="Normal 2 5 2 9 2" xfId="27567" xr:uid="{00000000-0005-0000-0000-0000B26B0000}"/>
    <cellStyle name="Normal 2 5 2 9 2 2" xfId="27568" xr:uid="{00000000-0005-0000-0000-0000B36B0000}"/>
    <cellStyle name="Normal 2 5 2 9 2 2 2" xfId="27569" xr:uid="{00000000-0005-0000-0000-0000B46B0000}"/>
    <cellStyle name="Normal 2 5 2 9 2 2 3" xfId="27570" xr:uid="{00000000-0005-0000-0000-0000B56B0000}"/>
    <cellStyle name="Normal 2 5 2 9 2 3" xfId="27571" xr:uid="{00000000-0005-0000-0000-0000B66B0000}"/>
    <cellStyle name="Normal 2 5 2 9 2 4" xfId="27572" xr:uid="{00000000-0005-0000-0000-0000B76B0000}"/>
    <cellStyle name="Normal 2 5 2 9 2 5" xfId="27573" xr:uid="{00000000-0005-0000-0000-0000B86B0000}"/>
    <cellStyle name="Normal 2 5 2 9 2 6" xfId="27574" xr:uid="{00000000-0005-0000-0000-0000B96B0000}"/>
    <cellStyle name="Normal 2 5 2 9 3" xfId="27575" xr:uid="{00000000-0005-0000-0000-0000BA6B0000}"/>
    <cellStyle name="Normal 2 5 2 9 3 2" xfId="27576" xr:uid="{00000000-0005-0000-0000-0000BB6B0000}"/>
    <cellStyle name="Normal 2 5 2 9 3 2 2" xfId="27577" xr:uid="{00000000-0005-0000-0000-0000BC6B0000}"/>
    <cellStyle name="Normal 2 5 2 9 3 2 3" xfId="27578" xr:uid="{00000000-0005-0000-0000-0000BD6B0000}"/>
    <cellStyle name="Normal 2 5 2 9 3 3" xfId="27579" xr:uid="{00000000-0005-0000-0000-0000BE6B0000}"/>
    <cellStyle name="Normal 2 5 2 9 3 4" xfId="27580" xr:uid="{00000000-0005-0000-0000-0000BF6B0000}"/>
    <cellStyle name="Normal 2 5 2 9 3 5" xfId="27581" xr:uid="{00000000-0005-0000-0000-0000C06B0000}"/>
    <cellStyle name="Normal 2 5 2 9 3 6" xfId="27582" xr:uid="{00000000-0005-0000-0000-0000C16B0000}"/>
    <cellStyle name="Normal 2 5 2 9 4" xfId="27583" xr:uid="{00000000-0005-0000-0000-0000C26B0000}"/>
    <cellStyle name="Normal 2 5 2 9 4 2" xfId="27584" xr:uid="{00000000-0005-0000-0000-0000C36B0000}"/>
    <cellStyle name="Normal 2 5 2 9 4 2 2" xfId="27585" xr:uid="{00000000-0005-0000-0000-0000C46B0000}"/>
    <cellStyle name="Normal 2 5 2 9 4 3" xfId="27586" xr:uid="{00000000-0005-0000-0000-0000C56B0000}"/>
    <cellStyle name="Normal 2 5 2 9 4 4" xfId="27587" xr:uid="{00000000-0005-0000-0000-0000C66B0000}"/>
    <cellStyle name="Normal 2 5 2 9 4 5" xfId="27588" xr:uid="{00000000-0005-0000-0000-0000C76B0000}"/>
    <cellStyle name="Normal 2 5 2 9 5" xfId="27589" xr:uid="{00000000-0005-0000-0000-0000C86B0000}"/>
    <cellStyle name="Normal 2 5 2 9 5 2" xfId="27590" xr:uid="{00000000-0005-0000-0000-0000C96B0000}"/>
    <cellStyle name="Normal 2 5 2 9 5 3" xfId="27591" xr:uid="{00000000-0005-0000-0000-0000CA6B0000}"/>
    <cellStyle name="Normal 2 5 2 9 5 4" xfId="27592" xr:uid="{00000000-0005-0000-0000-0000CB6B0000}"/>
    <cellStyle name="Normal 2 5 2 9 6" xfId="27593" xr:uid="{00000000-0005-0000-0000-0000CC6B0000}"/>
    <cellStyle name="Normal 2 5 2 9 6 2" xfId="27594" xr:uid="{00000000-0005-0000-0000-0000CD6B0000}"/>
    <cellStyle name="Normal 2 5 2 9 7" xfId="27595" xr:uid="{00000000-0005-0000-0000-0000CE6B0000}"/>
    <cellStyle name="Normal 2 5 2 9 8" xfId="27596" xr:uid="{00000000-0005-0000-0000-0000CF6B0000}"/>
    <cellStyle name="Normal 2 5 2 9 9" xfId="27597" xr:uid="{00000000-0005-0000-0000-0000D06B0000}"/>
    <cellStyle name="Normal 2 5 3" xfId="27598" xr:uid="{00000000-0005-0000-0000-0000D16B0000}"/>
    <cellStyle name="Normal 2 5 3 2" xfId="27599" xr:uid="{00000000-0005-0000-0000-0000D26B0000}"/>
    <cellStyle name="Normal 2 5 4" xfId="27600" xr:uid="{00000000-0005-0000-0000-0000D36B0000}"/>
    <cellStyle name="Normal 2 5 4 2" xfId="27601" xr:uid="{00000000-0005-0000-0000-0000D46B0000}"/>
    <cellStyle name="Normal 2 5 5" xfId="27602" xr:uid="{00000000-0005-0000-0000-0000D56B0000}"/>
    <cellStyle name="Normal 2 5 6" xfId="27603" xr:uid="{00000000-0005-0000-0000-0000D66B0000}"/>
    <cellStyle name="Normal 2 5 7" xfId="27604" xr:uid="{00000000-0005-0000-0000-0000D76B0000}"/>
    <cellStyle name="Normal 2 5 8" xfId="27605" xr:uid="{00000000-0005-0000-0000-0000D86B0000}"/>
    <cellStyle name="Normal 2 5 9" xfId="27606" xr:uid="{00000000-0005-0000-0000-0000D96B0000}"/>
    <cellStyle name="Normal 2 50" xfId="27607" xr:uid="{00000000-0005-0000-0000-0000DA6B0000}"/>
    <cellStyle name="Normal 2 50 10" xfId="27608" xr:uid="{00000000-0005-0000-0000-0000DB6B0000}"/>
    <cellStyle name="Normal 2 50 2" xfId="27609" xr:uid="{00000000-0005-0000-0000-0000DC6B0000}"/>
    <cellStyle name="Normal 2 50 2 2" xfId="27610" xr:uid="{00000000-0005-0000-0000-0000DD6B0000}"/>
    <cellStyle name="Normal 2 50 2 2 2" xfId="27611" xr:uid="{00000000-0005-0000-0000-0000DE6B0000}"/>
    <cellStyle name="Normal 2 50 2 2 3" xfId="27612" xr:uid="{00000000-0005-0000-0000-0000DF6B0000}"/>
    <cellStyle name="Normal 2 50 2 3" xfId="27613" xr:uid="{00000000-0005-0000-0000-0000E06B0000}"/>
    <cellStyle name="Normal 2 50 2 4" xfId="27614" xr:uid="{00000000-0005-0000-0000-0000E16B0000}"/>
    <cellStyle name="Normal 2 50 2 5" xfId="27615" xr:uid="{00000000-0005-0000-0000-0000E26B0000}"/>
    <cellStyle name="Normal 2 50 2 6" xfId="27616" xr:uid="{00000000-0005-0000-0000-0000E36B0000}"/>
    <cellStyle name="Normal 2 50 3" xfId="27617" xr:uid="{00000000-0005-0000-0000-0000E46B0000}"/>
    <cellStyle name="Normal 2 50 3 2" xfId="27618" xr:uid="{00000000-0005-0000-0000-0000E56B0000}"/>
    <cellStyle name="Normal 2 50 3 2 2" xfId="27619" xr:uid="{00000000-0005-0000-0000-0000E66B0000}"/>
    <cellStyle name="Normal 2 50 3 2 3" xfId="27620" xr:uid="{00000000-0005-0000-0000-0000E76B0000}"/>
    <cellStyle name="Normal 2 50 3 3" xfId="27621" xr:uid="{00000000-0005-0000-0000-0000E86B0000}"/>
    <cellStyle name="Normal 2 50 3 4" xfId="27622" xr:uid="{00000000-0005-0000-0000-0000E96B0000}"/>
    <cellStyle name="Normal 2 50 3 5" xfId="27623" xr:uid="{00000000-0005-0000-0000-0000EA6B0000}"/>
    <cellStyle name="Normal 2 50 3 6" xfId="27624" xr:uid="{00000000-0005-0000-0000-0000EB6B0000}"/>
    <cellStyle name="Normal 2 50 4" xfId="27625" xr:uid="{00000000-0005-0000-0000-0000EC6B0000}"/>
    <cellStyle name="Normal 2 50 4 2" xfId="27626" xr:uid="{00000000-0005-0000-0000-0000ED6B0000}"/>
    <cellStyle name="Normal 2 50 4 2 2" xfId="27627" xr:uid="{00000000-0005-0000-0000-0000EE6B0000}"/>
    <cellStyle name="Normal 2 50 4 3" xfId="27628" xr:uid="{00000000-0005-0000-0000-0000EF6B0000}"/>
    <cellStyle name="Normal 2 50 4 4" xfId="27629" xr:uid="{00000000-0005-0000-0000-0000F06B0000}"/>
    <cellStyle name="Normal 2 50 4 5" xfId="27630" xr:uid="{00000000-0005-0000-0000-0000F16B0000}"/>
    <cellStyle name="Normal 2 50 5" xfId="27631" xr:uid="{00000000-0005-0000-0000-0000F26B0000}"/>
    <cellStyle name="Normal 2 50 5 2" xfId="27632" xr:uid="{00000000-0005-0000-0000-0000F36B0000}"/>
    <cellStyle name="Normal 2 50 5 3" xfId="27633" xr:uid="{00000000-0005-0000-0000-0000F46B0000}"/>
    <cellStyle name="Normal 2 50 5 4" xfId="27634" xr:uid="{00000000-0005-0000-0000-0000F56B0000}"/>
    <cellStyle name="Normal 2 50 6" xfId="27635" xr:uid="{00000000-0005-0000-0000-0000F66B0000}"/>
    <cellStyle name="Normal 2 50 6 2" xfId="27636" xr:uid="{00000000-0005-0000-0000-0000F76B0000}"/>
    <cellStyle name="Normal 2 50 7" xfId="27637" xr:uid="{00000000-0005-0000-0000-0000F86B0000}"/>
    <cellStyle name="Normal 2 50 8" xfId="27638" xr:uid="{00000000-0005-0000-0000-0000F96B0000}"/>
    <cellStyle name="Normal 2 50 9" xfId="27639" xr:uid="{00000000-0005-0000-0000-0000FA6B0000}"/>
    <cellStyle name="Normal 2 51" xfId="27640" xr:uid="{00000000-0005-0000-0000-0000FB6B0000}"/>
    <cellStyle name="Normal 2 51 10" xfId="27641" xr:uid="{00000000-0005-0000-0000-0000FC6B0000}"/>
    <cellStyle name="Normal 2 51 2" xfId="27642" xr:uid="{00000000-0005-0000-0000-0000FD6B0000}"/>
    <cellStyle name="Normal 2 51 2 2" xfId="27643" xr:uid="{00000000-0005-0000-0000-0000FE6B0000}"/>
    <cellStyle name="Normal 2 51 2 2 2" xfId="27644" xr:uid="{00000000-0005-0000-0000-0000FF6B0000}"/>
    <cellStyle name="Normal 2 51 2 2 3" xfId="27645" xr:uid="{00000000-0005-0000-0000-0000006C0000}"/>
    <cellStyle name="Normal 2 51 2 3" xfId="27646" xr:uid="{00000000-0005-0000-0000-0000016C0000}"/>
    <cellStyle name="Normal 2 51 2 4" xfId="27647" xr:uid="{00000000-0005-0000-0000-0000026C0000}"/>
    <cellStyle name="Normal 2 51 2 5" xfId="27648" xr:uid="{00000000-0005-0000-0000-0000036C0000}"/>
    <cellStyle name="Normal 2 51 2 6" xfId="27649" xr:uid="{00000000-0005-0000-0000-0000046C0000}"/>
    <cellStyle name="Normal 2 51 3" xfId="27650" xr:uid="{00000000-0005-0000-0000-0000056C0000}"/>
    <cellStyle name="Normal 2 51 3 2" xfId="27651" xr:uid="{00000000-0005-0000-0000-0000066C0000}"/>
    <cellStyle name="Normal 2 51 3 2 2" xfId="27652" xr:uid="{00000000-0005-0000-0000-0000076C0000}"/>
    <cellStyle name="Normal 2 51 3 2 3" xfId="27653" xr:uid="{00000000-0005-0000-0000-0000086C0000}"/>
    <cellStyle name="Normal 2 51 3 3" xfId="27654" xr:uid="{00000000-0005-0000-0000-0000096C0000}"/>
    <cellStyle name="Normal 2 51 3 4" xfId="27655" xr:uid="{00000000-0005-0000-0000-00000A6C0000}"/>
    <cellStyle name="Normal 2 51 3 5" xfId="27656" xr:uid="{00000000-0005-0000-0000-00000B6C0000}"/>
    <cellStyle name="Normal 2 51 3 6" xfId="27657" xr:uid="{00000000-0005-0000-0000-00000C6C0000}"/>
    <cellStyle name="Normal 2 51 4" xfId="27658" xr:uid="{00000000-0005-0000-0000-00000D6C0000}"/>
    <cellStyle name="Normal 2 51 4 2" xfId="27659" xr:uid="{00000000-0005-0000-0000-00000E6C0000}"/>
    <cellStyle name="Normal 2 51 4 2 2" xfId="27660" xr:uid="{00000000-0005-0000-0000-00000F6C0000}"/>
    <cellStyle name="Normal 2 51 4 3" xfId="27661" xr:uid="{00000000-0005-0000-0000-0000106C0000}"/>
    <cellStyle name="Normal 2 51 4 4" xfId="27662" xr:uid="{00000000-0005-0000-0000-0000116C0000}"/>
    <cellStyle name="Normal 2 51 4 5" xfId="27663" xr:uid="{00000000-0005-0000-0000-0000126C0000}"/>
    <cellStyle name="Normal 2 51 5" xfId="27664" xr:uid="{00000000-0005-0000-0000-0000136C0000}"/>
    <cellStyle name="Normal 2 51 5 2" xfId="27665" xr:uid="{00000000-0005-0000-0000-0000146C0000}"/>
    <cellStyle name="Normal 2 51 5 3" xfId="27666" xr:uid="{00000000-0005-0000-0000-0000156C0000}"/>
    <cellStyle name="Normal 2 51 5 4" xfId="27667" xr:uid="{00000000-0005-0000-0000-0000166C0000}"/>
    <cellStyle name="Normal 2 51 6" xfId="27668" xr:uid="{00000000-0005-0000-0000-0000176C0000}"/>
    <cellStyle name="Normal 2 51 6 2" xfId="27669" xr:uid="{00000000-0005-0000-0000-0000186C0000}"/>
    <cellStyle name="Normal 2 51 7" xfId="27670" xr:uid="{00000000-0005-0000-0000-0000196C0000}"/>
    <cellStyle name="Normal 2 51 8" xfId="27671" xr:uid="{00000000-0005-0000-0000-00001A6C0000}"/>
    <cellStyle name="Normal 2 51 9" xfId="27672" xr:uid="{00000000-0005-0000-0000-00001B6C0000}"/>
    <cellStyle name="Normal 2 52" xfId="27673" xr:uid="{00000000-0005-0000-0000-00001C6C0000}"/>
    <cellStyle name="Normal 2 52 10" xfId="27674" xr:uid="{00000000-0005-0000-0000-00001D6C0000}"/>
    <cellStyle name="Normal 2 52 2" xfId="27675" xr:uid="{00000000-0005-0000-0000-00001E6C0000}"/>
    <cellStyle name="Normal 2 52 2 2" xfId="27676" xr:uid="{00000000-0005-0000-0000-00001F6C0000}"/>
    <cellStyle name="Normal 2 52 2 2 2" xfId="27677" xr:uid="{00000000-0005-0000-0000-0000206C0000}"/>
    <cellStyle name="Normal 2 52 2 2 3" xfId="27678" xr:uid="{00000000-0005-0000-0000-0000216C0000}"/>
    <cellStyle name="Normal 2 52 2 3" xfId="27679" xr:uid="{00000000-0005-0000-0000-0000226C0000}"/>
    <cellStyle name="Normal 2 52 2 4" xfId="27680" xr:uid="{00000000-0005-0000-0000-0000236C0000}"/>
    <cellStyle name="Normal 2 52 2 5" xfId="27681" xr:uid="{00000000-0005-0000-0000-0000246C0000}"/>
    <cellStyle name="Normal 2 52 2 6" xfId="27682" xr:uid="{00000000-0005-0000-0000-0000256C0000}"/>
    <cellStyle name="Normal 2 52 3" xfId="27683" xr:uid="{00000000-0005-0000-0000-0000266C0000}"/>
    <cellStyle name="Normal 2 52 3 2" xfId="27684" xr:uid="{00000000-0005-0000-0000-0000276C0000}"/>
    <cellStyle name="Normal 2 52 3 2 2" xfId="27685" xr:uid="{00000000-0005-0000-0000-0000286C0000}"/>
    <cellStyle name="Normal 2 52 3 2 3" xfId="27686" xr:uid="{00000000-0005-0000-0000-0000296C0000}"/>
    <cellStyle name="Normal 2 52 3 3" xfId="27687" xr:uid="{00000000-0005-0000-0000-00002A6C0000}"/>
    <cellStyle name="Normal 2 52 3 4" xfId="27688" xr:uid="{00000000-0005-0000-0000-00002B6C0000}"/>
    <cellStyle name="Normal 2 52 3 5" xfId="27689" xr:uid="{00000000-0005-0000-0000-00002C6C0000}"/>
    <cellStyle name="Normal 2 52 3 6" xfId="27690" xr:uid="{00000000-0005-0000-0000-00002D6C0000}"/>
    <cellStyle name="Normal 2 52 4" xfId="27691" xr:uid="{00000000-0005-0000-0000-00002E6C0000}"/>
    <cellStyle name="Normal 2 52 4 2" xfId="27692" xr:uid="{00000000-0005-0000-0000-00002F6C0000}"/>
    <cellStyle name="Normal 2 52 4 2 2" xfId="27693" xr:uid="{00000000-0005-0000-0000-0000306C0000}"/>
    <cellStyle name="Normal 2 52 4 3" xfId="27694" xr:uid="{00000000-0005-0000-0000-0000316C0000}"/>
    <cellStyle name="Normal 2 52 4 4" xfId="27695" xr:uid="{00000000-0005-0000-0000-0000326C0000}"/>
    <cellStyle name="Normal 2 52 4 5" xfId="27696" xr:uid="{00000000-0005-0000-0000-0000336C0000}"/>
    <cellStyle name="Normal 2 52 5" xfId="27697" xr:uid="{00000000-0005-0000-0000-0000346C0000}"/>
    <cellStyle name="Normal 2 52 5 2" xfId="27698" xr:uid="{00000000-0005-0000-0000-0000356C0000}"/>
    <cellStyle name="Normal 2 52 5 3" xfId="27699" xr:uid="{00000000-0005-0000-0000-0000366C0000}"/>
    <cellStyle name="Normal 2 52 5 4" xfId="27700" xr:uid="{00000000-0005-0000-0000-0000376C0000}"/>
    <cellStyle name="Normal 2 52 6" xfId="27701" xr:uid="{00000000-0005-0000-0000-0000386C0000}"/>
    <cellStyle name="Normal 2 52 6 2" xfId="27702" xr:uid="{00000000-0005-0000-0000-0000396C0000}"/>
    <cellStyle name="Normal 2 52 7" xfId="27703" xr:uid="{00000000-0005-0000-0000-00003A6C0000}"/>
    <cellStyle name="Normal 2 52 8" xfId="27704" xr:uid="{00000000-0005-0000-0000-00003B6C0000}"/>
    <cellStyle name="Normal 2 52 9" xfId="27705" xr:uid="{00000000-0005-0000-0000-00003C6C0000}"/>
    <cellStyle name="Normal 2 53" xfId="27706" xr:uid="{00000000-0005-0000-0000-00003D6C0000}"/>
    <cellStyle name="Normal 2 53 10" xfId="27707" xr:uid="{00000000-0005-0000-0000-00003E6C0000}"/>
    <cellStyle name="Normal 2 53 2" xfId="27708" xr:uid="{00000000-0005-0000-0000-00003F6C0000}"/>
    <cellStyle name="Normal 2 53 2 2" xfId="27709" xr:uid="{00000000-0005-0000-0000-0000406C0000}"/>
    <cellStyle name="Normal 2 53 2 2 2" xfId="27710" xr:uid="{00000000-0005-0000-0000-0000416C0000}"/>
    <cellStyle name="Normal 2 53 2 2 3" xfId="27711" xr:uid="{00000000-0005-0000-0000-0000426C0000}"/>
    <cellStyle name="Normal 2 53 2 3" xfId="27712" xr:uid="{00000000-0005-0000-0000-0000436C0000}"/>
    <cellStyle name="Normal 2 53 2 4" xfId="27713" xr:uid="{00000000-0005-0000-0000-0000446C0000}"/>
    <cellStyle name="Normal 2 53 2 5" xfId="27714" xr:uid="{00000000-0005-0000-0000-0000456C0000}"/>
    <cellStyle name="Normal 2 53 2 6" xfId="27715" xr:uid="{00000000-0005-0000-0000-0000466C0000}"/>
    <cellStyle name="Normal 2 53 3" xfId="27716" xr:uid="{00000000-0005-0000-0000-0000476C0000}"/>
    <cellStyle name="Normal 2 53 3 2" xfId="27717" xr:uid="{00000000-0005-0000-0000-0000486C0000}"/>
    <cellStyle name="Normal 2 53 3 2 2" xfId="27718" xr:uid="{00000000-0005-0000-0000-0000496C0000}"/>
    <cellStyle name="Normal 2 53 3 2 3" xfId="27719" xr:uid="{00000000-0005-0000-0000-00004A6C0000}"/>
    <cellStyle name="Normal 2 53 3 3" xfId="27720" xr:uid="{00000000-0005-0000-0000-00004B6C0000}"/>
    <cellStyle name="Normal 2 53 3 4" xfId="27721" xr:uid="{00000000-0005-0000-0000-00004C6C0000}"/>
    <cellStyle name="Normal 2 53 3 5" xfId="27722" xr:uid="{00000000-0005-0000-0000-00004D6C0000}"/>
    <cellStyle name="Normal 2 53 3 6" xfId="27723" xr:uid="{00000000-0005-0000-0000-00004E6C0000}"/>
    <cellStyle name="Normal 2 53 4" xfId="27724" xr:uid="{00000000-0005-0000-0000-00004F6C0000}"/>
    <cellStyle name="Normal 2 53 4 2" xfId="27725" xr:uid="{00000000-0005-0000-0000-0000506C0000}"/>
    <cellStyle name="Normal 2 53 4 2 2" xfId="27726" xr:uid="{00000000-0005-0000-0000-0000516C0000}"/>
    <cellStyle name="Normal 2 53 4 3" xfId="27727" xr:uid="{00000000-0005-0000-0000-0000526C0000}"/>
    <cellStyle name="Normal 2 53 4 4" xfId="27728" xr:uid="{00000000-0005-0000-0000-0000536C0000}"/>
    <cellStyle name="Normal 2 53 4 5" xfId="27729" xr:uid="{00000000-0005-0000-0000-0000546C0000}"/>
    <cellStyle name="Normal 2 53 5" xfId="27730" xr:uid="{00000000-0005-0000-0000-0000556C0000}"/>
    <cellStyle name="Normal 2 53 5 2" xfId="27731" xr:uid="{00000000-0005-0000-0000-0000566C0000}"/>
    <cellStyle name="Normal 2 53 5 3" xfId="27732" xr:uid="{00000000-0005-0000-0000-0000576C0000}"/>
    <cellStyle name="Normal 2 53 5 4" xfId="27733" xr:uid="{00000000-0005-0000-0000-0000586C0000}"/>
    <cellStyle name="Normal 2 53 6" xfId="27734" xr:uid="{00000000-0005-0000-0000-0000596C0000}"/>
    <cellStyle name="Normal 2 53 6 2" xfId="27735" xr:uid="{00000000-0005-0000-0000-00005A6C0000}"/>
    <cellStyle name="Normal 2 53 7" xfId="27736" xr:uid="{00000000-0005-0000-0000-00005B6C0000}"/>
    <cellStyle name="Normal 2 53 8" xfId="27737" xr:uid="{00000000-0005-0000-0000-00005C6C0000}"/>
    <cellStyle name="Normal 2 53 9" xfId="27738" xr:uid="{00000000-0005-0000-0000-00005D6C0000}"/>
    <cellStyle name="Normal 2 54" xfId="27739" xr:uid="{00000000-0005-0000-0000-00005E6C0000}"/>
    <cellStyle name="Normal 2 54 10" xfId="27740" xr:uid="{00000000-0005-0000-0000-00005F6C0000}"/>
    <cellStyle name="Normal 2 54 2" xfId="27741" xr:uid="{00000000-0005-0000-0000-0000606C0000}"/>
    <cellStyle name="Normal 2 54 2 2" xfId="27742" xr:uid="{00000000-0005-0000-0000-0000616C0000}"/>
    <cellStyle name="Normal 2 54 2 2 2" xfId="27743" xr:uid="{00000000-0005-0000-0000-0000626C0000}"/>
    <cellStyle name="Normal 2 54 2 2 3" xfId="27744" xr:uid="{00000000-0005-0000-0000-0000636C0000}"/>
    <cellStyle name="Normal 2 54 2 3" xfId="27745" xr:uid="{00000000-0005-0000-0000-0000646C0000}"/>
    <cellStyle name="Normal 2 54 2 4" xfId="27746" xr:uid="{00000000-0005-0000-0000-0000656C0000}"/>
    <cellStyle name="Normal 2 54 2 5" xfId="27747" xr:uid="{00000000-0005-0000-0000-0000666C0000}"/>
    <cellStyle name="Normal 2 54 2 6" xfId="27748" xr:uid="{00000000-0005-0000-0000-0000676C0000}"/>
    <cellStyle name="Normal 2 54 3" xfId="27749" xr:uid="{00000000-0005-0000-0000-0000686C0000}"/>
    <cellStyle name="Normal 2 54 3 2" xfId="27750" xr:uid="{00000000-0005-0000-0000-0000696C0000}"/>
    <cellStyle name="Normal 2 54 3 2 2" xfId="27751" xr:uid="{00000000-0005-0000-0000-00006A6C0000}"/>
    <cellStyle name="Normal 2 54 3 2 3" xfId="27752" xr:uid="{00000000-0005-0000-0000-00006B6C0000}"/>
    <cellStyle name="Normal 2 54 3 3" xfId="27753" xr:uid="{00000000-0005-0000-0000-00006C6C0000}"/>
    <cellStyle name="Normal 2 54 3 4" xfId="27754" xr:uid="{00000000-0005-0000-0000-00006D6C0000}"/>
    <cellStyle name="Normal 2 54 3 5" xfId="27755" xr:uid="{00000000-0005-0000-0000-00006E6C0000}"/>
    <cellStyle name="Normal 2 54 3 6" xfId="27756" xr:uid="{00000000-0005-0000-0000-00006F6C0000}"/>
    <cellStyle name="Normal 2 54 4" xfId="27757" xr:uid="{00000000-0005-0000-0000-0000706C0000}"/>
    <cellStyle name="Normal 2 54 4 2" xfId="27758" xr:uid="{00000000-0005-0000-0000-0000716C0000}"/>
    <cellStyle name="Normal 2 54 4 2 2" xfId="27759" xr:uid="{00000000-0005-0000-0000-0000726C0000}"/>
    <cellStyle name="Normal 2 54 4 3" xfId="27760" xr:uid="{00000000-0005-0000-0000-0000736C0000}"/>
    <cellStyle name="Normal 2 54 4 4" xfId="27761" xr:uid="{00000000-0005-0000-0000-0000746C0000}"/>
    <cellStyle name="Normal 2 54 4 5" xfId="27762" xr:uid="{00000000-0005-0000-0000-0000756C0000}"/>
    <cellStyle name="Normal 2 54 5" xfId="27763" xr:uid="{00000000-0005-0000-0000-0000766C0000}"/>
    <cellStyle name="Normal 2 54 5 2" xfId="27764" xr:uid="{00000000-0005-0000-0000-0000776C0000}"/>
    <cellStyle name="Normal 2 54 5 3" xfId="27765" xr:uid="{00000000-0005-0000-0000-0000786C0000}"/>
    <cellStyle name="Normal 2 54 5 4" xfId="27766" xr:uid="{00000000-0005-0000-0000-0000796C0000}"/>
    <cellStyle name="Normal 2 54 6" xfId="27767" xr:uid="{00000000-0005-0000-0000-00007A6C0000}"/>
    <cellStyle name="Normal 2 54 6 2" xfId="27768" xr:uid="{00000000-0005-0000-0000-00007B6C0000}"/>
    <cellStyle name="Normal 2 54 7" xfId="27769" xr:uid="{00000000-0005-0000-0000-00007C6C0000}"/>
    <cellStyle name="Normal 2 54 8" xfId="27770" xr:uid="{00000000-0005-0000-0000-00007D6C0000}"/>
    <cellStyle name="Normal 2 54 9" xfId="27771" xr:uid="{00000000-0005-0000-0000-00007E6C0000}"/>
    <cellStyle name="Normal 2 55" xfId="27772" xr:uid="{00000000-0005-0000-0000-00007F6C0000}"/>
    <cellStyle name="Normal 2 55 10" xfId="27773" xr:uid="{00000000-0005-0000-0000-0000806C0000}"/>
    <cellStyle name="Normal 2 55 2" xfId="27774" xr:uid="{00000000-0005-0000-0000-0000816C0000}"/>
    <cellStyle name="Normal 2 55 2 2" xfId="27775" xr:uid="{00000000-0005-0000-0000-0000826C0000}"/>
    <cellStyle name="Normal 2 55 2 2 2" xfId="27776" xr:uid="{00000000-0005-0000-0000-0000836C0000}"/>
    <cellStyle name="Normal 2 55 2 2 3" xfId="27777" xr:uid="{00000000-0005-0000-0000-0000846C0000}"/>
    <cellStyle name="Normal 2 55 2 3" xfId="27778" xr:uid="{00000000-0005-0000-0000-0000856C0000}"/>
    <cellStyle name="Normal 2 55 2 4" xfId="27779" xr:uid="{00000000-0005-0000-0000-0000866C0000}"/>
    <cellStyle name="Normal 2 55 2 5" xfId="27780" xr:uid="{00000000-0005-0000-0000-0000876C0000}"/>
    <cellStyle name="Normal 2 55 2 6" xfId="27781" xr:uid="{00000000-0005-0000-0000-0000886C0000}"/>
    <cellStyle name="Normal 2 55 3" xfId="27782" xr:uid="{00000000-0005-0000-0000-0000896C0000}"/>
    <cellStyle name="Normal 2 55 3 2" xfId="27783" xr:uid="{00000000-0005-0000-0000-00008A6C0000}"/>
    <cellStyle name="Normal 2 55 3 2 2" xfId="27784" xr:uid="{00000000-0005-0000-0000-00008B6C0000}"/>
    <cellStyle name="Normal 2 55 3 2 3" xfId="27785" xr:uid="{00000000-0005-0000-0000-00008C6C0000}"/>
    <cellStyle name="Normal 2 55 3 3" xfId="27786" xr:uid="{00000000-0005-0000-0000-00008D6C0000}"/>
    <cellStyle name="Normal 2 55 3 4" xfId="27787" xr:uid="{00000000-0005-0000-0000-00008E6C0000}"/>
    <cellStyle name="Normal 2 55 3 5" xfId="27788" xr:uid="{00000000-0005-0000-0000-00008F6C0000}"/>
    <cellStyle name="Normal 2 55 3 6" xfId="27789" xr:uid="{00000000-0005-0000-0000-0000906C0000}"/>
    <cellStyle name="Normal 2 55 4" xfId="27790" xr:uid="{00000000-0005-0000-0000-0000916C0000}"/>
    <cellStyle name="Normal 2 55 4 2" xfId="27791" xr:uid="{00000000-0005-0000-0000-0000926C0000}"/>
    <cellStyle name="Normal 2 55 4 2 2" xfId="27792" xr:uid="{00000000-0005-0000-0000-0000936C0000}"/>
    <cellStyle name="Normal 2 55 4 3" xfId="27793" xr:uid="{00000000-0005-0000-0000-0000946C0000}"/>
    <cellStyle name="Normal 2 55 4 4" xfId="27794" xr:uid="{00000000-0005-0000-0000-0000956C0000}"/>
    <cellStyle name="Normal 2 55 4 5" xfId="27795" xr:uid="{00000000-0005-0000-0000-0000966C0000}"/>
    <cellStyle name="Normal 2 55 5" xfId="27796" xr:uid="{00000000-0005-0000-0000-0000976C0000}"/>
    <cellStyle name="Normal 2 55 5 2" xfId="27797" xr:uid="{00000000-0005-0000-0000-0000986C0000}"/>
    <cellStyle name="Normal 2 55 5 3" xfId="27798" xr:uid="{00000000-0005-0000-0000-0000996C0000}"/>
    <cellStyle name="Normal 2 55 5 4" xfId="27799" xr:uid="{00000000-0005-0000-0000-00009A6C0000}"/>
    <cellStyle name="Normal 2 55 6" xfId="27800" xr:uid="{00000000-0005-0000-0000-00009B6C0000}"/>
    <cellStyle name="Normal 2 55 6 2" xfId="27801" xr:uid="{00000000-0005-0000-0000-00009C6C0000}"/>
    <cellStyle name="Normal 2 55 7" xfId="27802" xr:uid="{00000000-0005-0000-0000-00009D6C0000}"/>
    <cellStyle name="Normal 2 55 8" xfId="27803" xr:uid="{00000000-0005-0000-0000-00009E6C0000}"/>
    <cellStyle name="Normal 2 55 9" xfId="27804" xr:uid="{00000000-0005-0000-0000-00009F6C0000}"/>
    <cellStyle name="Normal 2 56" xfId="27805" xr:uid="{00000000-0005-0000-0000-0000A06C0000}"/>
    <cellStyle name="Normal 2 56 10" xfId="27806" xr:uid="{00000000-0005-0000-0000-0000A16C0000}"/>
    <cellStyle name="Normal 2 56 2" xfId="27807" xr:uid="{00000000-0005-0000-0000-0000A26C0000}"/>
    <cellStyle name="Normal 2 56 2 2" xfId="27808" xr:uid="{00000000-0005-0000-0000-0000A36C0000}"/>
    <cellStyle name="Normal 2 56 2 2 2" xfId="27809" xr:uid="{00000000-0005-0000-0000-0000A46C0000}"/>
    <cellStyle name="Normal 2 56 2 2 3" xfId="27810" xr:uid="{00000000-0005-0000-0000-0000A56C0000}"/>
    <cellStyle name="Normal 2 56 2 3" xfId="27811" xr:uid="{00000000-0005-0000-0000-0000A66C0000}"/>
    <cellStyle name="Normal 2 56 2 4" xfId="27812" xr:uid="{00000000-0005-0000-0000-0000A76C0000}"/>
    <cellStyle name="Normal 2 56 2 5" xfId="27813" xr:uid="{00000000-0005-0000-0000-0000A86C0000}"/>
    <cellStyle name="Normal 2 56 2 6" xfId="27814" xr:uid="{00000000-0005-0000-0000-0000A96C0000}"/>
    <cellStyle name="Normal 2 56 3" xfId="27815" xr:uid="{00000000-0005-0000-0000-0000AA6C0000}"/>
    <cellStyle name="Normal 2 56 3 2" xfId="27816" xr:uid="{00000000-0005-0000-0000-0000AB6C0000}"/>
    <cellStyle name="Normal 2 56 3 2 2" xfId="27817" xr:uid="{00000000-0005-0000-0000-0000AC6C0000}"/>
    <cellStyle name="Normal 2 56 3 2 3" xfId="27818" xr:uid="{00000000-0005-0000-0000-0000AD6C0000}"/>
    <cellStyle name="Normal 2 56 3 3" xfId="27819" xr:uid="{00000000-0005-0000-0000-0000AE6C0000}"/>
    <cellStyle name="Normal 2 56 3 4" xfId="27820" xr:uid="{00000000-0005-0000-0000-0000AF6C0000}"/>
    <cellStyle name="Normal 2 56 3 5" xfId="27821" xr:uid="{00000000-0005-0000-0000-0000B06C0000}"/>
    <cellStyle name="Normal 2 56 3 6" xfId="27822" xr:uid="{00000000-0005-0000-0000-0000B16C0000}"/>
    <cellStyle name="Normal 2 56 4" xfId="27823" xr:uid="{00000000-0005-0000-0000-0000B26C0000}"/>
    <cellStyle name="Normal 2 56 4 2" xfId="27824" xr:uid="{00000000-0005-0000-0000-0000B36C0000}"/>
    <cellStyle name="Normal 2 56 4 2 2" xfId="27825" xr:uid="{00000000-0005-0000-0000-0000B46C0000}"/>
    <cellStyle name="Normal 2 56 4 3" xfId="27826" xr:uid="{00000000-0005-0000-0000-0000B56C0000}"/>
    <cellStyle name="Normal 2 56 4 4" xfId="27827" xr:uid="{00000000-0005-0000-0000-0000B66C0000}"/>
    <cellStyle name="Normal 2 56 4 5" xfId="27828" xr:uid="{00000000-0005-0000-0000-0000B76C0000}"/>
    <cellStyle name="Normal 2 56 5" xfId="27829" xr:uid="{00000000-0005-0000-0000-0000B86C0000}"/>
    <cellStyle name="Normal 2 56 5 2" xfId="27830" xr:uid="{00000000-0005-0000-0000-0000B96C0000}"/>
    <cellStyle name="Normal 2 56 5 3" xfId="27831" xr:uid="{00000000-0005-0000-0000-0000BA6C0000}"/>
    <cellStyle name="Normal 2 56 5 4" xfId="27832" xr:uid="{00000000-0005-0000-0000-0000BB6C0000}"/>
    <cellStyle name="Normal 2 56 6" xfId="27833" xr:uid="{00000000-0005-0000-0000-0000BC6C0000}"/>
    <cellStyle name="Normal 2 56 6 2" xfId="27834" xr:uid="{00000000-0005-0000-0000-0000BD6C0000}"/>
    <cellStyle name="Normal 2 56 7" xfId="27835" xr:uid="{00000000-0005-0000-0000-0000BE6C0000}"/>
    <cellStyle name="Normal 2 56 8" xfId="27836" xr:uid="{00000000-0005-0000-0000-0000BF6C0000}"/>
    <cellStyle name="Normal 2 56 9" xfId="27837" xr:uid="{00000000-0005-0000-0000-0000C06C0000}"/>
    <cellStyle name="Normal 2 57" xfId="27838" xr:uid="{00000000-0005-0000-0000-0000C16C0000}"/>
    <cellStyle name="Normal 2 57 10" xfId="27839" xr:uid="{00000000-0005-0000-0000-0000C26C0000}"/>
    <cellStyle name="Normal 2 57 2" xfId="27840" xr:uid="{00000000-0005-0000-0000-0000C36C0000}"/>
    <cellStyle name="Normal 2 57 2 2" xfId="27841" xr:uid="{00000000-0005-0000-0000-0000C46C0000}"/>
    <cellStyle name="Normal 2 57 2 2 2" xfId="27842" xr:uid="{00000000-0005-0000-0000-0000C56C0000}"/>
    <cellStyle name="Normal 2 57 2 2 3" xfId="27843" xr:uid="{00000000-0005-0000-0000-0000C66C0000}"/>
    <cellStyle name="Normal 2 57 2 3" xfId="27844" xr:uid="{00000000-0005-0000-0000-0000C76C0000}"/>
    <cellStyle name="Normal 2 57 2 4" xfId="27845" xr:uid="{00000000-0005-0000-0000-0000C86C0000}"/>
    <cellStyle name="Normal 2 57 2 5" xfId="27846" xr:uid="{00000000-0005-0000-0000-0000C96C0000}"/>
    <cellStyle name="Normal 2 57 2 6" xfId="27847" xr:uid="{00000000-0005-0000-0000-0000CA6C0000}"/>
    <cellStyle name="Normal 2 57 3" xfId="27848" xr:uid="{00000000-0005-0000-0000-0000CB6C0000}"/>
    <cellStyle name="Normal 2 57 3 2" xfId="27849" xr:uid="{00000000-0005-0000-0000-0000CC6C0000}"/>
    <cellStyle name="Normal 2 57 3 2 2" xfId="27850" xr:uid="{00000000-0005-0000-0000-0000CD6C0000}"/>
    <cellStyle name="Normal 2 57 3 2 3" xfId="27851" xr:uid="{00000000-0005-0000-0000-0000CE6C0000}"/>
    <cellStyle name="Normal 2 57 3 3" xfId="27852" xr:uid="{00000000-0005-0000-0000-0000CF6C0000}"/>
    <cellStyle name="Normal 2 57 3 4" xfId="27853" xr:uid="{00000000-0005-0000-0000-0000D06C0000}"/>
    <cellStyle name="Normal 2 57 3 5" xfId="27854" xr:uid="{00000000-0005-0000-0000-0000D16C0000}"/>
    <cellStyle name="Normal 2 57 3 6" xfId="27855" xr:uid="{00000000-0005-0000-0000-0000D26C0000}"/>
    <cellStyle name="Normal 2 57 4" xfId="27856" xr:uid="{00000000-0005-0000-0000-0000D36C0000}"/>
    <cellStyle name="Normal 2 57 4 2" xfId="27857" xr:uid="{00000000-0005-0000-0000-0000D46C0000}"/>
    <cellStyle name="Normal 2 57 4 2 2" xfId="27858" xr:uid="{00000000-0005-0000-0000-0000D56C0000}"/>
    <cellStyle name="Normal 2 57 4 3" xfId="27859" xr:uid="{00000000-0005-0000-0000-0000D66C0000}"/>
    <cellStyle name="Normal 2 57 4 4" xfId="27860" xr:uid="{00000000-0005-0000-0000-0000D76C0000}"/>
    <cellStyle name="Normal 2 57 4 5" xfId="27861" xr:uid="{00000000-0005-0000-0000-0000D86C0000}"/>
    <cellStyle name="Normal 2 57 5" xfId="27862" xr:uid="{00000000-0005-0000-0000-0000D96C0000}"/>
    <cellStyle name="Normal 2 57 5 2" xfId="27863" xr:uid="{00000000-0005-0000-0000-0000DA6C0000}"/>
    <cellStyle name="Normal 2 57 5 3" xfId="27864" xr:uid="{00000000-0005-0000-0000-0000DB6C0000}"/>
    <cellStyle name="Normal 2 57 5 4" xfId="27865" xr:uid="{00000000-0005-0000-0000-0000DC6C0000}"/>
    <cellStyle name="Normal 2 57 6" xfId="27866" xr:uid="{00000000-0005-0000-0000-0000DD6C0000}"/>
    <cellStyle name="Normal 2 57 6 2" xfId="27867" xr:uid="{00000000-0005-0000-0000-0000DE6C0000}"/>
    <cellStyle name="Normal 2 57 7" xfId="27868" xr:uid="{00000000-0005-0000-0000-0000DF6C0000}"/>
    <cellStyle name="Normal 2 57 8" xfId="27869" xr:uid="{00000000-0005-0000-0000-0000E06C0000}"/>
    <cellStyle name="Normal 2 57 9" xfId="27870" xr:uid="{00000000-0005-0000-0000-0000E16C0000}"/>
    <cellStyle name="Normal 2 58" xfId="27871" xr:uid="{00000000-0005-0000-0000-0000E26C0000}"/>
    <cellStyle name="Normal 2 58 10" xfId="27872" xr:uid="{00000000-0005-0000-0000-0000E36C0000}"/>
    <cellStyle name="Normal 2 58 2" xfId="27873" xr:uid="{00000000-0005-0000-0000-0000E46C0000}"/>
    <cellStyle name="Normal 2 58 2 2" xfId="27874" xr:uid="{00000000-0005-0000-0000-0000E56C0000}"/>
    <cellStyle name="Normal 2 58 2 2 2" xfId="27875" xr:uid="{00000000-0005-0000-0000-0000E66C0000}"/>
    <cellStyle name="Normal 2 58 2 2 3" xfId="27876" xr:uid="{00000000-0005-0000-0000-0000E76C0000}"/>
    <cellStyle name="Normal 2 58 2 3" xfId="27877" xr:uid="{00000000-0005-0000-0000-0000E86C0000}"/>
    <cellStyle name="Normal 2 58 2 4" xfId="27878" xr:uid="{00000000-0005-0000-0000-0000E96C0000}"/>
    <cellStyle name="Normal 2 58 2 5" xfId="27879" xr:uid="{00000000-0005-0000-0000-0000EA6C0000}"/>
    <cellStyle name="Normal 2 58 2 6" xfId="27880" xr:uid="{00000000-0005-0000-0000-0000EB6C0000}"/>
    <cellStyle name="Normal 2 58 3" xfId="27881" xr:uid="{00000000-0005-0000-0000-0000EC6C0000}"/>
    <cellStyle name="Normal 2 58 3 2" xfId="27882" xr:uid="{00000000-0005-0000-0000-0000ED6C0000}"/>
    <cellStyle name="Normal 2 58 3 2 2" xfId="27883" xr:uid="{00000000-0005-0000-0000-0000EE6C0000}"/>
    <cellStyle name="Normal 2 58 3 2 3" xfId="27884" xr:uid="{00000000-0005-0000-0000-0000EF6C0000}"/>
    <cellStyle name="Normal 2 58 3 3" xfId="27885" xr:uid="{00000000-0005-0000-0000-0000F06C0000}"/>
    <cellStyle name="Normal 2 58 3 4" xfId="27886" xr:uid="{00000000-0005-0000-0000-0000F16C0000}"/>
    <cellStyle name="Normal 2 58 3 5" xfId="27887" xr:uid="{00000000-0005-0000-0000-0000F26C0000}"/>
    <cellStyle name="Normal 2 58 3 6" xfId="27888" xr:uid="{00000000-0005-0000-0000-0000F36C0000}"/>
    <cellStyle name="Normal 2 58 4" xfId="27889" xr:uid="{00000000-0005-0000-0000-0000F46C0000}"/>
    <cellStyle name="Normal 2 58 4 2" xfId="27890" xr:uid="{00000000-0005-0000-0000-0000F56C0000}"/>
    <cellStyle name="Normal 2 58 4 2 2" xfId="27891" xr:uid="{00000000-0005-0000-0000-0000F66C0000}"/>
    <cellStyle name="Normal 2 58 4 3" xfId="27892" xr:uid="{00000000-0005-0000-0000-0000F76C0000}"/>
    <cellStyle name="Normal 2 58 4 4" xfId="27893" xr:uid="{00000000-0005-0000-0000-0000F86C0000}"/>
    <cellStyle name="Normal 2 58 4 5" xfId="27894" xr:uid="{00000000-0005-0000-0000-0000F96C0000}"/>
    <cellStyle name="Normal 2 58 5" xfId="27895" xr:uid="{00000000-0005-0000-0000-0000FA6C0000}"/>
    <cellStyle name="Normal 2 58 5 2" xfId="27896" xr:uid="{00000000-0005-0000-0000-0000FB6C0000}"/>
    <cellStyle name="Normal 2 58 5 3" xfId="27897" xr:uid="{00000000-0005-0000-0000-0000FC6C0000}"/>
    <cellStyle name="Normal 2 58 5 4" xfId="27898" xr:uid="{00000000-0005-0000-0000-0000FD6C0000}"/>
    <cellStyle name="Normal 2 58 6" xfId="27899" xr:uid="{00000000-0005-0000-0000-0000FE6C0000}"/>
    <cellStyle name="Normal 2 58 6 2" xfId="27900" xr:uid="{00000000-0005-0000-0000-0000FF6C0000}"/>
    <cellStyle name="Normal 2 58 7" xfId="27901" xr:uid="{00000000-0005-0000-0000-0000006D0000}"/>
    <cellStyle name="Normal 2 58 8" xfId="27902" xr:uid="{00000000-0005-0000-0000-0000016D0000}"/>
    <cellStyle name="Normal 2 58 9" xfId="27903" xr:uid="{00000000-0005-0000-0000-0000026D0000}"/>
    <cellStyle name="Normal 2 59" xfId="27904" xr:uid="{00000000-0005-0000-0000-0000036D0000}"/>
    <cellStyle name="Normal 2 59 10" xfId="27905" xr:uid="{00000000-0005-0000-0000-0000046D0000}"/>
    <cellStyle name="Normal 2 59 2" xfId="27906" xr:uid="{00000000-0005-0000-0000-0000056D0000}"/>
    <cellStyle name="Normal 2 59 2 2" xfId="27907" xr:uid="{00000000-0005-0000-0000-0000066D0000}"/>
    <cellStyle name="Normal 2 59 2 2 2" xfId="27908" xr:uid="{00000000-0005-0000-0000-0000076D0000}"/>
    <cellStyle name="Normal 2 59 2 2 3" xfId="27909" xr:uid="{00000000-0005-0000-0000-0000086D0000}"/>
    <cellStyle name="Normal 2 59 2 3" xfId="27910" xr:uid="{00000000-0005-0000-0000-0000096D0000}"/>
    <cellStyle name="Normal 2 59 2 4" xfId="27911" xr:uid="{00000000-0005-0000-0000-00000A6D0000}"/>
    <cellStyle name="Normal 2 59 2 5" xfId="27912" xr:uid="{00000000-0005-0000-0000-00000B6D0000}"/>
    <cellStyle name="Normal 2 59 2 6" xfId="27913" xr:uid="{00000000-0005-0000-0000-00000C6D0000}"/>
    <cellStyle name="Normal 2 59 3" xfId="27914" xr:uid="{00000000-0005-0000-0000-00000D6D0000}"/>
    <cellStyle name="Normal 2 59 3 2" xfId="27915" xr:uid="{00000000-0005-0000-0000-00000E6D0000}"/>
    <cellStyle name="Normal 2 59 3 2 2" xfId="27916" xr:uid="{00000000-0005-0000-0000-00000F6D0000}"/>
    <cellStyle name="Normal 2 59 3 2 3" xfId="27917" xr:uid="{00000000-0005-0000-0000-0000106D0000}"/>
    <cellStyle name="Normal 2 59 3 3" xfId="27918" xr:uid="{00000000-0005-0000-0000-0000116D0000}"/>
    <cellStyle name="Normal 2 59 3 4" xfId="27919" xr:uid="{00000000-0005-0000-0000-0000126D0000}"/>
    <cellStyle name="Normal 2 59 3 5" xfId="27920" xr:uid="{00000000-0005-0000-0000-0000136D0000}"/>
    <cellStyle name="Normal 2 59 3 6" xfId="27921" xr:uid="{00000000-0005-0000-0000-0000146D0000}"/>
    <cellStyle name="Normal 2 59 4" xfId="27922" xr:uid="{00000000-0005-0000-0000-0000156D0000}"/>
    <cellStyle name="Normal 2 59 4 2" xfId="27923" xr:uid="{00000000-0005-0000-0000-0000166D0000}"/>
    <cellStyle name="Normal 2 59 4 2 2" xfId="27924" xr:uid="{00000000-0005-0000-0000-0000176D0000}"/>
    <cellStyle name="Normal 2 59 4 3" xfId="27925" xr:uid="{00000000-0005-0000-0000-0000186D0000}"/>
    <cellStyle name="Normal 2 59 4 4" xfId="27926" xr:uid="{00000000-0005-0000-0000-0000196D0000}"/>
    <cellStyle name="Normal 2 59 4 5" xfId="27927" xr:uid="{00000000-0005-0000-0000-00001A6D0000}"/>
    <cellStyle name="Normal 2 59 5" xfId="27928" xr:uid="{00000000-0005-0000-0000-00001B6D0000}"/>
    <cellStyle name="Normal 2 59 5 2" xfId="27929" xr:uid="{00000000-0005-0000-0000-00001C6D0000}"/>
    <cellStyle name="Normal 2 59 5 3" xfId="27930" xr:uid="{00000000-0005-0000-0000-00001D6D0000}"/>
    <cellStyle name="Normal 2 59 5 4" xfId="27931" xr:uid="{00000000-0005-0000-0000-00001E6D0000}"/>
    <cellStyle name="Normal 2 59 6" xfId="27932" xr:uid="{00000000-0005-0000-0000-00001F6D0000}"/>
    <cellStyle name="Normal 2 59 6 2" xfId="27933" xr:uid="{00000000-0005-0000-0000-0000206D0000}"/>
    <cellStyle name="Normal 2 59 7" xfId="27934" xr:uid="{00000000-0005-0000-0000-0000216D0000}"/>
    <cellStyle name="Normal 2 59 8" xfId="27935" xr:uid="{00000000-0005-0000-0000-0000226D0000}"/>
    <cellStyle name="Normal 2 59 9" xfId="27936" xr:uid="{00000000-0005-0000-0000-0000236D0000}"/>
    <cellStyle name="Normal 2 6" xfId="27937" xr:uid="{00000000-0005-0000-0000-0000246D0000}"/>
    <cellStyle name="Normal 2 6 10" xfId="27938" xr:uid="{00000000-0005-0000-0000-0000256D0000}"/>
    <cellStyle name="Normal 2 6 10 10" xfId="27939" xr:uid="{00000000-0005-0000-0000-0000266D0000}"/>
    <cellStyle name="Normal 2 6 10 11" xfId="27940" xr:uid="{00000000-0005-0000-0000-0000276D0000}"/>
    <cellStyle name="Normal 2 6 10 2" xfId="27941" xr:uid="{00000000-0005-0000-0000-0000286D0000}"/>
    <cellStyle name="Normal 2 6 10 2 2" xfId="27942" xr:uid="{00000000-0005-0000-0000-0000296D0000}"/>
    <cellStyle name="Normal 2 6 10 2 2 2" xfId="27943" xr:uid="{00000000-0005-0000-0000-00002A6D0000}"/>
    <cellStyle name="Normal 2 6 10 2 2 2 2" xfId="27944" xr:uid="{00000000-0005-0000-0000-00002B6D0000}"/>
    <cellStyle name="Normal 2 6 10 2 2 2 3" xfId="27945" xr:uid="{00000000-0005-0000-0000-00002C6D0000}"/>
    <cellStyle name="Normal 2 6 10 2 2 3" xfId="27946" xr:uid="{00000000-0005-0000-0000-00002D6D0000}"/>
    <cellStyle name="Normal 2 6 10 2 2 4" xfId="27947" xr:uid="{00000000-0005-0000-0000-00002E6D0000}"/>
    <cellStyle name="Normal 2 6 10 2 2 5" xfId="27948" xr:uid="{00000000-0005-0000-0000-00002F6D0000}"/>
    <cellStyle name="Normal 2 6 10 2 2 6" xfId="27949" xr:uid="{00000000-0005-0000-0000-0000306D0000}"/>
    <cellStyle name="Normal 2 6 10 2 3" xfId="27950" xr:uid="{00000000-0005-0000-0000-0000316D0000}"/>
    <cellStyle name="Normal 2 6 10 2 3 2" xfId="27951" xr:uid="{00000000-0005-0000-0000-0000326D0000}"/>
    <cellStyle name="Normal 2 6 10 2 3 2 2" xfId="27952" xr:uid="{00000000-0005-0000-0000-0000336D0000}"/>
    <cellStyle name="Normal 2 6 10 2 3 3" xfId="27953" xr:uid="{00000000-0005-0000-0000-0000346D0000}"/>
    <cellStyle name="Normal 2 6 10 2 3 4" xfId="27954" xr:uid="{00000000-0005-0000-0000-0000356D0000}"/>
    <cellStyle name="Normal 2 6 10 2 3 5" xfId="27955" xr:uid="{00000000-0005-0000-0000-0000366D0000}"/>
    <cellStyle name="Normal 2 6 10 2 4" xfId="27956" xr:uid="{00000000-0005-0000-0000-0000376D0000}"/>
    <cellStyle name="Normal 2 6 10 2 4 2" xfId="27957" xr:uid="{00000000-0005-0000-0000-0000386D0000}"/>
    <cellStyle name="Normal 2 6 10 2 4 3" xfId="27958" xr:uid="{00000000-0005-0000-0000-0000396D0000}"/>
    <cellStyle name="Normal 2 6 10 2 4 4" xfId="27959" xr:uid="{00000000-0005-0000-0000-00003A6D0000}"/>
    <cellStyle name="Normal 2 6 10 2 5" xfId="27960" xr:uid="{00000000-0005-0000-0000-00003B6D0000}"/>
    <cellStyle name="Normal 2 6 10 2 5 2" xfId="27961" xr:uid="{00000000-0005-0000-0000-00003C6D0000}"/>
    <cellStyle name="Normal 2 6 10 2 6" xfId="27962" xr:uid="{00000000-0005-0000-0000-00003D6D0000}"/>
    <cellStyle name="Normal 2 6 10 2 7" xfId="27963" xr:uid="{00000000-0005-0000-0000-00003E6D0000}"/>
    <cellStyle name="Normal 2 6 10 2 8" xfId="27964" xr:uid="{00000000-0005-0000-0000-00003F6D0000}"/>
    <cellStyle name="Normal 2 6 10 2 9" xfId="27965" xr:uid="{00000000-0005-0000-0000-0000406D0000}"/>
    <cellStyle name="Normal 2 6 10 3" xfId="27966" xr:uid="{00000000-0005-0000-0000-0000416D0000}"/>
    <cellStyle name="Normal 2 6 10 3 2" xfId="27967" xr:uid="{00000000-0005-0000-0000-0000426D0000}"/>
    <cellStyle name="Normal 2 6 10 3 2 2" xfId="27968" xr:uid="{00000000-0005-0000-0000-0000436D0000}"/>
    <cellStyle name="Normal 2 6 10 3 2 2 2" xfId="27969" xr:uid="{00000000-0005-0000-0000-0000446D0000}"/>
    <cellStyle name="Normal 2 6 10 3 2 2 3" xfId="27970" xr:uid="{00000000-0005-0000-0000-0000456D0000}"/>
    <cellStyle name="Normal 2 6 10 3 2 3" xfId="27971" xr:uid="{00000000-0005-0000-0000-0000466D0000}"/>
    <cellStyle name="Normal 2 6 10 3 2 4" xfId="27972" xr:uid="{00000000-0005-0000-0000-0000476D0000}"/>
    <cellStyle name="Normal 2 6 10 3 2 5" xfId="27973" xr:uid="{00000000-0005-0000-0000-0000486D0000}"/>
    <cellStyle name="Normal 2 6 10 3 2 6" xfId="27974" xr:uid="{00000000-0005-0000-0000-0000496D0000}"/>
    <cellStyle name="Normal 2 6 10 3 3" xfId="27975" xr:uid="{00000000-0005-0000-0000-00004A6D0000}"/>
    <cellStyle name="Normal 2 6 10 3 3 2" xfId="27976" xr:uid="{00000000-0005-0000-0000-00004B6D0000}"/>
    <cellStyle name="Normal 2 6 10 3 3 2 2" xfId="27977" xr:uid="{00000000-0005-0000-0000-00004C6D0000}"/>
    <cellStyle name="Normal 2 6 10 3 3 3" xfId="27978" xr:uid="{00000000-0005-0000-0000-00004D6D0000}"/>
    <cellStyle name="Normal 2 6 10 3 3 4" xfId="27979" xr:uid="{00000000-0005-0000-0000-00004E6D0000}"/>
    <cellStyle name="Normal 2 6 10 3 3 5" xfId="27980" xr:uid="{00000000-0005-0000-0000-00004F6D0000}"/>
    <cellStyle name="Normal 2 6 10 3 4" xfId="27981" xr:uid="{00000000-0005-0000-0000-0000506D0000}"/>
    <cellStyle name="Normal 2 6 10 3 4 2" xfId="27982" xr:uid="{00000000-0005-0000-0000-0000516D0000}"/>
    <cellStyle name="Normal 2 6 10 3 4 3" xfId="27983" xr:uid="{00000000-0005-0000-0000-0000526D0000}"/>
    <cellStyle name="Normal 2 6 10 3 4 4" xfId="27984" xr:uid="{00000000-0005-0000-0000-0000536D0000}"/>
    <cellStyle name="Normal 2 6 10 3 5" xfId="27985" xr:uid="{00000000-0005-0000-0000-0000546D0000}"/>
    <cellStyle name="Normal 2 6 10 3 5 2" xfId="27986" xr:uid="{00000000-0005-0000-0000-0000556D0000}"/>
    <cellStyle name="Normal 2 6 10 3 6" xfId="27987" xr:uid="{00000000-0005-0000-0000-0000566D0000}"/>
    <cellStyle name="Normal 2 6 10 3 7" xfId="27988" xr:uid="{00000000-0005-0000-0000-0000576D0000}"/>
    <cellStyle name="Normal 2 6 10 3 8" xfId="27989" xr:uid="{00000000-0005-0000-0000-0000586D0000}"/>
    <cellStyle name="Normal 2 6 10 3 9" xfId="27990" xr:uid="{00000000-0005-0000-0000-0000596D0000}"/>
    <cellStyle name="Normal 2 6 10 4" xfId="27991" xr:uid="{00000000-0005-0000-0000-00005A6D0000}"/>
    <cellStyle name="Normal 2 6 10 4 2" xfId="27992" xr:uid="{00000000-0005-0000-0000-00005B6D0000}"/>
    <cellStyle name="Normal 2 6 10 4 2 2" xfId="27993" xr:uid="{00000000-0005-0000-0000-00005C6D0000}"/>
    <cellStyle name="Normal 2 6 10 4 2 3" xfId="27994" xr:uid="{00000000-0005-0000-0000-00005D6D0000}"/>
    <cellStyle name="Normal 2 6 10 4 3" xfId="27995" xr:uid="{00000000-0005-0000-0000-00005E6D0000}"/>
    <cellStyle name="Normal 2 6 10 4 4" xfId="27996" xr:uid="{00000000-0005-0000-0000-00005F6D0000}"/>
    <cellStyle name="Normal 2 6 10 4 5" xfId="27997" xr:uid="{00000000-0005-0000-0000-0000606D0000}"/>
    <cellStyle name="Normal 2 6 10 4 6" xfId="27998" xr:uid="{00000000-0005-0000-0000-0000616D0000}"/>
    <cellStyle name="Normal 2 6 10 5" xfId="27999" xr:uid="{00000000-0005-0000-0000-0000626D0000}"/>
    <cellStyle name="Normal 2 6 10 5 2" xfId="28000" xr:uid="{00000000-0005-0000-0000-0000636D0000}"/>
    <cellStyle name="Normal 2 6 10 5 2 2" xfId="28001" xr:uid="{00000000-0005-0000-0000-0000646D0000}"/>
    <cellStyle name="Normal 2 6 10 5 3" xfId="28002" xr:uid="{00000000-0005-0000-0000-0000656D0000}"/>
    <cellStyle name="Normal 2 6 10 5 4" xfId="28003" xr:uid="{00000000-0005-0000-0000-0000666D0000}"/>
    <cellStyle name="Normal 2 6 10 5 5" xfId="28004" xr:uid="{00000000-0005-0000-0000-0000676D0000}"/>
    <cellStyle name="Normal 2 6 10 6" xfId="28005" xr:uid="{00000000-0005-0000-0000-0000686D0000}"/>
    <cellStyle name="Normal 2 6 10 6 2" xfId="28006" xr:uid="{00000000-0005-0000-0000-0000696D0000}"/>
    <cellStyle name="Normal 2 6 10 6 3" xfId="28007" xr:uid="{00000000-0005-0000-0000-00006A6D0000}"/>
    <cellStyle name="Normal 2 6 10 6 4" xfId="28008" xr:uid="{00000000-0005-0000-0000-00006B6D0000}"/>
    <cellStyle name="Normal 2 6 10 7" xfId="28009" xr:uid="{00000000-0005-0000-0000-00006C6D0000}"/>
    <cellStyle name="Normal 2 6 10 7 2" xfId="28010" xr:uid="{00000000-0005-0000-0000-00006D6D0000}"/>
    <cellStyle name="Normal 2 6 10 8" xfId="28011" xr:uid="{00000000-0005-0000-0000-00006E6D0000}"/>
    <cellStyle name="Normal 2 6 10 9" xfId="28012" xr:uid="{00000000-0005-0000-0000-00006F6D0000}"/>
    <cellStyle name="Normal 2 6 11" xfId="28013" xr:uid="{00000000-0005-0000-0000-0000706D0000}"/>
    <cellStyle name="Normal 2 6 11 10" xfId="28014" xr:uid="{00000000-0005-0000-0000-0000716D0000}"/>
    <cellStyle name="Normal 2 6 11 2" xfId="28015" xr:uid="{00000000-0005-0000-0000-0000726D0000}"/>
    <cellStyle name="Normal 2 6 11 2 2" xfId="28016" xr:uid="{00000000-0005-0000-0000-0000736D0000}"/>
    <cellStyle name="Normal 2 6 11 2 2 2" xfId="28017" xr:uid="{00000000-0005-0000-0000-0000746D0000}"/>
    <cellStyle name="Normal 2 6 11 2 2 3" xfId="28018" xr:uid="{00000000-0005-0000-0000-0000756D0000}"/>
    <cellStyle name="Normal 2 6 11 2 3" xfId="28019" xr:uid="{00000000-0005-0000-0000-0000766D0000}"/>
    <cellStyle name="Normal 2 6 11 2 4" xfId="28020" xr:uid="{00000000-0005-0000-0000-0000776D0000}"/>
    <cellStyle name="Normal 2 6 11 2 5" xfId="28021" xr:uid="{00000000-0005-0000-0000-0000786D0000}"/>
    <cellStyle name="Normal 2 6 11 2 6" xfId="28022" xr:uid="{00000000-0005-0000-0000-0000796D0000}"/>
    <cellStyle name="Normal 2 6 11 3" xfId="28023" xr:uid="{00000000-0005-0000-0000-00007A6D0000}"/>
    <cellStyle name="Normal 2 6 11 3 2" xfId="28024" xr:uid="{00000000-0005-0000-0000-00007B6D0000}"/>
    <cellStyle name="Normal 2 6 11 3 2 2" xfId="28025" xr:uid="{00000000-0005-0000-0000-00007C6D0000}"/>
    <cellStyle name="Normal 2 6 11 3 2 3" xfId="28026" xr:uid="{00000000-0005-0000-0000-00007D6D0000}"/>
    <cellStyle name="Normal 2 6 11 3 3" xfId="28027" xr:uid="{00000000-0005-0000-0000-00007E6D0000}"/>
    <cellStyle name="Normal 2 6 11 3 4" xfId="28028" xr:uid="{00000000-0005-0000-0000-00007F6D0000}"/>
    <cellStyle name="Normal 2 6 11 3 5" xfId="28029" xr:uid="{00000000-0005-0000-0000-0000806D0000}"/>
    <cellStyle name="Normal 2 6 11 3 6" xfId="28030" xr:uid="{00000000-0005-0000-0000-0000816D0000}"/>
    <cellStyle name="Normal 2 6 11 4" xfId="28031" xr:uid="{00000000-0005-0000-0000-0000826D0000}"/>
    <cellStyle name="Normal 2 6 11 4 2" xfId="28032" xr:uid="{00000000-0005-0000-0000-0000836D0000}"/>
    <cellStyle name="Normal 2 6 11 4 2 2" xfId="28033" xr:uid="{00000000-0005-0000-0000-0000846D0000}"/>
    <cellStyle name="Normal 2 6 11 4 3" xfId="28034" xr:uid="{00000000-0005-0000-0000-0000856D0000}"/>
    <cellStyle name="Normal 2 6 11 4 4" xfId="28035" xr:uid="{00000000-0005-0000-0000-0000866D0000}"/>
    <cellStyle name="Normal 2 6 11 4 5" xfId="28036" xr:uid="{00000000-0005-0000-0000-0000876D0000}"/>
    <cellStyle name="Normal 2 6 11 5" xfId="28037" xr:uid="{00000000-0005-0000-0000-0000886D0000}"/>
    <cellStyle name="Normal 2 6 11 5 2" xfId="28038" xr:uid="{00000000-0005-0000-0000-0000896D0000}"/>
    <cellStyle name="Normal 2 6 11 5 3" xfId="28039" xr:uid="{00000000-0005-0000-0000-00008A6D0000}"/>
    <cellStyle name="Normal 2 6 11 5 4" xfId="28040" xr:uid="{00000000-0005-0000-0000-00008B6D0000}"/>
    <cellStyle name="Normal 2 6 11 6" xfId="28041" xr:uid="{00000000-0005-0000-0000-00008C6D0000}"/>
    <cellStyle name="Normal 2 6 11 6 2" xfId="28042" xr:uid="{00000000-0005-0000-0000-00008D6D0000}"/>
    <cellStyle name="Normal 2 6 11 7" xfId="28043" xr:uid="{00000000-0005-0000-0000-00008E6D0000}"/>
    <cellStyle name="Normal 2 6 11 8" xfId="28044" xr:uid="{00000000-0005-0000-0000-00008F6D0000}"/>
    <cellStyle name="Normal 2 6 11 9" xfId="28045" xr:uid="{00000000-0005-0000-0000-0000906D0000}"/>
    <cellStyle name="Normal 2 6 12" xfId="28046" xr:uid="{00000000-0005-0000-0000-0000916D0000}"/>
    <cellStyle name="Normal 2 6 12 10" xfId="28047" xr:uid="{00000000-0005-0000-0000-0000926D0000}"/>
    <cellStyle name="Normal 2 6 12 2" xfId="28048" xr:uid="{00000000-0005-0000-0000-0000936D0000}"/>
    <cellStyle name="Normal 2 6 12 2 2" xfId="28049" xr:uid="{00000000-0005-0000-0000-0000946D0000}"/>
    <cellStyle name="Normal 2 6 12 2 2 2" xfId="28050" xr:uid="{00000000-0005-0000-0000-0000956D0000}"/>
    <cellStyle name="Normal 2 6 12 2 2 3" xfId="28051" xr:uid="{00000000-0005-0000-0000-0000966D0000}"/>
    <cellStyle name="Normal 2 6 12 2 3" xfId="28052" xr:uid="{00000000-0005-0000-0000-0000976D0000}"/>
    <cellStyle name="Normal 2 6 12 2 4" xfId="28053" xr:uid="{00000000-0005-0000-0000-0000986D0000}"/>
    <cellStyle name="Normal 2 6 12 2 5" xfId="28054" xr:uid="{00000000-0005-0000-0000-0000996D0000}"/>
    <cellStyle name="Normal 2 6 12 2 6" xfId="28055" xr:uid="{00000000-0005-0000-0000-00009A6D0000}"/>
    <cellStyle name="Normal 2 6 12 3" xfId="28056" xr:uid="{00000000-0005-0000-0000-00009B6D0000}"/>
    <cellStyle name="Normal 2 6 12 3 2" xfId="28057" xr:uid="{00000000-0005-0000-0000-00009C6D0000}"/>
    <cellStyle name="Normal 2 6 12 3 2 2" xfId="28058" xr:uid="{00000000-0005-0000-0000-00009D6D0000}"/>
    <cellStyle name="Normal 2 6 12 3 2 3" xfId="28059" xr:uid="{00000000-0005-0000-0000-00009E6D0000}"/>
    <cellStyle name="Normal 2 6 12 3 3" xfId="28060" xr:uid="{00000000-0005-0000-0000-00009F6D0000}"/>
    <cellStyle name="Normal 2 6 12 3 4" xfId="28061" xr:uid="{00000000-0005-0000-0000-0000A06D0000}"/>
    <cellStyle name="Normal 2 6 12 3 5" xfId="28062" xr:uid="{00000000-0005-0000-0000-0000A16D0000}"/>
    <cellStyle name="Normal 2 6 12 3 6" xfId="28063" xr:uid="{00000000-0005-0000-0000-0000A26D0000}"/>
    <cellStyle name="Normal 2 6 12 4" xfId="28064" xr:uid="{00000000-0005-0000-0000-0000A36D0000}"/>
    <cellStyle name="Normal 2 6 12 4 2" xfId="28065" xr:uid="{00000000-0005-0000-0000-0000A46D0000}"/>
    <cellStyle name="Normal 2 6 12 4 2 2" xfId="28066" xr:uid="{00000000-0005-0000-0000-0000A56D0000}"/>
    <cellStyle name="Normal 2 6 12 4 3" xfId="28067" xr:uid="{00000000-0005-0000-0000-0000A66D0000}"/>
    <cellStyle name="Normal 2 6 12 4 4" xfId="28068" xr:uid="{00000000-0005-0000-0000-0000A76D0000}"/>
    <cellStyle name="Normal 2 6 12 4 5" xfId="28069" xr:uid="{00000000-0005-0000-0000-0000A86D0000}"/>
    <cellStyle name="Normal 2 6 12 5" xfId="28070" xr:uid="{00000000-0005-0000-0000-0000A96D0000}"/>
    <cellStyle name="Normal 2 6 12 5 2" xfId="28071" xr:uid="{00000000-0005-0000-0000-0000AA6D0000}"/>
    <cellStyle name="Normal 2 6 12 5 3" xfId="28072" xr:uid="{00000000-0005-0000-0000-0000AB6D0000}"/>
    <cellStyle name="Normal 2 6 12 5 4" xfId="28073" xr:uid="{00000000-0005-0000-0000-0000AC6D0000}"/>
    <cellStyle name="Normal 2 6 12 6" xfId="28074" xr:uid="{00000000-0005-0000-0000-0000AD6D0000}"/>
    <cellStyle name="Normal 2 6 12 6 2" xfId="28075" xr:uid="{00000000-0005-0000-0000-0000AE6D0000}"/>
    <cellStyle name="Normal 2 6 12 7" xfId="28076" xr:uid="{00000000-0005-0000-0000-0000AF6D0000}"/>
    <cellStyle name="Normal 2 6 12 8" xfId="28077" xr:uid="{00000000-0005-0000-0000-0000B06D0000}"/>
    <cellStyle name="Normal 2 6 12 9" xfId="28078" xr:uid="{00000000-0005-0000-0000-0000B16D0000}"/>
    <cellStyle name="Normal 2 6 13" xfId="28079" xr:uid="{00000000-0005-0000-0000-0000B26D0000}"/>
    <cellStyle name="Normal 2 6 13 10" xfId="28080" xr:uid="{00000000-0005-0000-0000-0000B36D0000}"/>
    <cellStyle name="Normal 2 6 13 2" xfId="28081" xr:uid="{00000000-0005-0000-0000-0000B46D0000}"/>
    <cellStyle name="Normal 2 6 13 2 2" xfId="28082" xr:uid="{00000000-0005-0000-0000-0000B56D0000}"/>
    <cellStyle name="Normal 2 6 13 2 2 2" xfId="28083" xr:uid="{00000000-0005-0000-0000-0000B66D0000}"/>
    <cellStyle name="Normal 2 6 13 2 2 3" xfId="28084" xr:uid="{00000000-0005-0000-0000-0000B76D0000}"/>
    <cellStyle name="Normal 2 6 13 2 3" xfId="28085" xr:uid="{00000000-0005-0000-0000-0000B86D0000}"/>
    <cellStyle name="Normal 2 6 13 2 4" xfId="28086" xr:uid="{00000000-0005-0000-0000-0000B96D0000}"/>
    <cellStyle name="Normal 2 6 13 2 5" xfId="28087" xr:uid="{00000000-0005-0000-0000-0000BA6D0000}"/>
    <cellStyle name="Normal 2 6 13 2 6" xfId="28088" xr:uid="{00000000-0005-0000-0000-0000BB6D0000}"/>
    <cellStyle name="Normal 2 6 13 3" xfId="28089" xr:uid="{00000000-0005-0000-0000-0000BC6D0000}"/>
    <cellStyle name="Normal 2 6 13 3 2" xfId="28090" xr:uid="{00000000-0005-0000-0000-0000BD6D0000}"/>
    <cellStyle name="Normal 2 6 13 3 2 2" xfId="28091" xr:uid="{00000000-0005-0000-0000-0000BE6D0000}"/>
    <cellStyle name="Normal 2 6 13 3 2 3" xfId="28092" xr:uid="{00000000-0005-0000-0000-0000BF6D0000}"/>
    <cellStyle name="Normal 2 6 13 3 3" xfId="28093" xr:uid="{00000000-0005-0000-0000-0000C06D0000}"/>
    <cellStyle name="Normal 2 6 13 3 4" xfId="28094" xr:uid="{00000000-0005-0000-0000-0000C16D0000}"/>
    <cellStyle name="Normal 2 6 13 3 5" xfId="28095" xr:uid="{00000000-0005-0000-0000-0000C26D0000}"/>
    <cellStyle name="Normal 2 6 13 3 6" xfId="28096" xr:uid="{00000000-0005-0000-0000-0000C36D0000}"/>
    <cellStyle name="Normal 2 6 13 4" xfId="28097" xr:uid="{00000000-0005-0000-0000-0000C46D0000}"/>
    <cellStyle name="Normal 2 6 13 4 2" xfId="28098" xr:uid="{00000000-0005-0000-0000-0000C56D0000}"/>
    <cellStyle name="Normal 2 6 13 4 2 2" xfId="28099" xr:uid="{00000000-0005-0000-0000-0000C66D0000}"/>
    <cellStyle name="Normal 2 6 13 4 3" xfId="28100" xr:uid="{00000000-0005-0000-0000-0000C76D0000}"/>
    <cellStyle name="Normal 2 6 13 4 4" xfId="28101" xr:uid="{00000000-0005-0000-0000-0000C86D0000}"/>
    <cellStyle name="Normal 2 6 13 4 5" xfId="28102" xr:uid="{00000000-0005-0000-0000-0000C96D0000}"/>
    <cellStyle name="Normal 2 6 13 5" xfId="28103" xr:uid="{00000000-0005-0000-0000-0000CA6D0000}"/>
    <cellStyle name="Normal 2 6 13 5 2" xfId="28104" xr:uid="{00000000-0005-0000-0000-0000CB6D0000}"/>
    <cellStyle name="Normal 2 6 13 5 3" xfId="28105" xr:uid="{00000000-0005-0000-0000-0000CC6D0000}"/>
    <cellStyle name="Normal 2 6 13 5 4" xfId="28106" xr:uid="{00000000-0005-0000-0000-0000CD6D0000}"/>
    <cellStyle name="Normal 2 6 13 6" xfId="28107" xr:uid="{00000000-0005-0000-0000-0000CE6D0000}"/>
    <cellStyle name="Normal 2 6 13 6 2" xfId="28108" xr:uid="{00000000-0005-0000-0000-0000CF6D0000}"/>
    <cellStyle name="Normal 2 6 13 7" xfId="28109" xr:uid="{00000000-0005-0000-0000-0000D06D0000}"/>
    <cellStyle name="Normal 2 6 13 8" xfId="28110" xr:uid="{00000000-0005-0000-0000-0000D16D0000}"/>
    <cellStyle name="Normal 2 6 13 9" xfId="28111" xr:uid="{00000000-0005-0000-0000-0000D26D0000}"/>
    <cellStyle name="Normal 2 6 14" xfId="28112" xr:uid="{00000000-0005-0000-0000-0000D36D0000}"/>
    <cellStyle name="Normal 2 6 14 10" xfId="28113" xr:uid="{00000000-0005-0000-0000-0000D46D0000}"/>
    <cellStyle name="Normal 2 6 14 2" xfId="28114" xr:uid="{00000000-0005-0000-0000-0000D56D0000}"/>
    <cellStyle name="Normal 2 6 14 2 2" xfId="28115" xr:uid="{00000000-0005-0000-0000-0000D66D0000}"/>
    <cellStyle name="Normal 2 6 14 2 2 2" xfId="28116" xr:uid="{00000000-0005-0000-0000-0000D76D0000}"/>
    <cellStyle name="Normal 2 6 14 2 2 3" xfId="28117" xr:uid="{00000000-0005-0000-0000-0000D86D0000}"/>
    <cellStyle name="Normal 2 6 14 2 3" xfId="28118" xr:uid="{00000000-0005-0000-0000-0000D96D0000}"/>
    <cellStyle name="Normal 2 6 14 2 4" xfId="28119" xr:uid="{00000000-0005-0000-0000-0000DA6D0000}"/>
    <cellStyle name="Normal 2 6 14 2 5" xfId="28120" xr:uid="{00000000-0005-0000-0000-0000DB6D0000}"/>
    <cellStyle name="Normal 2 6 14 2 6" xfId="28121" xr:uid="{00000000-0005-0000-0000-0000DC6D0000}"/>
    <cellStyle name="Normal 2 6 14 3" xfId="28122" xr:uid="{00000000-0005-0000-0000-0000DD6D0000}"/>
    <cellStyle name="Normal 2 6 14 3 2" xfId="28123" xr:uid="{00000000-0005-0000-0000-0000DE6D0000}"/>
    <cellStyle name="Normal 2 6 14 3 2 2" xfId="28124" xr:uid="{00000000-0005-0000-0000-0000DF6D0000}"/>
    <cellStyle name="Normal 2 6 14 3 2 3" xfId="28125" xr:uid="{00000000-0005-0000-0000-0000E06D0000}"/>
    <cellStyle name="Normal 2 6 14 3 3" xfId="28126" xr:uid="{00000000-0005-0000-0000-0000E16D0000}"/>
    <cellStyle name="Normal 2 6 14 3 4" xfId="28127" xr:uid="{00000000-0005-0000-0000-0000E26D0000}"/>
    <cellStyle name="Normal 2 6 14 3 5" xfId="28128" xr:uid="{00000000-0005-0000-0000-0000E36D0000}"/>
    <cellStyle name="Normal 2 6 14 3 6" xfId="28129" xr:uid="{00000000-0005-0000-0000-0000E46D0000}"/>
    <cellStyle name="Normal 2 6 14 4" xfId="28130" xr:uid="{00000000-0005-0000-0000-0000E56D0000}"/>
    <cellStyle name="Normal 2 6 14 4 2" xfId="28131" xr:uid="{00000000-0005-0000-0000-0000E66D0000}"/>
    <cellStyle name="Normal 2 6 14 4 2 2" xfId="28132" xr:uid="{00000000-0005-0000-0000-0000E76D0000}"/>
    <cellStyle name="Normal 2 6 14 4 3" xfId="28133" xr:uid="{00000000-0005-0000-0000-0000E86D0000}"/>
    <cellStyle name="Normal 2 6 14 4 4" xfId="28134" xr:uid="{00000000-0005-0000-0000-0000E96D0000}"/>
    <cellStyle name="Normal 2 6 14 4 5" xfId="28135" xr:uid="{00000000-0005-0000-0000-0000EA6D0000}"/>
    <cellStyle name="Normal 2 6 14 5" xfId="28136" xr:uid="{00000000-0005-0000-0000-0000EB6D0000}"/>
    <cellStyle name="Normal 2 6 14 5 2" xfId="28137" xr:uid="{00000000-0005-0000-0000-0000EC6D0000}"/>
    <cellStyle name="Normal 2 6 14 5 3" xfId="28138" xr:uid="{00000000-0005-0000-0000-0000ED6D0000}"/>
    <cellStyle name="Normal 2 6 14 5 4" xfId="28139" xr:uid="{00000000-0005-0000-0000-0000EE6D0000}"/>
    <cellStyle name="Normal 2 6 14 6" xfId="28140" xr:uid="{00000000-0005-0000-0000-0000EF6D0000}"/>
    <cellStyle name="Normal 2 6 14 6 2" xfId="28141" xr:uid="{00000000-0005-0000-0000-0000F06D0000}"/>
    <cellStyle name="Normal 2 6 14 7" xfId="28142" xr:uid="{00000000-0005-0000-0000-0000F16D0000}"/>
    <cellStyle name="Normal 2 6 14 8" xfId="28143" xr:uid="{00000000-0005-0000-0000-0000F26D0000}"/>
    <cellStyle name="Normal 2 6 14 9" xfId="28144" xr:uid="{00000000-0005-0000-0000-0000F36D0000}"/>
    <cellStyle name="Normal 2 6 15" xfId="28145" xr:uid="{00000000-0005-0000-0000-0000F46D0000}"/>
    <cellStyle name="Normal 2 6 15 10" xfId="28146" xr:uid="{00000000-0005-0000-0000-0000F56D0000}"/>
    <cellStyle name="Normal 2 6 15 2" xfId="28147" xr:uid="{00000000-0005-0000-0000-0000F66D0000}"/>
    <cellStyle name="Normal 2 6 15 2 2" xfId="28148" xr:uid="{00000000-0005-0000-0000-0000F76D0000}"/>
    <cellStyle name="Normal 2 6 15 2 2 2" xfId="28149" xr:uid="{00000000-0005-0000-0000-0000F86D0000}"/>
    <cellStyle name="Normal 2 6 15 2 2 3" xfId="28150" xr:uid="{00000000-0005-0000-0000-0000F96D0000}"/>
    <cellStyle name="Normal 2 6 15 2 3" xfId="28151" xr:uid="{00000000-0005-0000-0000-0000FA6D0000}"/>
    <cellStyle name="Normal 2 6 15 2 4" xfId="28152" xr:uid="{00000000-0005-0000-0000-0000FB6D0000}"/>
    <cellStyle name="Normal 2 6 15 2 5" xfId="28153" xr:uid="{00000000-0005-0000-0000-0000FC6D0000}"/>
    <cellStyle name="Normal 2 6 15 2 6" xfId="28154" xr:uid="{00000000-0005-0000-0000-0000FD6D0000}"/>
    <cellStyle name="Normal 2 6 15 3" xfId="28155" xr:uid="{00000000-0005-0000-0000-0000FE6D0000}"/>
    <cellStyle name="Normal 2 6 15 3 2" xfId="28156" xr:uid="{00000000-0005-0000-0000-0000FF6D0000}"/>
    <cellStyle name="Normal 2 6 15 3 2 2" xfId="28157" xr:uid="{00000000-0005-0000-0000-0000006E0000}"/>
    <cellStyle name="Normal 2 6 15 3 2 3" xfId="28158" xr:uid="{00000000-0005-0000-0000-0000016E0000}"/>
    <cellStyle name="Normal 2 6 15 3 3" xfId="28159" xr:uid="{00000000-0005-0000-0000-0000026E0000}"/>
    <cellStyle name="Normal 2 6 15 3 4" xfId="28160" xr:uid="{00000000-0005-0000-0000-0000036E0000}"/>
    <cellStyle name="Normal 2 6 15 3 5" xfId="28161" xr:uid="{00000000-0005-0000-0000-0000046E0000}"/>
    <cellStyle name="Normal 2 6 15 3 6" xfId="28162" xr:uid="{00000000-0005-0000-0000-0000056E0000}"/>
    <cellStyle name="Normal 2 6 15 4" xfId="28163" xr:uid="{00000000-0005-0000-0000-0000066E0000}"/>
    <cellStyle name="Normal 2 6 15 4 2" xfId="28164" xr:uid="{00000000-0005-0000-0000-0000076E0000}"/>
    <cellStyle name="Normal 2 6 15 4 2 2" xfId="28165" xr:uid="{00000000-0005-0000-0000-0000086E0000}"/>
    <cellStyle name="Normal 2 6 15 4 3" xfId="28166" xr:uid="{00000000-0005-0000-0000-0000096E0000}"/>
    <cellStyle name="Normal 2 6 15 4 4" xfId="28167" xr:uid="{00000000-0005-0000-0000-00000A6E0000}"/>
    <cellStyle name="Normal 2 6 15 4 5" xfId="28168" xr:uid="{00000000-0005-0000-0000-00000B6E0000}"/>
    <cellStyle name="Normal 2 6 15 5" xfId="28169" xr:uid="{00000000-0005-0000-0000-00000C6E0000}"/>
    <cellStyle name="Normal 2 6 15 5 2" xfId="28170" xr:uid="{00000000-0005-0000-0000-00000D6E0000}"/>
    <cellStyle name="Normal 2 6 15 5 3" xfId="28171" xr:uid="{00000000-0005-0000-0000-00000E6E0000}"/>
    <cellStyle name="Normal 2 6 15 5 4" xfId="28172" xr:uid="{00000000-0005-0000-0000-00000F6E0000}"/>
    <cellStyle name="Normal 2 6 15 6" xfId="28173" xr:uid="{00000000-0005-0000-0000-0000106E0000}"/>
    <cellStyle name="Normal 2 6 15 6 2" xfId="28174" xr:uid="{00000000-0005-0000-0000-0000116E0000}"/>
    <cellStyle name="Normal 2 6 15 7" xfId="28175" xr:uid="{00000000-0005-0000-0000-0000126E0000}"/>
    <cellStyle name="Normal 2 6 15 8" xfId="28176" xr:uid="{00000000-0005-0000-0000-0000136E0000}"/>
    <cellStyle name="Normal 2 6 15 9" xfId="28177" xr:uid="{00000000-0005-0000-0000-0000146E0000}"/>
    <cellStyle name="Normal 2 6 16" xfId="28178" xr:uid="{00000000-0005-0000-0000-0000156E0000}"/>
    <cellStyle name="Normal 2 6 16 10" xfId="28179" xr:uid="{00000000-0005-0000-0000-0000166E0000}"/>
    <cellStyle name="Normal 2 6 16 2" xfId="28180" xr:uid="{00000000-0005-0000-0000-0000176E0000}"/>
    <cellStyle name="Normal 2 6 16 2 2" xfId="28181" xr:uid="{00000000-0005-0000-0000-0000186E0000}"/>
    <cellStyle name="Normal 2 6 16 2 2 2" xfId="28182" xr:uid="{00000000-0005-0000-0000-0000196E0000}"/>
    <cellStyle name="Normal 2 6 16 2 2 3" xfId="28183" xr:uid="{00000000-0005-0000-0000-00001A6E0000}"/>
    <cellStyle name="Normal 2 6 16 2 3" xfId="28184" xr:uid="{00000000-0005-0000-0000-00001B6E0000}"/>
    <cellStyle name="Normal 2 6 16 2 4" xfId="28185" xr:uid="{00000000-0005-0000-0000-00001C6E0000}"/>
    <cellStyle name="Normal 2 6 16 2 5" xfId="28186" xr:uid="{00000000-0005-0000-0000-00001D6E0000}"/>
    <cellStyle name="Normal 2 6 16 2 6" xfId="28187" xr:uid="{00000000-0005-0000-0000-00001E6E0000}"/>
    <cellStyle name="Normal 2 6 16 3" xfId="28188" xr:uid="{00000000-0005-0000-0000-00001F6E0000}"/>
    <cellStyle name="Normal 2 6 16 3 2" xfId="28189" xr:uid="{00000000-0005-0000-0000-0000206E0000}"/>
    <cellStyle name="Normal 2 6 16 3 2 2" xfId="28190" xr:uid="{00000000-0005-0000-0000-0000216E0000}"/>
    <cellStyle name="Normal 2 6 16 3 2 3" xfId="28191" xr:uid="{00000000-0005-0000-0000-0000226E0000}"/>
    <cellStyle name="Normal 2 6 16 3 3" xfId="28192" xr:uid="{00000000-0005-0000-0000-0000236E0000}"/>
    <cellStyle name="Normal 2 6 16 3 4" xfId="28193" xr:uid="{00000000-0005-0000-0000-0000246E0000}"/>
    <cellStyle name="Normal 2 6 16 3 5" xfId="28194" xr:uid="{00000000-0005-0000-0000-0000256E0000}"/>
    <cellStyle name="Normal 2 6 16 3 6" xfId="28195" xr:uid="{00000000-0005-0000-0000-0000266E0000}"/>
    <cellStyle name="Normal 2 6 16 4" xfId="28196" xr:uid="{00000000-0005-0000-0000-0000276E0000}"/>
    <cellStyle name="Normal 2 6 16 4 2" xfId="28197" xr:uid="{00000000-0005-0000-0000-0000286E0000}"/>
    <cellStyle name="Normal 2 6 16 4 2 2" xfId="28198" xr:uid="{00000000-0005-0000-0000-0000296E0000}"/>
    <cellStyle name="Normal 2 6 16 4 3" xfId="28199" xr:uid="{00000000-0005-0000-0000-00002A6E0000}"/>
    <cellStyle name="Normal 2 6 16 4 4" xfId="28200" xr:uid="{00000000-0005-0000-0000-00002B6E0000}"/>
    <cellStyle name="Normal 2 6 16 4 5" xfId="28201" xr:uid="{00000000-0005-0000-0000-00002C6E0000}"/>
    <cellStyle name="Normal 2 6 16 5" xfId="28202" xr:uid="{00000000-0005-0000-0000-00002D6E0000}"/>
    <cellStyle name="Normal 2 6 16 5 2" xfId="28203" xr:uid="{00000000-0005-0000-0000-00002E6E0000}"/>
    <cellStyle name="Normal 2 6 16 5 3" xfId="28204" xr:uid="{00000000-0005-0000-0000-00002F6E0000}"/>
    <cellStyle name="Normal 2 6 16 5 4" xfId="28205" xr:uid="{00000000-0005-0000-0000-0000306E0000}"/>
    <cellStyle name="Normal 2 6 16 6" xfId="28206" xr:uid="{00000000-0005-0000-0000-0000316E0000}"/>
    <cellStyle name="Normal 2 6 16 6 2" xfId="28207" xr:uid="{00000000-0005-0000-0000-0000326E0000}"/>
    <cellStyle name="Normal 2 6 16 7" xfId="28208" xr:uid="{00000000-0005-0000-0000-0000336E0000}"/>
    <cellStyle name="Normal 2 6 16 8" xfId="28209" xr:uid="{00000000-0005-0000-0000-0000346E0000}"/>
    <cellStyle name="Normal 2 6 16 9" xfId="28210" xr:uid="{00000000-0005-0000-0000-0000356E0000}"/>
    <cellStyle name="Normal 2 6 17" xfId="28211" xr:uid="{00000000-0005-0000-0000-0000366E0000}"/>
    <cellStyle name="Normal 2 6 17 10" xfId="28212" xr:uid="{00000000-0005-0000-0000-0000376E0000}"/>
    <cellStyle name="Normal 2 6 17 2" xfId="28213" xr:uid="{00000000-0005-0000-0000-0000386E0000}"/>
    <cellStyle name="Normal 2 6 17 2 2" xfId="28214" xr:uid="{00000000-0005-0000-0000-0000396E0000}"/>
    <cellStyle name="Normal 2 6 17 2 2 2" xfId="28215" xr:uid="{00000000-0005-0000-0000-00003A6E0000}"/>
    <cellStyle name="Normal 2 6 17 2 2 3" xfId="28216" xr:uid="{00000000-0005-0000-0000-00003B6E0000}"/>
    <cellStyle name="Normal 2 6 17 2 3" xfId="28217" xr:uid="{00000000-0005-0000-0000-00003C6E0000}"/>
    <cellStyle name="Normal 2 6 17 2 4" xfId="28218" xr:uid="{00000000-0005-0000-0000-00003D6E0000}"/>
    <cellStyle name="Normal 2 6 17 2 5" xfId="28219" xr:uid="{00000000-0005-0000-0000-00003E6E0000}"/>
    <cellStyle name="Normal 2 6 17 2 6" xfId="28220" xr:uid="{00000000-0005-0000-0000-00003F6E0000}"/>
    <cellStyle name="Normal 2 6 17 3" xfId="28221" xr:uid="{00000000-0005-0000-0000-0000406E0000}"/>
    <cellStyle name="Normal 2 6 17 3 2" xfId="28222" xr:uid="{00000000-0005-0000-0000-0000416E0000}"/>
    <cellStyle name="Normal 2 6 17 3 2 2" xfId="28223" xr:uid="{00000000-0005-0000-0000-0000426E0000}"/>
    <cellStyle name="Normal 2 6 17 3 2 3" xfId="28224" xr:uid="{00000000-0005-0000-0000-0000436E0000}"/>
    <cellStyle name="Normal 2 6 17 3 3" xfId="28225" xr:uid="{00000000-0005-0000-0000-0000446E0000}"/>
    <cellStyle name="Normal 2 6 17 3 4" xfId="28226" xr:uid="{00000000-0005-0000-0000-0000456E0000}"/>
    <cellStyle name="Normal 2 6 17 3 5" xfId="28227" xr:uid="{00000000-0005-0000-0000-0000466E0000}"/>
    <cellStyle name="Normal 2 6 17 3 6" xfId="28228" xr:uid="{00000000-0005-0000-0000-0000476E0000}"/>
    <cellStyle name="Normal 2 6 17 4" xfId="28229" xr:uid="{00000000-0005-0000-0000-0000486E0000}"/>
    <cellStyle name="Normal 2 6 17 4 2" xfId="28230" xr:uid="{00000000-0005-0000-0000-0000496E0000}"/>
    <cellStyle name="Normal 2 6 17 4 2 2" xfId="28231" xr:uid="{00000000-0005-0000-0000-00004A6E0000}"/>
    <cellStyle name="Normal 2 6 17 4 3" xfId="28232" xr:uid="{00000000-0005-0000-0000-00004B6E0000}"/>
    <cellStyle name="Normal 2 6 17 4 4" xfId="28233" xr:uid="{00000000-0005-0000-0000-00004C6E0000}"/>
    <cellStyle name="Normal 2 6 17 4 5" xfId="28234" xr:uid="{00000000-0005-0000-0000-00004D6E0000}"/>
    <cellStyle name="Normal 2 6 17 5" xfId="28235" xr:uid="{00000000-0005-0000-0000-00004E6E0000}"/>
    <cellStyle name="Normal 2 6 17 5 2" xfId="28236" xr:uid="{00000000-0005-0000-0000-00004F6E0000}"/>
    <cellStyle name="Normal 2 6 17 5 3" xfId="28237" xr:uid="{00000000-0005-0000-0000-0000506E0000}"/>
    <cellStyle name="Normal 2 6 17 5 4" xfId="28238" xr:uid="{00000000-0005-0000-0000-0000516E0000}"/>
    <cellStyle name="Normal 2 6 17 6" xfId="28239" xr:uid="{00000000-0005-0000-0000-0000526E0000}"/>
    <cellStyle name="Normal 2 6 17 6 2" xfId="28240" xr:uid="{00000000-0005-0000-0000-0000536E0000}"/>
    <cellStyle name="Normal 2 6 17 7" xfId="28241" xr:uid="{00000000-0005-0000-0000-0000546E0000}"/>
    <cellStyle name="Normal 2 6 17 8" xfId="28242" xr:uid="{00000000-0005-0000-0000-0000556E0000}"/>
    <cellStyle name="Normal 2 6 17 9" xfId="28243" xr:uid="{00000000-0005-0000-0000-0000566E0000}"/>
    <cellStyle name="Normal 2 6 18" xfId="28244" xr:uid="{00000000-0005-0000-0000-0000576E0000}"/>
    <cellStyle name="Normal 2 6 18 10" xfId="28245" xr:uid="{00000000-0005-0000-0000-0000586E0000}"/>
    <cellStyle name="Normal 2 6 18 2" xfId="28246" xr:uid="{00000000-0005-0000-0000-0000596E0000}"/>
    <cellStyle name="Normal 2 6 18 2 2" xfId="28247" xr:uid="{00000000-0005-0000-0000-00005A6E0000}"/>
    <cellStyle name="Normal 2 6 18 2 2 2" xfId="28248" xr:uid="{00000000-0005-0000-0000-00005B6E0000}"/>
    <cellStyle name="Normal 2 6 18 2 2 3" xfId="28249" xr:uid="{00000000-0005-0000-0000-00005C6E0000}"/>
    <cellStyle name="Normal 2 6 18 2 3" xfId="28250" xr:uid="{00000000-0005-0000-0000-00005D6E0000}"/>
    <cellStyle name="Normal 2 6 18 2 4" xfId="28251" xr:uid="{00000000-0005-0000-0000-00005E6E0000}"/>
    <cellStyle name="Normal 2 6 18 2 5" xfId="28252" xr:uid="{00000000-0005-0000-0000-00005F6E0000}"/>
    <cellStyle name="Normal 2 6 18 2 6" xfId="28253" xr:uid="{00000000-0005-0000-0000-0000606E0000}"/>
    <cellStyle name="Normal 2 6 18 3" xfId="28254" xr:uid="{00000000-0005-0000-0000-0000616E0000}"/>
    <cellStyle name="Normal 2 6 18 3 2" xfId="28255" xr:uid="{00000000-0005-0000-0000-0000626E0000}"/>
    <cellStyle name="Normal 2 6 18 3 2 2" xfId="28256" xr:uid="{00000000-0005-0000-0000-0000636E0000}"/>
    <cellStyle name="Normal 2 6 18 3 2 3" xfId="28257" xr:uid="{00000000-0005-0000-0000-0000646E0000}"/>
    <cellStyle name="Normal 2 6 18 3 3" xfId="28258" xr:uid="{00000000-0005-0000-0000-0000656E0000}"/>
    <cellStyle name="Normal 2 6 18 3 4" xfId="28259" xr:uid="{00000000-0005-0000-0000-0000666E0000}"/>
    <cellStyle name="Normal 2 6 18 3 5" xfId="28260" xr:uid="{00000000-0005-0000-0000-0000676E0000}"/>
    <cellStyle name="Normal 2 6 18 3 6" xfId="28261" xr:uid="{00000000-0005-0000-0000-0000686E0000}"/>
    <cellStyle name="Normal 2 6 18 4" xfId="28262" xr:uid="{00000000-0005-0000-0000-0000696E0000}"/>
    <cellStyle name="Normal 2 6 18 4 2" xfId="28263" xr:uid="{00000000-0005-0000-0000-00006A6E0000}"/>
    <cellStyle name="Normal 2 6 18 4 2 2" xfId="28264" xr:uid="{00000000-0005-0000-0000-00006B6E0000}"/>
    <cellStyle name="Normal 2 6 18 4 3" xfId="28265" xr:uid="{00000000-0005-0000-0000-00006C6E0000}"/>
    <cellStyle name="Normal 2 6 18 4 4" xfId="28266" xr:uid="{00000000-0005-0000-0000-00006D6E0000}"/>
    <cellStyle name="Normal 2 6 18 4 5" xfId="28267" xr:uid="{00000000-0005-0000-0000-00006E6E0000}"/>
    <cellStyle name="Normal 2 6 18 5" xfId="28268" xr:uid="{00000000-0005-0000-0000-00006F6E0000}"/>
    <cellStyle name="Normal 2 6 18 5 2" xfId="28269" xr:uid="{00000000-0005-0000-0000-0000706E0000}"/>
    <cellStyle name="Normal 2 6 18 5 3" xfId="28270" xr:uid="{00000000-0005-0000-0000-0000716E0000}"/>
    <cellStyle name="Normal 2 6 18 5 4" xfId="28271" xr:uid="{00000000-0005-0000-0000-0000726E0000}"/>
    <cellStyle name="Normal 2 6 18 6" xfId="28272" xr:uid="{00000000-0005-0000-0000-0000736E0000}"/>
    <cellStyle name="Normal 2 6 18 6 2" xfId="28273" xr:uid="{00000000-0005-0000-0000-0000746E0000}"/>
    <cellStyle name="Normal 2 6 18 7" xfId="28274" xr:uid="{00000000-0005-0000-0000-0000756E0000}"/>
    <cellStyle name="Normal 2 6 18 8" xfId="28275" xr:uid="{00000000-0005-0000-0000-0000766E0000}"/>
    <cellStyle name="Normal 2 6 18 9" xfId="28276" xr:uid="{00000000-0005-0000-0000-0000776E0000}"/>
    <cellStyle name="Normal 2 6 19" xfId="28277" xr:uid="{00000000-0005-0000-0000-0000786E0000}"/>
    <cellStyle name="Normal 2 6 19 10" xfId="28278" xr:uid="{00000000-0005-0000-0000-0000796E0000}"/>
    <cellStyle name="Normal 2 6 19 2" xfId="28279" xr:uid="{00000000-0005-0000-0000-00007A6E0000}"/>
    <cellStyle name="Normal 2 6 19 2 2" xfId="28280" xr:uid="{00000000-0005-0000-0000-00007B6E0000}"/>
    <cellStyle name="Normal 2 6 19 2 2 2" xfId="28281" xr:uid="{00000000-0005-0000-0000-00007C6E0000}"/>
    <cellStyle name="Normal 2 6 19 2 2 3" xfId="28282" xr:uid="{00000000-0005-0000-0000-00007D6E0000}"/>
    <cellStyle name="Normal 2 6 19 2 3" xfId="28283" xr:uid="{00000000-0005-0000-0000-00007E6E0000}"/>
    <cellStyle name="Normal 2 6 19 2 4" xfId="28284" xr:uid="{00000000-0005-0000-0000-00007F6E0000}"/>
    <cellStyle name="Normal 2 6 19 2 5" xfId="28285" xr:uid="{00000000-0005-0000-0000-0000806E0000}"/>
    <cellStyle name="Normal 2 6 19 2 6" xfId="28286" xr:uid="{00000000-0005-0000-0000-0000816E0000}"/>
    <cellStyle name="Normal 2 6 19 3" xfId="28287" xr:uid="{00000000-0005-0000-0000-0000826E0000}"/>
    <cellStyle name="Normal 2 6 19 3 2" xfId="28288" xr:uid="{00000000-0005-0000-0000-0000836E0000}"/>
    <cellStyle name="Normal 2 6 19 3 2 2" xfId="28289" xr:uid="{00000000-0005-0000-0000-0000846E0000}"/>
    <cellStyle name="Normal 2 6 19 3 2 3" xfId="28290" xr:uid="{00000000-0005-0000-0000-0000856E0000}"/>
    <cellStyle name="Normal 2 6 19 3 3" xfId="28291" xr:uid="{00000000-0005-0000-0000-0000866E0000}"/>
    <cellStyle name="Normal 2 6 19 3 4" xfId="28292" xr:uid="{00000000-0005-0000-0000-0000876E0000}"/>
    <cellStyle name="Normal 2 6 19 3 5" xfId="28293" xr:uid="{00000000-0005-0000-0000-0000886E0000}"/>
    <cellStyle name="Normal 2 6 19 3 6" xfId="28294" xr:uid="{00000000-0005-0000-0000-0000896E0000}"/>
    <cellStyle name="Normal 2 6 19 4" xfId="28295" xr:uid="{00000000-0005-0000-0000-00008A6E0000}"/>
    <cellStyle name="Normal 2 6 19 4 2" xfId="28296" xr:uid="{00000000-0005-0000-0000-00008B6E0000}"/>
    <cellStyle name="Normal 2 6 19 4 2 2" xfId="28297" xr:uid="{00000000-0005-0000-0000-00008C6E0000}"/>
    <cellStyle name="Normal 2 6 19 4 3" xfId="28298" xr:uid="{00000000-0005-0000-0000-00008D6E0000}"/>
    <cellStyle name="Normal 2 6 19 4 4" xfId="28299" xr:uid="{00000000-0005-0000-0000-00008E6E0000}"/>
    <cellStyle name="Normal 2 6 19 4 5" xfId="28300" xr:uid="{00000000-0005-0000-0000-00008F6E0000}"/>
    <cellStyle name="Normal 2 6 19 5" xfId="28301" xr:uid="{00000000-0005-0000-0000-0000906E0000}"/>
    <cellStyle name="Normal 2 6 19 5 2" xfId="28302" xr:uid="{00000000-0005-0000-0000-0000916E0000}"/>
    <cellStyle name="Normal 2 6 19 5 3" xfId="28303" xr:uid="{00000000-0005-0000-0000-0000926E0000}"/>
    <cellStyle name="Normal 2 6 19 5 4" xfId="28304" xr:uid="{00000000-0005-0000-0000-0000936E0000}"/>
    <cellStyle name="Normal 2 6 19 6" xfId="28305" xr:uid="{00000000-0005-0000-0000-0000946E0000}"/>
    <cellStyle name="Normal 2 6 19 6 2" xfId="28306" xr:uid="{00000000-0005-0000-0000-0000956E0000}"/>
    <cellStyle name="Normal 2 6 19 7" xfId="28307" xr:uid="{00000000-0005-0000-0000-0000966E0000}"/>
    <cellStyle name="Normal 2 6 19 8" xfId="28308" xr:uid="{00000000-0005-0000-0000-0000976E0000}"/>
    <cellStyle name="Normal 2 6 19 9" xfId="28309" xr:uid="{00000000-0005-0000-0000-0000986E0000}"/>
    <cellStyle name="Normal 2 6 2" xfId="28310" xr:uid="{00000000-0005-0000-0000-0000996E0000}"/>
    <cellStyle name="Normal 2 6 2 10" xfId="28311" xr:uid="{00000000-0005-0000-0000-00009A6E0000}"/>
    <cellStyle name="Normal 2 6 2 10 10" xfId="28312" xr:uid="{00000000-0005-0000-0000-00009B6E0000}"/>
    <cellStyle name="Normal 2 6 2 10 2" xfId="28313" xr:uid="{00000000-0005-0000-0000-00009C6E0000}"/>
    <cellStyle name="Normal 2 6 2 10 2 2" xfId="28314" xr:uid="{00000000-0005-0000-0000-00009D6E0000}"/>
    <cellStyle name="Normal 2 6 2 10 2 2 2" xfId="28315" xr:uid="{00000000-0005-0000-0000-00009E6E0000}"/>
    <cellStyle name="Normal 2 6 2 10 2 2 3" xfId="28316" xr:uid="{00000000-0005-0000-0000-00009F6E0000}"/>
    <cellStyle name="Normal 2 6 2 10 2 3" xfId="28317" xr:uid="{00000000-0005-0000-0000-0000A06E0000}"/>
    <cellStyle name="Normal 2 6 2 10 2 4" xfId="28318" xr:uid="{00000000-0005-0000-0000-0000A16E0000}"/>
    <cellStyle name="Normal 2 6 2 10 2 5" xfId="28319" xr:uid="{00000000-0005-0000-0000-0000A26E0000}"/>
    <cellStyle name="Normal 2 6 2 10 2 6" xfId="28320" xr:uid="{00000000-0005-0000-0000-0000A36E0000}"/>
    <cellStyle name="Normal 2 6 2 10 3" xfId="28321" xr:uid="{00000000-0005-0000-0000-0000A46E0000}"/>
    <cellStyle name="Normal 2 6 2 10 3 2" xfId="28322" xr:uid="{00000000-0005-0000-0000-0000A56E0000}"/>
    <cellStyle name="Normal 2 6 2 10 3 2 2" xfId="28323" xr:uid="{00000000-0005-0000-0000-0000A66E0000}"/>
    <cellStyle name="Normal 2 6 2 10 3 2 3" xfId="28324" xr:uid="{00000000-0005-0000-0000-0000A76E0000}"/>
    <cellStyle name="Normal 2 6 2 10 3 3" xfId="28325" xr:uid="{00000000-0005-0000-0000-0000A86E0000}"/>
    <cellStyle name="Normal 2 6 2 10 3 4" xfId="28326" xr:uid="{00000000-0005-0000-0000-0000A96E0000}"/>
    <cellStyle name="Normal 2 6 2 10 3 5" xfId="28327" xr:uid="{00000000-0005-0000-0000-0000AA6E0000}"/>
    <cellStyle name="Normal 2 6 2 10 3 6" xfId="28328" xr:uid="{00000000-0005-0000-0000-0000AB6E0000}"/>
    <cellStyle name="Normal 2 6 2 10 4" xfId="28329" xr:uid="{00000000-0005-0000-0000-0000AC6E0000}"/>
    <cellStyle name="Normal 2 6 2 10 4 2" xfId="28330" xr:uid="{00000000-0005-0000-0000-0000AD6E0000}"/>
    <cellStyle name="Normal 2 6 2 10 4 2 2" xfId="28331" xr:uid="{00000000-0005-0000-0000-0000AE6E0000}"/>
    <cellStyle name="Normal 2 6 2 10 4 3" xfId="28332" xr:uid="{00000000-0005-0000-0000-0000AF6E0000}"/>
    <cellStyle name="Normal 2 6 2 10 4 4" xfId="28333" xr:uid="{00000000-0005-0000-0000-0000B06E0000}"/>
    <cellStyle name="Normal 2 6 2 10 4 5" xfId="28334" xr:uid="{00000000-0005-0000-0000-0000B16E0000}"/>
    <cellStyle name="Normal 2 6 2 10 5" xfId="28335" xr:uid="{00000000-0005-0000-0000-0000B26E0000}"/>
    <cellStyle name="Normal 2 6 2 10 5 2" xfId="28336" xr:uid="{00000000-0005-0000-0000-0000B36E0000}"/>
    <cellStyle name="Normal 2 6 2 10 5 3" xfId="28337" xr:uid="{00000000-0005-0000-0000-0000B46E0000}"/>
    <cellStyle name="Normal 2 6 2 10 5 4" xfId="28338" xr:uid="{00000000-0005-0000-0000-0000B56E0000}"/>
    <cellStyle name="Normal 2 6 2 10 6" xfId="28339" xr:uid="{00000000-0005-0000-0000-0000B66E0000}"/>
    <cellStyle name="Normal 2 6 2 10 6 2" xfId="28340" xr:uid="{00000000-0005-0000-0000-0000B76E0000}"/>
    <cellStyle name="Normal 2 6 2 10 7" xfId="28341" xr:uid="{00000000-0005-0000-0000-0000B86E0000}"/>
    <cellStyle name="Normal 2 6 2 10 8" xfId="28342" xr:uid="{00000000-0005-0000-0000-0000B96E0000}"/>
    <cellStyle name="Normal 2 6 2 10 9" xfId="28343" xr:uid="{00000000-0005-0000-0000-0000BA6E0000}"/>
    <cellStyle name="Normal 2 6 2 11" xfId="28344" xr:uid="{00000000-0005-0000-0000-0000BB6E0000}"/>
    <cellStyle name="Normal 2 6 2 11 10" xfId="28345" xr:uid="{00000000-0005-0000-0000-0000BC6E0000}"/>
    <cellStyle name="Normal 2 6 2 11 2" xfId="28346" xr:uid="{00000000-0005-0000-0000-0000BD6E0000}"/>
    <cellStyle name="Normal 2 6 2 11 2 2" xfId="28347" xr:uid="{00000000-0005-0000-0000-0000BE6E0000}"/>
    <cellStyle name="Normal 2 6 2 11 2 2 2" xfId="28348" xr:uid="{00000000-0005-0000-0000-0000BF6E0000}"/>
    <cellStyle name="Normal 2 6 2 11 2 2 3" xfId="28349" xr:uid="{00000000-0005-0000-0000-0000C06E0000}"/>
    <cellStyle name="Normal 2 6 2 11 2 3" xfId="28350" xr:uid="{00000000-0005-0000-0000-0000C16E0000}"/>
    <cellStyle name="Normal 2 6 2 11 2 4" xfId="28351" xr:uid="{00000000-0005-0000-0000-0000C26E0000}"/>
    <cellStyle name="Normal 2 6 2 11 2 5" xfId="28352" xr:uid="{00000000-0005-0000-0000-0000C36E0000}"/>
    <cellStyle name="Normal 2 6 2 11 2 6" xfId="28353" xr:uid="{00000000-0005-0000-0000-0000C46E0000}"/>
    <cellStyle name="Normal 2 6 2 11 3" xfId="28354" xr:uid="{00000000-0005-0000-0000-0000C56E0000}"/>
    <cellStyle name="Normal 2 6 2 11 3 2" xfId="28355" xr:uid="{00000000-0005-0000-0000-0000C66E0000}"/>
    <cellStyle name="Normal 2 6 2 11 3 2 2" xfId="28356" xr:uid="{00000000-0005-0000-0000-0000C76E0000}"/>
    <cellStyle name="Normal 2 6 2 11 3 2 3" xfId="28357" xr:uid="{00000000-0005-0000-0000-0000C86E0000}"/>
    <cellStyle name="Normal 2 6 2 11 3 3" xfId="28358" xr:uid="{00000000-0005-0000-0000-0000C96E0000}"/>
    <cellStyle name="Normal 2 6 2 11 3 4" xfId="28359" xr:uid="{00000000-0005-0000-0000-0000CA6E0000}"/>
    <cellStyle name="Normal 2 6 2 11 3 5" xfId="28360" xr:uid="{00000000-0005-0000-0000-0000CB6E0000}"/>
    <cellStyle name="Normal 2 6 2 11 3 6" xfId="28361" xr:uid="{00000000-0005-0000-0000-0000CC6E0000}"/>
    <cellStyle name="Normal 2 6 2 11 4" xfId="28362" xr:uid="{00000000-0005-0000-0000-0000CD6E0000}"/>
    <cellStyle name="Normal 2 6 2 11 4 2" xfId="28363" xr:uid="{00000000-0005-0000-0000-0000CE6E0000}"/>
    <cellStyle name="Normal 2 6 2 11 4 2 2" xfId="28364" xr:uid="{00000000-0005-0000-0000-0000CF6E0000}"/>
    <cellStyle name="Normal 2 6 2 11 4 3" xfId="28365" xr:uid="{00000000-0005-0000-0000-0000D06E0000}"/>
    <cellStyle name="Normal 2 6 2 11 4 4" xfId="28366" xr:uid="{00000000-0005-0000-0000-0000D16E0000}"/>
    <cellStyle name="Normal 2 6 2 11 4 5" xfId="28367" xr:uid="{00000000-0005-0000-0000-0000D26E0000}"/>
    <cellStyle name="Normal 2 6 2 11 5" xfId="28368" xr:uid="{00000000-0005-0000-0000-0000D36E0000}"/>
    <cellStyle name="Normal 2 6 2 11 5 2" xfId="28369" xr:uid="{00000000-0005-0000-0000-0000D46E0000}"/>
    <cellStyle name="Normal 2 6 2 11 5 3" xfId="28370" xr:uid="{00000000-0005-0000-0000-0000D56E0000}"/>
    <cellStyle name="Normal 2 6 2 11 5 4" xfId="28371" xr:uid="{00000000-0005-0000-0000-0000D66E0000}"/>
    <cellStyle name="Normal 2 6 2 11 6" xfId="28372" xr:uid="{00000000-0005-0000-0000-0000D76E0000}"/>
    <cellStyle name="Normal 2 6 2 11 6 2" xfId="28373" xr:uid="{00000000-0005-0000-0000-0000D86E0000}"/>
    <cellStyle name="Normal 2 6 2 11 7" xfId="28374" xr:uid="{00000000-0005-0000-0000-0000D96E0000}"/>
    <cellStyle name="Normal 2 6 2 11 8" xfId="28375" xr:uid="{00000000-0005-0000-0000-0000DA6E0000}"/>
    <cellStyle name="Normal 2 6 2 11 9" xfId="28376" xr:uid="{00000000-0005-0000-0000-0000DB6E0000}"/>
    <cellStyle name="Normal 2 6 2 12" xfId="28377" xr:uid="{00000000-0005-0000-0000-0000DC6E0000}"/>
    <cellStyle name="Normal 2 6 2 12 10" xfId="28378" xr:uid="{00000000-0005-0000-0000-0000DD6E0000}"/>
    <cellStyle name="Normal 2 6 2 12 2" xfId="28379" xr:uid="{00000000-0005-0000-0000-0000DE6E0000}"/>
    <cellStyle name="Normal 2 6 2 12 2 2" xfId="28380" xr:uid="{00000000-0005-0000-0000-0000DF6E0000}"/>
    <cellStyle name="Normal 2 6 2 12 2 2 2" xfId="28381" xr:uid="{00000000-0005-0000-0000-0000E06E0000}"/>
    <cellStyle name="Normal 2 6 2 12 2 2 3" xfId="28382" xr:uid="{00000000-0005-0000-0000-0000E16E0000}"/>
    <cellStyle name="Normal 2 6 2 12 2 3" xfId="28383" xr:uid="{00000000-0005-0000-0000-0000E26E0000}"/>
    <cellStyle name="Normal 2 6 2 12 2 4" xfId="28384" xr:uid="{00000000-0005-0000-0000-0000E36E0000}"/>
    <cellStyle name="Normal 2 6 2 12 2 5" xfId="28385" xr:uid="{00000000-0005-0000-0000-0000E46E0000}"/>
    <cellStyle name="Normal 2 6 2 12 2 6" xfId="28386" xr:uid="{00000000-0005-0000-0000-0000E56E0000}"/>
    <cellStyle name="Normal 2 6 2 12 3" xfId="28387" xr:uid="{00000000-0005-0000-0000-0000E66E0000}"/>
    <cellStyle name="Normal 2 6 2 12 3 2" xfId="28388" xr:uid="{00000000-0005-0000-0000-0000E76E0000}"/>
    <cellStyle name="Normal 2 6 2 12 3 2 2" xfId="28389" xr:uid="{00000000-0005-0000-0000-0000E86E0000}"/>
    <cellStyle name="Normal 2 6 2 12 3 2 3" xfId="28390" xr:uid="{00000000-0005-0000-0000-0000E96E0000}"/>
    <cellStyle name="Normal 2 6 2 12 3 3" xfId="28391" xr:uid="{00000000-0005-0000-0000-0000EA6E0000}"/>
    <cellStyle name="Normal 2 6 2 12 3 4" xfId="28392" xr:uid="{00000000-0005-0000-0000-0000EB6E0000}"/>
    <cellStyle name="Normal 2 6 2 12 3 5" xfId="28393" xr:uid="{00000000-0005-0000-0000-0000EC6E0000}"/>
    <cellStyle name="Normal 2 6 2 12 3 6" xfId="28394" xr:uid="{00000000-0005-0000-0000-0000ED6E0000}"/>
    <cellStyle name="Normal 2 6 2 12 4" xfId="28395" xr:uid="{00000000-0005-0000-0000-0000EE6E0000}"/>
    <cellStyle name="Normal 2 6 2 12 4 2" xfId="28396" xr:uid="{00000000-0005-0000-0000-0000EF6E0000}"/>
    <cellStyle name="Normal 2 6 2 12 4 2 2" xfId="28397" xr:uid="{00000000-0005-0000-0000-0000F06E0000}"/>
    <cellStyle name="Normal 2 6 2 12 4 3" xfId="28398" xr:uid="{00000000-0005-0000-0000-0000F16E0000}"/>
    <cellStyle name="Normal 2 6 2 12 4 4" xfId="28399" xr:uid="{00000000-0005-0000-0000-0000F26E0000}"/>
    <cellStyle name="Normal 2 6 2 12 4 5" xfId="28400" xr:uid="{00000000-0005-0000-0000-0000F36E0000}"/>
    <cellStyle name="Normal 2 6 2 12 5" xfId="28401" xr:uid="{00000000-0005-0000-0000-0000F46E0000}"/>
    <cellStyle name="Normal 2 6 2 12 5 2" xfId="28402" xr:uid="{00000000-0005-0000-0000-0000F56E0000}"/>
    <cellStyle name="Normal 2 6 2 12 5 3" xfId="28403" xr:uid="{00000000-0005-0000-0000-0000F66E0000}"/>
    <cellStyle name="Normal 2 6 2 12 5 4" xfId="28404" xr:uid="{00000000-0005-0000-0000-0000F76E0000}"/>
    <cellStyle name="Normal 2 6 2 12 6" xfId="28405" xr:uid="{00000000-0005-0000-0000-0000F86E0000}"/>
    <cellStyle name="Normal 2 6 2 12 6 2" xfId="28406" xr:uid="{00000000-0005-0000-0000-0000F96E0000}"/>
    <cellStyle name="Normal 2 6 2 12 7" xfId="28407" xr:uid="{00000000-0005-0000-0000-0000FA6E0000}"/>
    <cellStyle name="Normal 2 6 2 12 8" xfId="28408" xr:uid="{00000000-0005-0000-0000-0000FB6E0000}"/>
    <cellStyle name="Normal 2 6 2 12 9" xfId="28409" xr:uid="{00000000-0005-0000-0000-0000FC6E0000}"/>
    <cellStyle name="Normal 2 6 2 13" xfId="28410" xr:uid="{00000000-0005-0000-0000-0000FD6E0000}"/>
    <cellStyle name="Normal 2 6 2 13 2" xfId="28411" xr:uid="{00000000-0005-0000-0000-0000FE6E0000}"/>
    <cellStyle name="Normal 2 6 2 13 2 2" xfId="28412" xr:uid="{00000000-0005-0000-0000-0000FF6E0000}"/>
    <cellStyle name="Normal 2 6 2 13 2 2 2" xfId="28413" xr:uid="{00000000-0005-0000-0000-0000006F0000}"/>
    <cellStyle name="Normal 2 6 2 13 2 2 3" xfId="28414" xr:uid="{00000000-0005-0000-0000-0000016F0000}"/>
    <cellStyle name="Normal 2 6 2 13 2 3" xfId="28415" xr:uid="{00000000-0005-0000-0000-0000026F0000}"/>
    <cellStyle name="Normal 2 6 2 13 2 4" xfId="28416" xr:uid="{00000000-0005-0000-0000-0000036F0000}"/>
    <cellStyle name="Normal 2 6 2 13 2 5" xfId="28417" xr:uid="{00000000-0005-0000-0000-0000046F0000}"/>
    <cellStyle name="Normal 2 6 2 13 2 6" xfId="28418" xr:uid="{00000000-0005-0000-0000-0000056F0000}"/>
    <cellStyle name="Normal 2 6 2 13 3" xfId="28419" xr:uid="{00000000-0005-0000-0000-0000066F0000}"/>
    <cellStyle name="Normal 2 6 2 13 3 2" xfId="28420" xr:uid="{00000000-0005-0000-0000-0000076F0000}"/>
    <cellStyle name="Normal 2 6 2 13 3 2 2" xfId="28421" xr:uid="{00000000-0005-0000-0000-0000086F0000}"/>
    <cellStyle name="Normal 2 6 2 13 3 3" xfId="28422" xr:uid="{00000000-0005-0000-0000-0000096F0000}"/>
    <cellStyle name="Normal 2 6 2 13 3 4" xfId="28423" xr:uid="{00000000-0005-0000-0000-00000A6F0000}"/>
    <cellStyle name="Normal 2 6 2 13 3 5" xfId="28424" xr:uid="{00000000-0005-0000-0000-00000B6F0000}"/>
    <cellStyle name="Normal 2 6 2 13 4" xfId="28425" xr:uid="{00000000-0005-0000-0000-00000C6F0000}"/>
    <cellStyle name="Normal 2 6 2 13 4 2" xfId="28426" xr:uid="{00000000-0005-0000-0000-00000D6F0000}"/>
    <cellStyle name="Normal 2 6 2 13 4 3" xfId="28427" xr:uid="{00000000-0005-0000-0000-00000E6F0000}"/>
    <cellStyle name="Normal 2 6 2 13 4 4" xfId="28428" xr:uid="{00000000-0005-0000-0000-00000F6F0000}"/>
    <cellStyle name="Normal 2 6 2 13 5" xfId="28429" xr:uid="{00000000-0005-0000-0000-0000106F0000}"/>
    <cellStyle name="Normal 2 6 2 13 5 2" xfId="28430" xr:uid="{00000000-0005-0000-0000-0000116F0000}"/>
    <cellStyle name="Normal 2 6 2 13 6" xfId="28431" xr:uid="{00000000-0005-0000-0000-0000126F0000}"/>
    <cellStyle name="Normal 2 6 2 13 7" xfId="28432" xr:uid="{00000000-0005-0000-0000-0000136F0000}"/>
    <cellStyle name="Normal 2 6 2 13 8" xfId="28433" xr:uid="{00000000-0005-0000-0000-0000146F0000}"/>
    <cellStyle name="Normal 2 6 2 13 9" xfId="28434" xr:uid="{00000000-0005-0000-0000-0000156F0000}"/>
    <cellStyle name="Normal 2 6 2 14" xfId="28435" xr:uid="{00000000-0005-0000-0000-0000166F0000}"/>
    <cellStyle name="Normal 2 6 2 14 2" xfId="28436" xr:uid="{00000000-0005-0000-0000-0000176F0000}"/>
    <cellStyle name="Normal 2 6 2 14 2 2" xfId="28437" xr:uid="{00000000-0005-0000-0000-0000186F0000}"/>
    <cellStyle name="Normal 2 6 2 14 2 2 2" xfId="28438" xr:uid="{00000000-0005-0000-0000-0000196F0000}"/>
    <cellStyle name="Normal 2 6 2 14 2 2 3" xfId="28439" xr:uid="{00000000-0005-0000-0000-00001A6F0000}"/>
    <cellStyle name="Normal 2 6 2 14 2 3" xfId="28440" xr:uid="{00000000-0005-0000-0000-00001B6F0000}"/>
    <cellStyle name="Normal 2 6 2 14 2 4" xfId="28441" xr:uid="{00000000-0005-0000-0000-00001C6F0000}"/>
    <cellStyle name="Normal 2 6 2 14 2 5" xfId="28442" xr:uid="{00000000-0005-0000-0000-00001D6F0000}"/>
    <cellStyle name="Normal 2 6 2 14 2 6" xfId="28443" xr:uid="{00000000-0005-0000-0000-00001E6F0000}"/>
    <cellStyle name="Normal 2 6 2 14 3" xfId="28444" xr:uid="{00000000-0005-0000-0000-00001F6F0000}"/>
    <cellStyle name="Normal 2 6 2 14 3 2" xfId="28445" xr:uid="{00000000-0005-0000-0000-0000206F0000}"/>
    <cellStyle name="Normal 2 6 2 14 3 2 2" xfId="28446" xr:uid="{00000000-0005-0000-0000-0000216F0000}"/>
    <cellStyle name="Normal 2 6 2 14 3 3" xfId="28447" xr:uid="{00000000-0005-0000-0000-0000226F0000}"/>
    <cellStyle name="Normal 2 6 2 14 3 4" xfId="28448" xr:uid="{00000000-0005-0000-0000-0000236F0000}"/>
    <cellStyle name="Normal 2 6 2 14 3 5" xfId="28449" xr:uid="{00000000-0005-0000-0000-0000246F0000}"/>
    <cellStyle name="Normal 2 6 2 14 4" xfId="28450" xr:uid="{00000000-0005-0000-0000-0000256F0000}"/>
    <cellStyle name="Normal 2 6 2 14 4 2" xfId="28451" xr:uid="{00000000-0005-0000-0000-0000266F0000}"/>
    <cellStyle name="Normal 2 6 2 14 4 3" xfId="28452" xr:uid="{00000000-0005-0000-0000-0000276F0000}"/>
    <cellStyle name="Normal 2 6 2 14 4 4" xfId="28453" xr:uid="{00000000-0005-0000-0000-0000286F0000}"/>
    <cellStyle name="Normal 2 6 2 14 5" xfId="28454" xr:uid="{00000000-0005-0000-0000-0000296F0000}"/>
    <cellStyle name="Normal 2 6 2 14 5 2" xfId="28455" xr:uid="{00000000-0005-0000-0000-00002A6F0000}"/>
    <cellStyle name="Normal 2 6 2 14 6" xfId="28456" xr:uid="{00000000-0005-0000-0000-00002B6F0000}"/>
    <cellStyle name="Normal 2 6 2 14 7" xfId="28457" xr:uid="{00000000-0005-0000-0000-00002C6F0000}"/>
    <cellStyle name="Normal 2 6 2 14 8" xfId="28458" xr:uid="{00000000-0005-0000-0000-00002D6F0000}"/>
    <cellStyle name="Normal 2 6 2 14 9" xfId="28459" xr:uid="{00000000-0005-0000-0000-00002E6F0000}"/>
    <cellStyle name="Normal 2 6 2 15" xfId="28460" xr:uid="{00000000-0005-0000-0000-00002F6F0000}"/>
    <cellStyle name="Normal 2 6 2 15 2" xfId="28461" xr:uid="{00000000-0005-0000-0000-0000306F0000}"/>
    <cellStyle name="Normal 2 6 2 15 2 2" xfId="28462" xr:uid="{00000000-0005-0000-0000-0000316F0000}"/>
    <cellStyle name="Normal 2 6 2 15 2 3" xfId="28463" xr:uid="{00000000-0005-0000-0000-0000326F0000}"/>
    <cellStyle name="Normal 2 6 2 15 3" xfId="28464" xr:uid="{00000000-0005-0000-0000-0000336F0000}"/>
    <cellStyle name="Normal 2 6 2 15 4" xfId="28465" xr:uid="{00000000-0005-0000-0000-0000346F0000}"/>
    <cellStyle name="Normal 2 6 2 15 5" xfId="28466" xr:uid="{00000000-0005-0000-0000-0000356F0000}"/>
    <cellStyle name="Normal 2 6 2 15 6" xfId="28467" xr:uid="{00000000-0005-0000-0000-0000366F0000}"/>
    <cellStyle name="Normal 2 6 2 16" xfId="28468" xr:uid="{00000000-0005-0000-0000-0000376F0000}"/>
    <cellStyle name="Normal 2 6 2 16 2" xfId="28469" xr:uid="{00000000-0005-0000-0000-0000386F0000}"/>
    <cellStyle name="Normal 2 6 2 16 2 2" xfId="28470" xr:uid="{00000000-0005-0000-0000-0000396F0000}"/>
    <cellStyle name="Normal 2 6 2 16 3" xfId="28471" xr:uid="{00000000-0005-0000-0000-00003A6F0000}"/>
    <cellStyle name="Normal 2 6 2 16 4" xfId="28472" xr:uid="{00000000-0005-0000-0000-00003B6F0000}"/>
    <cellStyle name="Normal 2 6 2 16 5" xfId="28473" xr:uid="{00000000-0005-0000-0000-00003C6F0000}"/>
    <cellStyle name="Normal 2 6 2 17" xfId="28474" xr:uid="{00000000-0005-0000-0000-00003D6F0000}"/>
    <cellStyle name="Normal 2 6 2 17 2" xfId="28475" xr:uid="{00000000-0005-0000-0000-00003E6F0000}"/>
    <cellStyle name="Normal 2 6 2 17 2 2" xfId="28476" xr:uid="{00000000-0005-0000-0000-00003F6F0000}"/>
    <cellStyle name="Normal 2 6 2 17 3" xfId="28477" xr:uid="{00000000-0005-0000-0000-0000406F0000}"/>
    <cellStyle name="Normal 2 6 2 17 4" xfId="28478" xr:uid="{00000000-0005-0000-0000-0000416F0000}"/>
    <cellStyle name="Normal 2 6 2 17 5" xfId="28479" xr:uid="{00000000-0005-0000-0000-0000426F0000}"/>
    <cellStyle name="Normal 2 6 2 18" xfId="28480" xr:uid="{00000000-0005-0000-0000-0000436F0000}"/>
    <cellStyle name="Normal 2 6 2 18 2" xfId="28481" xr:uid="{00000000-0005-0000-0000-0000446F0000}"/>
    <cellStyle name="Normal 2 6 2 19" xfId="28482" xr:uid="{00000000-0005-0000-0000-0000456F0000}"/>
    <cellStyle name="Normal 2 6 2 2" xfId="28483" xr:uid="{00000000-0005-0000-0000-0000466F0000}"/>
    <cellStyle name="Normal 2 6 2 2 10" xfId="28484" xr:uid="{00000000-0005-0000-0000-0000476F0000}"/>
    <cellStyle name="Normal 2 6 2 2 11" xfId="28485" xr:uid="{00000000-0005-0000-0000-0000486F0000}"/>
    <cellStyle name="Normal 2 6 2 2 2" xfId="28486" xr:uid="{00000000-0005-0000-0000-0000496F0000}"/>
    <cellStyle name="Normal 2 6 2 2 2 2" xfId="28487" xr:uid="{00000000-0005-0000-0000-00004A6F0000}"/>
    <cellStyle name="Normal 2 6 2 2 2 2 2" xfId="28488" xr:uid="{00000000-0005-0000-0000-00004B6F0000}"/>
    <cellStyle name="Normal 2 6 2 2 2 2 2 2" xfId="28489" xr:uid="{00000000-0005-0000-0000-00004C6F0000}"/>
    <cellStyle name="Normal 2 6 2 2 2 2 2 3" xfId="28490" xr:uid="{00000000-0005-0000-0000-00004D6F0000}"/>
    <cellStyle name="Normal 2 6 2 2 2 2 3" xfId="28491" xr:uid="{00000000-0005-0000-0000-00004E6F0000}"/>
    <cellStyle name="Normal 2 6 2 2 2 2 4" xfId="28492" xr:uid="{00000000-0005-0000-0000-00004F6F0000}"/>
    <cellStyle name="Normal 2 6 2 2 2 2 5" xfId="28493" xr:uid="{00000000-0005-0000-0000-0000506F0000}"/>
    <cellStyle name="Normal 2 6 2 2 2 2 6" xfId="28494" xr:uid="{00000000-0005-0000-0000-0000516F0000}"/>
    <cellStyle name="Normal 2 6 2 2 2 3" xfId="28495" xr:uid="{00000000-0005-0000-0000-0000526F0000}"/>
    <cellStyle name="Normal 2 6 2 2 2 3 2" xfId="28496" xr:uid="{00000000-0005-0000-0000-0000536F0000}"/>
    <cellStyle name="Normal 2 6 2 2 2 3 2 2" xfId="28497" xr:uid="{00000000-0005-0000-0000-0000546F0000}"/>
    <cellStyle name="Normal 2 6 2 2 2 3 3" xfId="28498" xr:uid="{00000000-0005-0000-0000-0000556F0000}"/>
    <cellStyle name="Normal 2 6 2 2 2 3 4" xfId="28499" xr:uid="{00000000-0005-0000-0000-0000566F0000}"/>
    <cellStyle name="Normal 2 6 2 2 2 3 5" xfId="28500" xr:uid="{00000000-0005-0000-0000-0000576F0000}"/>
    <cellStyle name="Normal 2 6 2 2 2 4" xfId="28501" xr:uid="{00000000-0005-0000-0000-0000586F0000}"/>
    <cellStyle name="Normal 2 6 2 2 2 4 2" xfId="28502" xr:uid="{00000000-0005-0000-0000-0000596F0000}"/>
    <cellStyle name="Normal 2 6 2 2 2 4 3" xfId="28503" xr:uid="{00000000-0005-0000-0000-00005A6F0000}"/>
    <cellStyle name="Normal 2 6 2 2 2 4 4" xfId="28504" xr:uid="{00000000-0005-0000-0000-00005B6F0000}"/>
    <cellStyle name="Normal 2 6 2 2 2 5" xfId="28505" xr:uid="{00000000-0005-0000-0000-00005C6F0000}"/>
    <cellStyle name="Normal 2 6 2 2 2 5 2" xfId="28506" xr:uid="{00000000-0005-0000-0000-00005D6F0000}"/>
    <cellStyle name="Normal 2 6 2 2 2 6" xfId="28507" xr:uid="{00000000-0005-0000-0000-00005E6F0000}"/>
    <cellStyle name="Normal 2 6 2 2 2 7" xfId="28508" xr:uid="{00000000-0005-0000-0000-00005F6F0000}"/>
    <cellStyle name="Normal 2 6 2 2 2 8" xfId="28509" xr:uid="{00000000-0005-0000-0000-0000606F0000}"/>
    <cellStyle name="Normal 2 6 2 2 2 9" xfId="28510" xr:uid="{00000000-0005-0000-0000-0000616F0000}"/>
    <cellStyle name="Normal 2 6 2 2 3" xfId="28511" xr:uid="{00000000-0005-0000-0000-0000626F0000}"/>
    <cellStyle name="Normal 2 6 2 2 3 2" xfId="28512" xr:uid="{00000000-0005-0000-0000-0000636F0000}"/>
    <cellStyle name="Normal 2 6 2 2 3 2 2" xfId="28513" xr:uid="{00000000-0005-0000-0000-0000646F0000}"/>
    <cellStyle name="Normal 2 6 2 2 3 2 2 2" xfId="28514" xr:uid="{00000000-0005-0000-0000-0000656F0000}"/>
    <cellStyle name="Normal 2 6 2 2 3 2 2 3" xfId="28515" xr:uid="{00000000-0005-0000-0000-0000666F0000}"/>
    <cellStyle name="Normal 2 6 2 2 3 2 3" xfId="28516" xr:uid="{00000000-0005-0000-0000-0000676F0000}"/>
    <cellStyle name="Normal 2 6 2 2 3 2 4" xfId="28517" xr:uid="{00000000-0005-0000-0000-0000686F0000}"/>
    <cellStyle name="Normal 2 6 2 2 3 2 5" xfId="28518" xr:uid="{00000000-0005-0000-0000-0000696F0000}"/>
    <cellStyle name="Normal 2 6 2 2 3 2 6" xfId="28519" xr:uid="{00000000-0005-0000-0000-00006A6F0000}"/>
    <cellStyle name="Normal 2 6 2 2 3 3" xfId="28520" xr:uid="{00000000-0005-0000-0000-00006B6F0000}"/>
    <cellStyle name="Normal 2 6 2 2 3 3 2" xfId="28521" xr:uid="{00000000-0005-0000-0000-00006C6F0000}"/>
    <cellStyle name="Normal 2 6 2 2 3 3 2 2" xfId="28522" xr:uid="{00000000-0005-0000-0000-00006D6F0000}"/>
    <cellStyle name="Normal 2 6 2 2 3 3 3" xfId="28523" xr:uid="{00000000-0005-0000-0000-00006E6F0000}"/>
    <cellStyle name="Normal 2 6 2 2 3 3 4" xfId="28524" xr:uid="{00000000-0005-0000-0000-00006F6F0000}"/>
    <cellStyle name="Normal 2 6 2 2 3 3 5" xfId="28525" xr:uid="{00000000-0005-0000-0000-0000706F0000}"/>
    <cellStyle name="Normal 2 6 2 2 3 4" xfId="28526" xr:uid="{00000000-0005-0000-0000-0000716F0000}"/>
    <cellStyle name="Normal 2 6 2 2 3 4 2" xfId="28527" xr:uid="{00000000-0005-0000-0000-0000726F0000}"/>
    <cellStyle name="Normal 2 6 2 2 3 4 3" xfId="28528" xr:uid="{00000000-0005-0000-0000-0000736F0000}"/>
    <cellStyle name="Normal 2 6 2 2 3 4 4" xfId="28529" xr:uid="{00000000-0005-0000-0000-0000746F0000}"/>
    <cellStyle name="Normal 2 6 2 2 3 5" xfId="28530" xr:uid="{00000000-0005-0000-0000-0000756F0000}"/>
    <cellStyle name="Normal 2 6 2 2 3 5 2" xfId="28531" xr:uid="{00000000-0005-0000-0000-0000766F0000}"/>
    <cellStyle name="Normal 2 6 2 2 3 6" xfId="28532" xr:uid="{00000000-0005-0000-0000-0000776F0000}"/>
    <cellStyle name="Normal 2 6 2 2 3 7" xfId="28533" xr:uid="{00000000-0005-0000-0000-0000786F0000}"/>
    <cellStyle name="Normal 2 6 2 2 3 8" xfId="28534" xr:uid="{00000000-0005-0000-0000-0000796F0000}"/>
    <cellStyle name="Normal 2 6 2 2 3 9" xfId="28535" xr:uid="{00000000-0005-0000-0000-00007A6F0000}"/>
    <cellStyle name="Normal 2 6 2 2 4" xfId="28536" xr:uid="{00000000-0005-0000-0000-00007B6F0000}"/>
    <cellStyle name="Normal 2 6 2 2 4 2" xfId="28537" xr:uid="{00000000-0005-0000-0000-00007C6F0000}"/>
    <cellStyle name="Normal 2 6 2 2 4 2 2" xfId="28538" xr:uid="{00000000-0005-0000-0000-00007D6F0000}"/>
    <cellStyle name="Normal 2 6 2 2 4 2 3" xfId="28539" xr:uid="{00000000-0005-0000-0000-00007E6F0000}"/>
    <cellStyle name="Normal 2 6 2 2 4 3" xfId="28540" xr:uid="{00000000-0005-0000-0000-00007F6F0000}"/>
    <cellStyle name="Normal 2 6 2 2 4 4" xfId="28541" xr:uid="{00000000-0005-0000-0000-0000806F0000}"/>
    <cellStyle name="Normal 2 6 2 2 4 5" xfId="28542" xr:uid="{00000000-0005-0000-0000-0000816F0000}"/>
    <cellStyle name="Normal 2 6 2 2 4 6" xfId="28543" xr:uid="{00000000-0005-0000-0000-0000826F0000}"/>
    <cellStyle name="Normal 2 6 2 2 5" xfId="28544" xr:uid="{00000000-0005-0000-0000-0000836F0000}"/>
    <cellStyle name="Normal 2 6 2 2 5 2" xfId="28545" xr:uid="{00000000-0005-0000-0000-0000846F0000}"/>
    <cellStyle name="Normal 2 6 2 2 5 2 2" xfId="28546" xr:uid="{00000000-0005-0000-0000-0000856F0000}"/>
    <cellStyle name="Normal 2 6 2 2 5 3" xfId="28547" xr:uid="{00000000-0005-0000-0000-0000866F0000}"/>
    <cellStyle name="Normal 2 6 2 2 5 4" xfId="28548" xr:uid="{00000000-0005-0000-0000-0000876F0000}"/>
    <cellStyle name="Normal 2 6 2 2 5 5" xfId="28549" xr:uid="{00000000-0005-0000-0000-0000886F0000}"/>
    <cellStyle name="Normal 2 6 2 2 6" xfId="28550" xr:uid="{00000000-0005-0000-0000-0000896F0000}"/>
    <cellStyle name="Normal 2 6 2 2 6 2" xfId="28551" xr:uid="{00000000-0005-0000-0000-00008A6F0000}"/>
    <cellStyle name="Normal 2 6 2 2 6 3" xfId="28552" xr:uid="{00000000-0005-0000-0000-00008B6F0000}"/>
    <cellStyle name="Normal 2 6 2 2 6 4" xfId="28553" xr:uid="{00000000-0005-0000-0000-00008C6F0000}"/>
    <cellStyle name="Normal 2 6 2 2 7" xfId="28554" xr:uid="{00000000-0005-0000-0000-00008D6F0000}"/>
    <cellStyle name="Normal 2 6 2 2 7 2" xfId="28555" xr:uid="{00000000-0005-0000-0000-00008E6F0000}"/>
    <cellStyle name="Normal 2 6 2 2 8" xfId="28556" xr:uid="{00000000-0005-0000-0000-00008F6F0000}"/>
    <cellStyle name="Normal 2 6 2 2 9" xfId="28557" xr:uid="{00000000-0005-0000-0000-0000906F0000}"/>
    <cellStyle name="Normal 2 6 2 20" xfId="28558" xr:uid="{00000000-0005-0000-0000-0000916F0000}"/>
    <cellStyle name="Normal 2 6 2 21" xfId="28559" xr:uid="{00000000-0005-0000-0000-0000926F0000}"/>
    <cellStyle name="Normal 2 6 2 22" xfId="28560" xr:uid="{00000000-0005-0000-0000-0000936F0000}"/>
    <cellStyle name="Normal 2 6 2 3" xfId="28561" xr:uid="{00000000-0005-0000-0000-0000946F0000}"/>
    <cellStyle name="Normal 2 6 2 3 10" xfId="28562" xr:uid="{00000000-0005-0000-0000-0000956F0000}"/>
    <cellStyle name="Normal 2 6 2 3 11" xfId="28563" xr:uid="{00000000-0005-0000-0000-0000966F0000}"/>
    <cellStyle name="Normal 2 6 2 3 2" xfId="28564" xr:uid="{00000000-0005-0000-0000-0000976F0000}"/>
    <cellStyle name="Normal 2 6 2 3 2 2" xfId="28565" xr:uid="{00000000-0005-0000-0000-0000986F0000}"/>
    <cellStyle name="Normal 2 6 2 3 2 2 2" xfId="28566" xr:uid="{00000000-0005-0000-0000-0000996F0000}"/>
    <cellStyle name="Normal 2 6 2 3 2 2 2 2" xfId="28567" xr:uid="{00000000-0005-0000-0000-00009A6F0000}"/>
    <cellStyle name="Normal 2 6 2 3 2 2 2 3" xfId="28568" xr:uid="{00000000-0005-0000-0000-00009B6F0000}"/>
    <cellStyle name="Normal 2 6 2 3 2 2 3" xfId="28569" xr:uid="{00000000-0005-0000-0000-00009C6F0000}"/>
    <cellStyle name="Normal 2 6 2 3 2 2 4" xfId="28570" xr:uid="{00000000-0005-0000-0000-00009D6F0000}"/>
    <cellStyle name="Normal 2 6 2 3 2 2 5" xfId="28571" xr:uid="{00000000-0005-0000-0000-00009E6F0000}"/>
    <cellStyle name="Normal 2 6 2 3 2 2 6" xfId="28572" xr:uid="{00000000-0005-0000-0000-00009F6F0000}"/>
    <cellStyle name="Normal 2 6 2 3 2 3" xfId="28573" xr:uid="{00000000-0005-0000-0000-0000A06F0000}"/>
    <cellStyle name="Normal 2 6 2 3 2 3 2" xfId="28574" xr:uid="{00000000-0005-0000-0000-0000A16F0000}"/>
    <cellStyle name="Normal 2 6 2 3 2 3 2 2" xfId="28575" xr:uid="{00000000-0005-0000-0000-0000A26F0000}"/>
    <cellStyle name="Normal 2 6 2 3 2 3 3" xfId="28576" xr:uid="{00000000-0005-0000-0000-0000A36F0000}"/>
    <cellStyle name="Normal 2 6 2 3 2 3 4" xfId="28577" xr:uid="{00000000-0005-0000-0000-0000A46F0000}"/>
    <cellStyle name="Normal 2 6 2 3 2 3 5" xfId="28578" xr:uid="{00000000-0005-0000-0000-0000A56F0000}"/>
    <cellStyle name="Normal 2 6 2 3 2 4" xfId="28579" xr:uid="{00000000-0005-0000-0000-0000A66F0000}"/>
    <cellStyle name="Normal 2 6 2 3 2 4 2" xfId="28580" xr:uid="{00000000-0005-0000-0000-0000A76F0000}"/>
    <cellStyle name="Normal 2 6 2 3 2 4 3" xfId="28581" xr:uid="{00000000-0005-0000-0000-0000A86F0000}"/>
    <cellStyle name="Normal 2 6 2 3 2 4 4" xfId="28582" xr:uid="{00000000-0005-0000-0000-0000A96F0000}"/>
    <cellStyle name="Normal 2 6 2 3 2 5" xfId="28583" xr:uid="{00000000-0005-0000-0000-0000AA6F0000}"/>
    <cellStyle name="Normal 2 6 2 3 2 5 2" xfId="28584" xr:uid="{00000000-0005-0000-0000-0000AB6F0000}"/>
    <cellStyle name="Normal 2 6 2 3 2 6" xfId="28585" xr:uid="{00000000-0005-0000-0000-0000AC6F0000}"/>
    <cellStyle name="Normal 2 6 2 3 2 7" xfId="28586" xr:uid="{00000000-0005-0000-0000-0000AD6F0000}"/>
    <cellStyle name="Normal 2 6 2 3 2 8" xfId="28587" xr:uid="{00000000-0005-0000-0000-0000AE6F0000}"/>
    <cellStyle name="Normal 2 6 2 3 2 9" xfId="28588" xr:uid="{00000000-0005-0000-0000-0000AF6F0000}"/>
    <cellStyle name="Normal 2 6 2 3 3" xfId="28589" xr:uid="{00000000-0005-0000-0000-0000B06F0000}"/>
    <cellStyle name="Normal 2 6 2 3 3 2" xfId="28590" xr:uid="{00000000-0005-0000-0000-0000B16F0000}"/>
    <cellStyle name="Normal 2 6 2 3 3 2 2" xfId="28591" xr:uid="{00000000-0005-0000-0000-0000B26F0000}"/>
    <cellStyle name="Normal 2 6 2 3 3 2 2 2" xfId="28592" xr:uid="{00000000-0005-0000-0000-0000B36F0000}"/>
    <cellStyle name="Normal 2 6 2 3 3 2 2 3" xfId="28593" xr:uid="{00000000-0005-0000-0000-0000B46F0000}"/>
    <cellStyle name="Normal 2 6 2 3 3 2 3" xfId="28594" xr:uid="{00000000-0005-0000-0000-0000B56F0000}"/>
    <cellStyle name="Normal 2 6 2 3 3 2 4" xfId="28595" xr:uid="{00000000-0005-0000-0000-0000B66F0000}"/>
    <cellStyle name="Normal 2 6 2 3 3 2 5" xfId="28596" xr:uid="{00000000-0005-0000-0000-0000B76F0000}"/>
    <cellStyle name="Normal 2 6 2 3 3 2 6" xfId="28597" xr:uid="{00000000-0005-0000-0000-0000B86F0000}"/>
    <cellStyle name="Normal 2 6 2 3 3 3" xfId="28598" xr:uid="{00000000-0005-0000-0000-0000B96F0000}"/>
    <cellStyle name="Normal 2 6 2 3 3 3 2" xfId="28599" xr:uid="{00000000-0005-0000-0000-0000BA6F0000}"/>
    <cellStyle name="Normal 2 6 2 3 3 3 2 2" xfId="28600" xr:uid="{00000000-0005-0000-0000-0000BB6F0000}"/>
    <cellStyle name="Normal 2 6 2 3 3 3 3" xfId="28601" xr:uid="{00000000-0005-0000-0000-0000BC6F0000}"/>
    <cellStyle name="Normal 2 6 2 3 3 3 4" xfId="28602" xr:uid="{00000000-0005-0000-0000-0000BD6F0000}"/>
    <cellStyle name="Normal 2 6 2 3 3 3 5" xfId="28603" xr:uid="{00000000-0005-0000-0000-0000BE6F0000}"/>
    <cellStyle name="Normal 2 6 2 3 3 4" xfId="28604" xr:uid="{00000000-0005-0000-0000-0000BF6F0000}"/>
    <cellStyle name="Normal 2 6 2 3 3 4 2" xfId="28605" xr:uid="{00000000-0005-0000-0000-0000C06F0000}"/>
    <cellStyle name="Normal 2 6 2 3 3 4 3" xfId="28606" xr:uid="{00000000-0005-0000-0000-0000C16F0000}"/>
    <cellStyle name="Normal 2 6 2 3 3 4 4" xfId="28607" xr:uid="{00000000-0005-0000-0000-0000C26F0000}"/>
    <cellStyle name="Normal 2 6 2 3 3 5" xfId="28608" xr:uid="{00000000-0005-0000-0000-0000C36F0000}"/>
    <cellStyle name="Normal 2 6 2 3 3 5 2" xfId="28609" xr:uid="{00000000-0005-0000-0000-0000C46F0000}"/>
    <cellStyle name="Normal 2 6 2 3 3 6" xfId="28610" xr:uid="{00000000-0005-0000-0000-0000C56F0000}"/>
    <cellStyle name="Normal 2 6 2 3 3 7" xfId="28611" xr:uid="{00000000-0005-0000-0000-0000C66F0000}"/>
    <cellStyle name="Normal 2 6 2 3 3 8" xfId="28612" xr:uid="{00000000-0005-0000-0000-0000C76F0000}"/>
    <cellStyle name="Normal 2 6 2 3 3 9" xfId="28613" xr:uid="{00000000-0005-0000-0000-0000C86F0000}"/>
    <cellStyle name="Normal 2 6 2 3 4" xfId="28614" xr:uid="{00000000-0005-0000-0000-0000C96F0000}"/>
    <cellStyle name="Normal 2 6 2 3 4 2" xfId="28615" xr:uid="{00000000-0005-0000-0000-0000CA6F0000}"/>
    <cellStyle name="Normal 2 6 2 3 4 2 2" xfId="28616" xr:uid="{00000000-0005-0000-0000-0000CB6F0000}"/>
    <cellStyle name="Normal 2 6 2 3 4 2 3" xfId="28617" xr:uid="{00000000-0005-0000-0000-0000CC6F0000}"/>
    <cellStyle name="Normal 2 6 2 3 4 3" xfId="28618" xr:uid="{00000000-0005-0000-0000-0000CD6F0000}"/>
    <cellStyle name="Normal 2 6 2 3 4 4" xfId="28619" xr:uid="{00000000-0005-0000-0000-0000CE6F0000}"/>
    <cellStyle name="Normal 2 6 2 3 4 5" xfId="28620" xr:uid="{00000000-0005-0000-0000-0000CF6F0000}"/>
    <cellStyle name="Normal 2 6 2 3 4 6" xfId="28621" xr:uid="{00000000-0005-0000-0000-0000D06F0000}"/>
    <cellStyle name="Normal 2 6 2 3 5" xfId="28622" xr:uid="{00000000-0005-0000-0000-0000D16F0000}"/>
    <cellStyle name="Normal 2 6 2 3 5 2" xfId="28623" xr:uid="{00000000-0005-0000-0000-0000D26F0000}"/>
    <cellStyle name="Normal 2 6 2 3 5 2 2" xfId="28624" xr:uid="{00000000-0005-0000-0000-0000D36F0000}"/>
    <cellStyle name="Normal 2 6 2 3 5 3" xfId="28625" xr:uid="{00000000-0005-0000-0000-0000D46F0000}"/>
    <cellStyle name="Normal 2 6 2 3 5 4" xfId="28626" xr:uid="{00000000-0005-0000-0000-0000D56F0000}"/>
    <cellStyle name="Normal 2 6 2 3 5 5" xfId="28627" xr:uid="{00000000-0005-0000-0000-0000D66F0000}"/>
    <cellStyle name="Normal 2 6 2 3 6" xfId="28628" xr:uid="{00000000-0005-0000-0000-0000D76F0000}"/>
    <cellStyle name="Normal 2 6 2 3 6 2" xfId="28629" xr:uid="{00000000-0005-0000-0000-0000D86F0000}"/>
    <cellStyle name="Normal 2 6 2 3 6 3" xfId="28630" xr:uid="{00000000-0005-0000-0000-0000D96F0000}"/>
    <cellStyle name="Normal 2 6 2 3 6 4" xfId="28631" xr:uid="{00000000-0005-0000-0000-0000DA6F0000}"/>
    <cellStyle name="Normal 2 6 2 3 7" xfId="28632" xr:uid="{00000000-0005-0000-0000-0000DB6F0000}"/>
    <cellStyle name="Normal 2 6 2 3 7 2" xfId="28633" xr:uid="{00000000-0005-0000-0000-0000DC6F0000}"/>
    <cellStyle name="Normal 2 6 2 3 8" xfId="28634" xr:uid="{00000000-0005-0000-0000-0000DD6F0000}"/>
    <cellStyle name="Normal 2 6 2 3 9" xfId="28635" xr:uid="{00000000-0005-0000-0000-0000DE6F0000}"/>
    <cellStyle name="Normal 2 6 2 4" xfId="28636" xr:uid="{00000000-0005-0000-0000-0000DF6F0000}"/>
    <cellStyle name="Normal 2 6 2 4 10" xfId="28637" xr:uid="{00000000-0005-0000-0000-0000E06F0000}"/>
    <cellStyle name="Normal 2 6 2 4 11" xfId="28638" xr:uid="{00000000-0005-0000-0000-0000E16F0000}"/>
    <cellStyle name="Normal 2 6 2 4 2" xfId="28639" xr:uid="{00000000-0005-0000-0000-0000E26F0000}"/>
    <cellStyle name="Normal 2 6 2 4 2 2" xfId="28640" xr:uid="{00000000-0005-0000-0000-0000E36F0000}"/>
    <cellStyle name="Normal 2 6 2 4 2 2 2" xfId="28641" xr:uid="{00000000-0005-0000-0000-0000E46F0000}"/>
    <cellStyle name="Normal 2 6 2 4 2 2 2 2" xfId="28642" xr:uid="{00000000-0005-0000-0000-0000E56F0000}"/>
    <cellStyle name="Normal 2 6 2 4 2 2 2 3" xfId="28643" xr:uid="{00000000-0005-0000-0000-0000E66F0000}"/>
    <cellStyle name="Normal 2 6 2 4 2 2 3" xfId="28644" xr:uid="{00000000-0005-0000-0000-0000E76F0000}"/>
    <cellStyle name="Normal 2 6 2 4 2 2 4" xfId="28645" xr:uid="{00000000-0005-0000-0000-0000E86F0000}"/>
    <cellStyle name="Normal 2 6 2 4 2 2 5" xfId="28646" xr:uid="{00000000-0005-0000-0000-0000E96F0000}"/>
    <cellStyle name="Normal 2 6 2 4 2 2 6" xfId="28647" xr:uid="{00000000-0005-0000-0000-0000EA6F0000}"/>
    <cellStyle name="Normal 2 6 2 4 2 3" xfId="28648" xr:uid="{00000000-0005-0000-0000-0000EB6F0000}"/>
    <cellStyle name="Normal 2 6 2 4 2 3 2" xfId="28649" xr:uid="{00000000-0005-0000-0000-0000EC6F0000}"/>
    <cellStyle name="Normal 2 6 2 4 2 3 2 2" xfId="28650" xr:uid="{00000000-0005-0000-0000-0000ED6F0000}"/>
    <cellStyle name="Normal 2 6 2 4 2 3 3" xfId="28651" xr:uid="{00000000-0005-0000-0000-0000EE6F0000}"/>
    <cellStyle name="Normal 2 6 2 4 2 3 4" xfId="28652" xr:uid="{00000000-0005-0000-0000-0000EF6F0000}"/>
    <cellStyle name="Normal 2 6 2 4 2 3 5" xfId="28653" xr:uid="{00000000-0005-0000-0000-0000F06F0000}"/>
    <cellStyle name="Normal 2 6 2 4 2 4" xfId="28654" xr:uid="{00000000-0005-0000-0000-0000F16F0000}"/>
    <cellStyle name="Normal 2 6 2 4 2 4 2" xfId="28655" xr:uid="{00000000-0005-0000-0000-0000F26F0000}"/>
    <cellStyle name="Normal 2 6 2 4 2 4 3" xfId="28656" xr:uid="{00000000-0005-0000-0000-0000F36F0000}"/>
    <cellStyle name="Normal 2 6 2 4 2 4 4" xfId="28657" xr:uid="{00000000-0005-0000-0000-0000F46F0000}"/>
    <cellStyle name="Normal 2 6 2 4 2 5" xfId="28658" xr:uid="{00000000-0005-0000-0000-0000F56F0000}"/>
    <cellStyle name="Normal 2 6 2 4 2 5 2" xfId="28659" xr:uid="{00000000-0005-0000-0000-0000F66F0000}"/>
    <cellStyle name="Normal 2 6 2 4 2 6" xfId="28660" xr:uid="{00000000-0005-0000-0000-0000F76F0000}"/>
    <cellStyle name="Normal 2 6 2 4 2 7" xfId="28661" xr:uid="{00000000-0005-0000-0000-0000F86F0000}"/>
    <cellStyle name="Normal 2 6 2 4 2 8" xfId="28662" xr:uid="{00000000-0005-0000-0000-0000F96F0000}"/>
    <cellStyle name="Normal 2 6 2 4 2 9" xfId="28663" xr:uid="{00000000-0005-0000-0000-0000FA6F0000}"/>
    <cellStyle name="Normal 2 6 2 4 3" xfId="28664" xr:uid="{00000000-0005-0000-0000-0000FB6F0000}"/>
    <cellStyle name="Normal 2 6 2 4 3 2" xfId="28665" xr:uid="{00000000-0005-0000-0000-0000FC6F0000}"/>
    <cellStyle name="Normal 2 6 2 4 3 2 2" xfId="28666" xr:uid="{00000000-0005-0000-0000-0000FD6F0000}"/>
    <cellStyle name="Normal 2 6 2 4 3 2 2 2" xfId="28667" xr:uid="{00000000-0005-0000-0000-0000FE6F0000}"/>
    <cellStyle name="Normal 2 6 2 4 3 2 2 3" xfId="28668" xr:uid="{00000000-0005-0000-0000-0000FF6F0000}"/>
    <cellStyle name="Normal 2 6 2 4 3 2 3" xfId="28669" xr:uid="{00000000-0005-0000-0000-000000700000}"/>
    <cellStyle name="Normal 2 6 2 4 3 2 4" xfId="28670" xr:uid="{00000000-0005-0000-0000-000001700000}"/>
    <cellStyle name="Normal 2 6 2 4 3 2 5" xfId="28671" xr:uid="{00000000-0005-0000-0000-000002700000}"/>
    <cellStyle name="Normal 2 6 2 4 3 2 6" xfId="28672" xr:uid="{00000000-0005-0000-0000-000003700000}"/>
    <cellStyle name="Normal 2 6 2 4 3 3" xfId="28673" xr:uid="{00000000-0005-0000-0000-000004700000}"/>
    <cellStyle name="Normal 2 6 2 4 3 3 2" xfId="28674" xr:uid="{00000000-0005-0000-0000-000005700000}"/>
    <cellStyle name="Normal 2 6 2 4 3 3 2 2" xfId="28675" xr:uid="{00000000-0005-0000-0000-000006700000}"/>
    <cellStyle name="Normal 2 6 2 4 3 3 3" xfId="28676" xr:uid="{00000000-0005-0000-0000-000007700000}"/>
    <cellStyle name="Normal 2 6 2 4 3 3 4" xfId="28677" xr:uid="{00000000-0005-0000-0000-000008700000}"/>
    <cellStyle name="Normal 2 6 2 4 3 3 5" xfId="28678" xr:uid="{00000000-0005-0000-0000-000009700000}"/>
    <cellStyle name="Normal 2 6 2 4 3 4" xfId="28679" xr:uid="{00000000-0005-0000-0000-00000A700000}"/>
    <cellStyle name="Normal 2 6 2 4 3 4 2" xfId="28680" xr:uid="{00000000-0005-0000-0000-00000B700000}"/>
    <cellStyle name="Normal 2 6 2 4 3 4 3" xfId="28681" xr:uid="{00000000-0005-0000-0000-00000C700000}"/>
    <cellStyle name="Normal 2 6 2 4 3 4 4" xfId="28682" xr:uid="{00000000-0005-0000-0000-00000D700000}"/>
    <cellStyle name="Normal 2 6 2 4 3 5" xfId="28683" xr:uid="{00000000-0005-0000-0000-00000E700000}"/>
    <cellStyle name="Normal 2 6 2 4 3 5 2" xfId="28684" xr:uid="{00000000-0005-0000-0000-00000F700000}"/>
    <cellStyle name="Normal 2 6 2 4 3 6" xfId="28685" xr:uid="{00000000-0005-0000-0000-000010700000}"/>
    <cellStyle name="Normal 2 6 2 4 3 7" xfId="28686" xr:uid="{00000000-0005-0000-0000-000011700000}"/>
    <cellStyle name="Normal 2 6 2 4 3 8" xfId="28687" xr:uid="{00000000-0005-0000-0000-000012700000}"/>
    <cellStyle name="Normal 2 6 2 4 3 9" xfId="28688" xr:uid="{00000000-0005-0000-0000-000013700000}"/>
    <cellStyle name="Normal 2 6 2 4 4" xfId="28689" xr:uid="{00000000-0005-0000-0000-000014700000}"/>
    <cellStyle name="Normal 2 6 2 4 4 2" xfId="28690" xr:uid="{00000000-0005-0000-0000-000015700000}"/>
    <cellStyle name="Normal 2 6 2 4 4 2 2" xfId="28691" xr:uid="{00000000-0005-0000-0000-000016700000}"/>
    <cellStyle name="Normal 2 6 2 4 4 2 3" xfId="28692" xr:uid="{00000000-0005-0000-0000-000017700000}"/>
    <cellStyle name="Normal 2 6 2 4 4 3" xfId="28693" xr:uid="{00000000-0005-0000-0000-000018700000}"/>
    <cellStyle name="Normal 2 6 2 4 4 4" xfId="28694" xr:uid="{00000000-0005-0000-0000-000019700000}"/>
    <cellStyle name="Normal 2 6 2 4 4 5" xfId="28695" xr:uid="{00000000-0005-0000-0000-00001A700000}"/>
    <cellStyle name="Normal 2 6 2 4 4 6" xfId="28696" xr:uid="{00000000-0005-0000-0000-00001B700000}"/>
    <cellStyle name="Normal 2 6 2 4 5" xfId="28697" xr:uid="{00000000-0005-0000-0000-00001C700000}"/>
    <cellStyle name="Normal 2 6 2 4 5 2" xfId="28698" xr:uid="{00000000-0005-0000-0000-00001D700000}"/>
    <cellStyle name="Normal 2 6 2 4 5 2 2" xfId="28699" xr:uid="{00000000-0005-0000-0000-00001E700000}"/>
    <cellStyle name="Normal 2 6 2 4 5 3" xfId="28700" xr:uid="{00000000-0005-0000-0000-00001F700000}"/>
    <cellStyle name="Normal 2 6 2 4 5 4" xfId="28701" xr:uid="{00000000-0005-0000-0000-000020700000}"/>
    <cellStyle name="Normal 2 6 2 4 5 5" xfId="28702" xr:uid="{00000000-0005-0000-0000-000021700000}"/>
    <cellStyle name="Normal 2 6 2 4 6" xfId="28703" xr:uid="{00000000-0005-0000-0000-000022700000}"/>
    <cellStyle name="Normal 2 6 2 4 6 2" xfId="28704" xr:uid="{00000000-0005-0000-0000-000023700000}"/>
    <cellStyle name="Normal 2 6 2 4 6 3" xfId="28705" xr:uid="{00000000-0005-0000-0000-000024700000}"/>
    <cellStyle name="Normal 2 6 2 4 6 4" xfId="28706" xr:uid="{00000000-0005-0000-0000-000025700000}"/>
    <cellStyle name="Normal 2 6 2 4 7" xfId="28707" xr:uid="{00000000-0005-0000-0000-000026700000}"/>
    <cellStyle name="Normal 2 6 2 4 7 2" xfId="28708" xr:uid="{00000000-0005-0000-0000-000027700000}"/>
    <cellStyle name="Normal 2 6 2 4 8" xfId="28709" xr:uid="{00000000-0005-0000-0000-000028700000}"/>
    <cellStyle name="Normal 2 6 2 4 9" xfId="28710" xr:uid="{00000000-0005-0000-0000-000029700000}"/>
    <cellStyle name="Normal 2 6 2 5" xfId="28711" xr:uid="{00000000-0005-0000-0000-00002A700000}"/>
    <cellStyle name="Normal 2 6 2 5 10" xfId="28712" xr:uid="{00000000-0005-0000-0000-00002B700000}"/>
    <cellStyle name="Normal 2 6 2 5 11" xfId="28713" xr:uid="{00000000-0005-0000-0000-00002C700000}"/>
    <cellStyle name="Normal 2 6 2 5 2" xfId="28714" xr:uid="{00000000-0005-0000-0000-00002D700000}"/>
    <cellStyle name="Normal 2 6 2 5 2 2" xfId="28715" xr:uid="{00000000-0005-0000-0000-00002E700000}"/>
    <cellStyle name="Normal 2 6 2 5 2 2 2" xfId="28716" xr:uid="{00000000-0005-0000-0000-00002F700000}"/>
    <cellStyle name="Normal 2 6 2 5 2 2 2 2" xfId="28717" xr:uid="{00000000-0005-0000-0000-000030700000}"/>
    <cellStyle name="Normal 2 6 2 5 2 2 2 3" xfId="28718" xr:uid="{00000000-0005-0000-0000-000031700000}"/>
    <cellStyle name="Normal 2 6 2 5 2 2 3" xfId="28719" xr:uid="{00000000-0005-0000-0000-000032700000}"/>
    <cellStyle name="Normal 2 6 2 5 2 2 4" xfId="28720" xr:uid="{00000000-0005-0000-0000-000033700000}"/>
    <cellStyle name="Normal 2 6 2 5 2 2 5" xfId="28721" xr:uid="{00000000-0005-0000-0000-000034700000}"/>
    <cellStyle name="Normal 2 6 2 5 2 2 6" xfId="28722" xr:uid="{00000000-0005-0000-0000-000035700000}"/>
    <cellStyle name="Normal 2 6 2 5 2 3" xfId="28723" xr:uid="{00000000-0005-0000-0000-000036700000}"/>
    <cellStyle name="Normal 2 6 2 5 2 3 2" xfId="28724" xr:uid="{00000000-0005-0000-0000-000037700000}"/>
    <cellStyle name="Normal 2 6 2 5 2 3 2 2" xfId="28725" xr:uid="{00000000-0005-0000-0000-000038700000}"/>
    <cellStyle name="Normal 2 6 2 5 2 3 3" xfId="28726" xr:uid="{00000000-0005-0000-0000-000039700000}"/>
    <cellStyle name="Normal 2 6 2 5 2 3 4" xfId="28727" xr:uid="{00000000-0005-0000-0000-00003A700000}"/>
    <cellStyle name="Normal 2 6 2 5 2 3 5" xfId="28728" xr:uid="{00000000-0005-0000-0000-00003B700000}"/>
    <cellStyle name="Normal 2 6 2 5 2 4" xfId="28729" xr:uid="{00000000-0005-0000-0000-00003C700000}"/>
    <cellStyle name="Normal 2 6 2 5 2 4 2" xfId="28730" xr:uid="{00000000-0005-0000-0000-00003D700000}"/>
    <cellStyle name="Normal 2 6 2 5 2 4 3" xfId="28731" xr:uid="{00000000-0005-0000-0000-00003E700000}"/>
    <cellStyle name="Normal 2 6 2 5 2 4 4" xfId="28732" xr:uid="{00000000-0005-0000-0000-00003F700000}"/>
    <cellStyle name="Normal 2 6 2 5 2 5" xfId="28733" xr:uid="{00000000-0005-0000-0000-000040700000}"/>
    <cellStyle name="Normal 2 6 2 5 2 5 2" xfId="28734" xr:uid="{00000000-0005-0000-0000-000041700000}"/>
    <cellStyle name="Normal 2 6 2 5 2 6" xfId="28735" xr:uid="{00000000-0005-0000-0000-000042700000}"/>
    <cellStyle name="Normal 2 6 2 5 2 7" xfId="28736" xr:uid="{00000000-0005-0000-0000-000043700000}"/>
    <cellStyle name="Normal 2 6 2 5 2 8" xfId="28737" xr:uid="{00000000-0005-0000-0000-000044700000}"/>
    <cellStyle name="Normal 2 6 2 5 2 9" xfId="28738" xr:uid="{00000000-0005-0000-0000-000045700000}"/>
    <cellStyle name="Normal 2 6 2 5 3" xfId="28739" xr:uid="{00000000-0005-0000-0000-000046700000}"/>
    <cellStyle name="Normal 2 6 2 5 3 2" xfId="28740" xr:uid="{00000000-0005-0000-0000-000047700000}"/>
    <cellStyle name="Normal 2 6 2 5 3 2 2" xfId="28741" xr:uid="{00000000-0005-0000-0000-000048700000}"/>
    <cellStyle name="Normal 2 6 2 5 3 2 2 2" xfId="28742" xr:uid="{00000000-0005-0000-0000-000049700000}"/>
    <cellStyle name="Normal 2 6 2 5 3 2 2 3" xfId="28743" xr:uid="{00000000-0005-0000-0000-00004A700000}"/>
    <cellStyle name="Normal 2 6 2 5 3 2 3" xfId="28744" xr:uid="{00000000-0005-0000-0000-00004B700000}"/>
    <cellStyle name="Normal 2 6 2 5 3 2 4" xfId="28745" xr:uid="{00000000-0005-0000-0000-00004C700000}"/>
    <cellStyle name="Normal 2 6 2 5 3 2 5" xfId="28746" xr:uid="{00000000-0005-0000-0000-00004D700000}"/>
    <cellStyle name="Normal 2 6 2 5 3 2 6" xfId="28747" xr:uid="{00000000-0005-0000-0000-00004E700000}"/>
    <cellStyle name="Normal 2 6 2 5 3 3" xfId="28748" xr:uid="{00000000-0005-0000-0000-00004F700000}"/>
    <cellStyle name="Normal 2 6 2 5 3 3 2" xfId="28749" xr:uid="{00000000-0005-0000-0000-000050700000}"/>
    <cellStyle name="Normal 2 6 2 5 3 3 2 2" xfId="28750" xr:uid="{00000000-0005-0000-0000-000051700000}"/>
    <cellStyle name="Normal 2 6 2 5 3 3 3" xfId="28751" xr:uid="{00000000-0005-0000-0000-000052700000}"/>
    <cellStyle name="Normal 2 6 2 5 3 3 4" xfId="28752" xr:uid="{00000000-0005-0000-0000-000053700000}"/>
    <cellStyle name="Normal 2 6 2 5 3 3 5" xfId="28753" xr:uid="{00000000-0005-0000-0000-000054700000}"/>
    <cellStyle name="Normal 2 6 2 5 3 4" xfId="28754" xr:uid="{00000000-0005-0000-0000-000055700000}"/>
    <cellStyle name="Normal 2 6 2 5 3 4 2" xfId="28755" xr:uid="{00000000-0005-0000-0000-000056700000}"/>
    <cellStyle name="Normal 2 6 2 5 3 4 3" xfId="28756" xr:uid="{00000000-0005-0000-0000-000057700000}"/>
    <cellStyle name="Normal 2 6 2 5 3 4 4" xfId="28757" xr:uid="{00000000-0005-0000-0000-000058700000}"/>
    <cellStyle name="Normal 2 6 2 5 3 5" xfId="28758" xr:uid="{00000000-0005-0000-0000-000059700000}"/>
    <cellStyle name="Normal 2 6 2 5 3 5 2" xfId="28759" xr:uid="{00000000-0005-0000-0000-00005A700000}"/>
    <cellStyle name="Normal 2 6 2 5 3 6" xfId="28760" xr:uid="{00000000-0005-0000-0000-00005B700000}"/>
    <cellStyle name="Normal 2 6 2 5 3 7" xfId="28761" xr:uid="{00000000-0005-0000-0000-00005C700000}"/>
    <cellStyle name="Normal 2 6 2 5 3 8" xfId="28762" xr:uid="{00000000-0005-0000-0000-00005D700000}"/>
    <cellStyle name="Normal 2 6 2 5 3 9" xfId="28763" xr:uid="{00000000-0005-0000-0000-00005E700000}"/>
    <cellStyle name="Normal 2 6 2 5 4" xfId="28764" xr:uid="{00000000-0005-0000-0000-00005F700000}"/>
    <cellStyle name="Normal 2 6 2 5 4 2" xfId="28765" xr:uid="{00000000-0005-0000-0000-000060700000}"/>
    <cellStyle name="Normal 2 6 2 5 4 2 2" xfId="28766" xr:uid="{00000000-0005-0000-0000-000061700000}"/>
    <cellStyle name="Normal 2 6 2 5 4 2 3" xfId="28767" xr:uid="{00000000-0005-0000-0000-000062700000}"/>
    <cellStyle name="Normal 2 6 2 5 4 3" xfId="28768" xr:uid="{00000000-0005-0000-0000-000063700000}"/>
    <cellStyle name="Normal 2 6 2 5 4 4" xfId="28769" xr:uid="{00000000-0005-0000-0000-000064700000}"/>
    <cellStyle name="Normal 2 6 2 5 4 5" xfId="28770" xr:uid="{00000000-0005-0000-0000-000065700000}"/>
    <cellStyle name="Normal 2 6 2 5 4 6" xfId="28771" xr:uid="{00000000-0005-0000-0000-000066700000}"/>
    <cellStyle name="Normal 2 6 2 5 5" xfId="28772" xr:uid="{00000000-0005-0000-0000-000067700000}"/>
    <cellStyle name="Normal 2 6 2 5 5 2" xfId="28773" xr:uid="{00000000-0005-0000-0000-000068700000}"/>
    <cellStyle name="Normal 2 6 2 5 5 2 2" xfId="28774" xr:uid="{00000000-0005-0000-0000-000069700000}"/>
    <cellStyle name="Normal 2 6 2 5 5 3" xfId="28775" xr:uid="{00000000-0005-0000-0000-00006A700000}"/>
    <cellStyle name="Normal 2 6 2 5 5 4" xfId="28776" xr:uid="{00000000-0005-0000-0000-00006B700000}"/>
    <cellStyle name="Normal 2 6 2 5 5 5" xfId="28777" xr:uid="{00000000-0005-0000-0000-00006C700000}"/>
    <cellStyle name="Normal 2 6 2 5 6" xfId="28778" xr:uid="{00000000-0005-0000-0000-00006D700000}"/>
    <cellStyle name="Normal 2 6 2 5 6 2" xfId="28779" xr:uid="{00000000-0005-0000-0000-00006E700000}"/>
    <cellStyle name="Normal 2 6 2 5 6 3" xfId="28780" xr:uid="{00000000-0005-0000-0000-00006F700000}"/>
    <cellStyle name="Normal 2 6 2 5 6 4" xfId="28781" xr:uid="{00000000-0005-0000-0000-000070700000}"/>
    <cellStyle name="Normal 2 6 2 5 7" xfId="28782" xr:uid="{00000000-0005-0000-0000-000071700000}"/>
    <cellStyle name="Normal 2 6 2 5 7 2" xfId="28783" xr:uid="{00000000-0005-0000-0000-000072700000}"/>
    <cellStyle name="Normal 2 6 2 5 8" xfId="28784" xr:uid="{00000000-0005-0000-0000-000073700000}"/>
    <cellStyle name="Normal 2 6 2 5 9" xfId="28785" xr:uid="{00000000-0005-0000-0000-000074700000}"/>
    <cellStyle name="Normal 2 6 2 6" xfId="28786" xr:uid="{00000000-0005-0000-0000-000075700000}"/>
    <cellStyle name="Normal 2 6 2 6 10" xfId="28787" xr:uid="{00000000-0005-0000-0000-000076700000}"/>
    <cellStyle name="Normal 2 6 2 6 11" xfId="28788" xr:uid="{00000000-0005-0000-0000-000077700000}"/>
    <cellStyle name="Normal 2 6 2 6 2" xfId="28789" xr:uid="{00000000-0005-0000-0000-000078700000}"/>
    <cellStyle name="Normal 2 6 2 6 2 2" xfId="28790" xr:uid="{00000000-0005-0000-0000-000079700000}"/>
    <cellStyle name="Normal 2 6 2 6 2 2 2" xfId="28791" xr:uid="{00000000-0005-0000-0000-00007A700000}"/>
    <cellStyle name="Normal 2 6 2 6 2 2 2 2" xfId="28792" xr:uid="{00000000-0005-0000-0000-00007B700000}"/>
    <cellStyle name="Normal 2 6 2 6 2 2 2 3" xfId="28793" xr:uid="{00000000-0005-0000-0000-00007C700000}"/>
    <cellStyle name="Normal 2 6 2 6 2 2 3" xfId="28794" xr:uid="{00000000-0005-0000-0000-00007D700000}"/>
    <cellStyle name="Normal 2 6 2 6 2 2 4" xfId="28795" xr:uid="{00000000-0005-0000-0000-00007E700000}"/>
    <cellStyle name="Normal 2 6 2 6 2 2 5" xfId="28796" xr:uid="{00000000-0005-0000-0000-00007F700000}"/>
    <cellStyle name="Normal 2 6 2 6 2 2 6" xfId="28797" xr:uid="{00000000-0005-0000-0000-000080700000}"/>
    <cellStyle name="Normal 2 6 2 6 2 3" xfId="28798" xr:uid="{00000000-0005-0000-0000-000081700000}"/>
    <cellStyle name="Normal 2 6 2 6 2 3 2" xfId="28799" xr:uid="{00000000-0005-0000-0000-000082700000}"/>
    <cellStyle name="Normal 2 6 2 6 2 3 2 2" xfId="28800" xr:uid="{00000000-0005-0000-0000-000083700000}"/>
    <cellStyle name="Normal 2 6 2 6 2 3 3" xfId="28801" xr:uid="{00000000-0005-0000-0000-000084700000}"/>
    <cellStyle name="Normal 2 6 2 6 2 3 4" xfId="28802" xr:uid="{00000000-0005-0000-0000-000085700000}"/>
    <cellStyle name="Normal 2 6 2 6 2 3 5" xfId="28803" xr:uid="{00000000-0005-0000-0000-000086700000}"/>
    <cellStyle name="Normal 2 6 2 6 2 4" xfId="28804" xr:uid="{00000000-0005-0000-0000-000087700000}"/>
    <cellStyle name="Normal 2 6 2 6 2 4 2" xfId="28805" xr:uid="{00000000-0005-0000-0000-000088700000}"/>
    <cellStyle name="Normal 2 6 2 6 2 4 3" xfId="28806" xr:uid="{00000000-0005-0000-0000-000089700000}"/>
    <cellStyle name="Normal 2 6 2 6 2 4 4" xfId="28807" xr:uid="{00000000-0005-0000-0000-00008A700000}"/>
    <cellStyle name="Normal 2 6 2 6 2 5" xfId="28808" xr:uid="{00000000-0005-0000-0000-00008B700000}"/>
    <cellStyle name="Normal 2 6 2 6 2 5 2" xfId="28809" xr:uid="{00000000-0005-0000-0000-00008C700000}"/>
    <cellStyle name="Normal 2 6 2 6 2 6" xfId="28810" xr:uid="{00000000-0005-0000-0000-00008D700000}"/>
    <cellStyle name="Normal 2 6 2 6 2 7" xfId="28811" xr:uid="{00000000-0005-0000-0000-00008E700000}"/>
    <cellStyle name="Normal 2 6 2 6 2 8" xfId="28812" xr:uid="{00000000-0005-0000-0000-00008F700000}"/>
    <cellStyle name="Normal 2 6 2 6 2 9" xfId="28813" xr:uid="{00000000-0005-0000-0000-000090700000}"/>
    <cellStyle name="Normal 2 6 2 6 3" xfId="28814" xr:uid="{00000000-0005-0000-0000-000091700000}"/>
    <cellStyle name="Normal 2 6 2 6 3 2" xfId="28815" xr:uid="{00000000-0005-0000-0000-000092700000}"/>
    <cellStyle name="Normal 2 6 2 6 3 2 2" xfId="28816" xr:uid="{00000000-0005-0000-0000-000093700000}"/>
    <cellStyle name="Normal 2 6 2 6 3 2 2 2" xfId="28817" xr:uid="{00000000-0005-0000-0000-000094700000}"/>
    <cellStyle name="Normal 2 6 2 6 3 2 2 3" xfId="28818" xr:uid="{00000000-0005-0000-0000-000095700000}"/>
    <cellStyle name="Normal 2 6 2 6 3 2 3" xfId="28819" xr:uid="{00000000-0005-0000-0000-000096700000}"/>
    <cellStyle name="Normal 2 6 2 6 3 2 4" xfId="28820" xr:uid="{00000000-0005-0000-0000-000097700000}"/>
    <cellStyle name="Normal 2 6 2 6 3 2 5" xfId="28821" xr:uid="{00000000-0005-0000-0000-000098700000}"/>
    <cellStyle name="Normal 2 6 2 6 3 2 6" xfId="28822" xr:uid="{00000000-0005-0000-0000-000099700000}"/>
    <cellStyle name="Normal 2 6 2 6 3 3" xfId="28823" xr:uid="{00000000-0005-0000-0000-00009A700000}"/>
    <cellStyle name="Normal 2 6 2 6 3 3 2" xfId="28824" xr:uid="{00000000-0005-0000-0000-00009B700000}"/>
    <cellStyle name="Normal 2 6 2 6 3 3 2 2" xfId="28825" xr:uid="{00000000-0005-0000-0000-00009C700000}"/>
    <cellStyle name="Normal 2 6 2 6 3 3 3" xfId="28826" xr:uid="{00000000-0005-0000-0000-00009D700000}"/>
    <cellStyle name="Normal 2 6 2 6 3 3 4" xfId="28827" xr:uid="{00000000-0005-0000-0000-00009E700000}"/>
    <cellStyle name="Normal 2 6 2 6 3 3 5" xfId="28828" xr:uid="{00000000-0005-0000-0000-00009F700000}"/>
    <cellStyle name="Normal 2 6 2 6 3 4" xfId="28829" xr:uid="{00000000-0005-0000-0000-0000A0700000}"/>
    <cellStyle name="Normal 2 6 2 6 3 4 2" xfId="28830" xr:uid="{00000000-0005-0000-0000-0000A1700000}"/>
    <cellStyle name="Normal 2 6 2 6 3 4 3" xfId="28831" xr:uid="{00000000-0005-0000-0000-0000A2700000}"/>
    <cellStyle name="Normal 2 6 2 6 3 4 4" xfId="28832" xr:uid="{00000000-0005-0000-0000-0000A3700000}"/>
    <cellStyle name="Normal 2 6 2 6 3 5" xfId="28833" xr:uid="{00000000-0005-0000-0000-0000A4700000}"/>
    <cellStyle name="Normal 2 6 2 6 3 5 2" xfId="28834" xr:uid="{00000000-0005-0000-0000-0000A5700000}"/>
    <cellStyle name="Normal 2 6 2 6 3 6" xfId="28835" xr:uid="{00000000-0005-0000-0000-0000A6700000}"/>
    <cellStyle name="Normal 2 6 2 6 3 7" xfId="28836" xr:uid="{00000000-0005-0000-0000-0000A7700000}"/>
    <cellStyle name="Normal 2 6 2 6 3 8" xfId="28837" xr:uid="{00000000-0005-0000-0000-0000A8700000}"/>
    <cellStyle name="Normal 2 6 2 6 3 9" xfId="28838" xr:uid="{00000000-0005-0000-0000-0000A9700000}"/>
    <cellStyle name="Normal 2 6 2 6 4" xfId="28839" xr:uid="{00000000-0005-0000-0000-0000AA700000}"/>
    <cellStyle name="Normal 2 6 2 6 4 2" xfId="28840" xr:uid="{00000000-0005-0000-0000-0000AB700000}"/>
    <cellStyle name="Normal 2 6 2 6 4 2 2" xfId="28841" xr:uid="{00000000-0005-0000-0000-0000AC700000}"/>
    <cellStyle name="Normal 2 6 2 6 4 2 3" xfId="28842" xr:uid="{00000000-0005-0000-0000-0000AD700000}"/>
    <cellStyle name="Normal 2 6 2 6 4 3" xfId="28843" xr:uid="{00000000-0005-0000-0000-0000AE700000}"/>
    <cellStyle name="Normal 2 6 2 6 4 4" xfId="28844" xr:uid="{00000000-0005-0000-0000-0000AF700000}"/>
    <cellStyle name="Normal 2 6 2 6 4 5" xfId="28845" xr:uid="{00000000-0005-0000-0000-0000B0700000}"/>
    <cellStyle name="Normal 2 6 2 6 4 6" xfId="28846" xr:uid="{00000000-0005-0000-0000-0000B1700000}"/>
    <cellStyle name="Normal 2 6 2 6 5" xfId="28847" xr:uid="{00000000-0005-0000-0000-0000B2700000}"/>
    <cellStyle name="Normal 2 6 2 6 5 2" xfId="28848" xr:uid="{00000000-0005-0000-0000-0000B3700000}"/>
    <cellStyle name="Normal 2 6 2 6 5 2 2" xfId="28849" xr:uid="{00000000-0005-0000-0000-0000B4700000}"/>
    <cellStyle name="Normal 2 6 2 6 5 3" xfId="28850" xr:uid="{00000000-0005-0000-0000-0000B5700000}"/>
    <cellStyle name="Normal 2 6 2 6 5 4" xfId="28851" xr:uid="{00000000-0005-0000-0000-0000B6700000}"/>
    <cellStyle name="Normal 2 6 2 6 5 5" xfId="28852" xr:uid="{00000000-0005-0000-0000-0000B7700000}"/>
    <cellStyle name="Normal 2 6 2 6 6" xfId="28853" xr:uid="{00000000-0005-0000-0000-0000B8700000}"/>
    <cellStyle name="Normal 2 6 2 6 6 2" xfId="28854" xr:uid="{00000000-0005-0000-0000-0000B9700000}"/>
    <cellStyle name="Normal 2 6 2 6 6 3" xfId="28855" xr:uid="{00000000-0005-0000-0000-0000BA700000}"/>
    <cellStyle name="Normal 2 6 2 6 6 4" xfId="28856" xr:uid="{00000000-0005-0000-0000-0000BB700000}"/>
    <cellStyle name="Normal 2 6 2 6 7" xfId="28857" xr:uid="{00000000-0005-0000-0000-0000BC700000}"/>
    <cellStyle name="Normal 2 6 2 6 7 2" xfId="28858" xr:uid="{00000000-0005-0000-0000-0000BD700000}"/>
    <cellStyle name="Normal 2 6 2 6 8" xfId="28859" xr:uid="{00000000-0005-0000-0000-0000BE700000}"/>
    <cellStyle name="Normal 2 6 2 6 9" xfId="28860" xr:uid="{00000000-0005-0000-0000-0000BF700000}"/>
    <cellStyle name="Normal 2 6 2 7" xfId="28861" xr:uid="{00000000-0005-0000-0000-0000C0700000}"/>
    <cellStyle name="Normal 2 6 2 7 10" xfId="28862" xr:uid="{00000000-0005-0000-0000-0000C1700000}"/>
    <cellStyle name="Normal 2 6 2 7 11" xfId="28863" xr:uid="{00000000-0005-0000-0000-0000C2700000}"/>
    <cellStyle name="Normal 2 6 2 7 2" xfId="28864" xr:uid="{00000000-0005-0000-0000-0000C3700000}"/>
    <cellStyle name="Normal 2 6 2 7 2 2" xfId="28865" xr:uid="{00000000-0005-0000-0000-0000C4700000}"/>
    <cellStyle name="Normal 2 6 2 7 2 2 2" xfId="28866" xr:uid="{00000000-0005-0000-0000-0000C5700000}"/>
    <cellStyle name="Normal 2 6 2 7 2 2 2 2" xfId="28867" xr:uid="{00000000-0005-0000-0000-0000C6700000}"/>
    <cellStyle name="Normal 2 6 2 7 2 2 2 3" xfId="28868" xr:uid="{00000000-0005-0000-0000-0000C7700000}"/>
    <cellStyle name="Normal 2 6 2 7 2 2 3" xfId="28869" xr:uid="{00000000-0005-0000-0000-0000C8700000}"/>
    <cellStyle name="Normal 2 6 2 7 2 2 4" xfId="28870" xr:uid="{00000000-0005-0000-0000-0000C9700000}"/>
    <cellStyle name="Normal 2 6 2 7 2 2 5" xfId="28871" xr:uid="{00000000-0005-0000-0000-0000CA700000}"/>
    <cellStyle name="Normal 2 6 2 7 2 2 6" xfId="28872" xr:uid="{00000000-0005-0000-0000-0000CB700000}"/>
    <cellStyle name="Normal 2 6 2 7 2 3" xfId="28873" xr:uid="{00000000-0005-0000-0000-0000CC700000}"/>
    <cellStyle name="Normal 2 6 2 7 2 3 2" xfId="28874" xr:uid="{00000000-0005-0000-0000-0000CD700000}"/>
    <cellStyle name="Normal 2 6 2 7 2 3 2 2" xfId="28875" xr:uid="{00000000-0005-0000-0000-0000CE700000}"/>
    <cellStyle name="Normal 2 6 2 7 2 3 3" xfId="28876" xr:uid="{00000000-0005-0000-0000-0000CF700000}"/>
    <cellStyle name="Normal 2 6 2 7 2 3 4" xfId="28877" xr:uid="{00000000-0005-0000-0000-0000D0700000}"/>
    <cellStyle name="Normal 2 6 2 7 2 3 5" xfId="28878" xr:uid="{00000000-0005-0000-0000-0000D1700000}"/>
    <cellStyle name="Normal 2 6 2 7 2 4" xfId="28879" xr:uid="{00000000-0005-0000-0000-0000D2700000}"/>
    <cellStyle name="Normal 2 6 2 7 2 4 2" xfId="28880" xr:uid="{00000000-0005-0000-0000-0000D3700000}"/>
    <cellStyle name="Normal 2 6 2 7 2 4 3" xfId="28881" xr:uid="{00000000-0005-0000-0000-0000D4700000}"/>
    <cellStyle name="Normal 2 6 2 7 2 4 4" xfId="28882" xr:uid="{00000000-0005-0000-0000-0000D5700000}"/>
    <cellStyle name="Normal 2 6 2 7 2 5" xfId="28883" xr:uid="{00000000-0005-0000-0000-0000D6700000}"/>
    <cellStyle name="Normal 2 6 2 7 2 5 2" xfId="28884" xr:uid="{00000000-0005-0000-0000-0000D7700000}"/>
    <cellStyle name="Normal 2 6 2 7 2 6" xfId="28885" xr:uid="{00000000-0005-0000-0000-0000D8700000}"/>
    <cellStyle name="Normal 2 6 2 7 2 7" xfId="28886" xr:uid="{00000000-0005-0000-0000-0000D9700000}"/>
    <cellStyle name="Normal 2 6 2 7 2 8" xfId="28887" xr:uid="{00000000-0005-0000-0000-0000DA700000}"/>
    <cellStyle name="Normal 2 6 2 7 2 9" xfId="28888" xr:uid="{00000000-0005-0000-0000-0000DB700000}"/>
    <cellStyle name="Normal 2 6 2 7 3" xfId="28889" xr:uid="{00000000-0005-0000-0000-0000DC700000}"/>
    <cellStyle name="Normal 2 6 2 7 3 2" xfId="28890" xr:uid="{00000000-0005-0000-0000-0000DD700000}"/>
    <cellStyle name="Normal 2 6 2 7 3 2 2" xfId="28891" xr:uid="{00000000-0005-0000-0000-0000DE700000}"/>
    <cellStyle name="Normal 2 6 2 7 3 2 2 2" xfId="28892" xr:uid="{00000000-0005-0000-0000-0000DF700000}"/>
    <cellStyle name="Normal 2 6 2 7 3 2 2 3" xfId="28893" xr:uid="{00000000-0005-0000-0000-0000E0700000}"/>
    <cellStyle name="Normal 2 6 2 7 3 2 3" xfId="28894" xr:uid="{00000000-0005-0000-0000-0000E1700000}"/>
    <cellStyle name="Normal 2 6 2 7 3 2 4" xfId="28895" xr:uid="{00000000-0005-0000-0000-0000E2700000}"/>
    <cellStyle name="Normal 2 6 2 7 3 2 5" xfId="28896" xr:uid="{00000000-0005-0000-0000-0000E3700000}"/>
    <cellStyle name="Normal 2 6 2 7 3 2 6" xfId="28897" xr:uid="{00000000-0005-0000-0000-0000E4700000}"/>
    <cellStyle name="Normal 2 6 2 7 3 3" xfId="28898" xr:uid="{00000000-0005-0000-0000-0000E5700000}"/>
    <cellStyle name="Normal 2 6 2 7 3 3 2" xfId="28899" xr:uid="{00000000-0005-0000-0000-0000E6700000}"/>
    <cellStyle name="Normal 2 6 2 7 3 3 2 2" xfId="28900" xr:uid="{00000000-0005-0000-0000-0000E7700000}"/>
    <cellStyle name="Normal 2 6 2 7 3 3 3" xfId="28901" xr:uid="{00000000-0005-0000-0000-0000E8700000}"/>
    <cellStyle name="Normal 2 6 2 7 3 3 4" xfId="28902" xr:uid="{00000000-0005-0000-0000-0000E9700000}"/>
    <cellStyle name="Normal 2 6 2 7 3 3 5" xfId="28903" xr:uid="{00000000-0005-0000-0000-0000EA700000}"/>
    <cellStyle name="Normal 2 6 2 7 3 4" xfId="28904" xr:uid="{00000000-0005-0000-0000-0000EB700000}"/>
    <cellStyle name="Normal 2 6 2 7 3 4 2" xfId="28905" xr:uid="{00000000-0005-0000-0000-0000EC700000}"/>
    <cellStyle name="Normal 2 6 2 7 3 4 3" xfId="28906" xr:uid="{00000000-0005-0000-0000-0000ED700000}"/>
    <cellStyle name="Normal 2 6 2 7 3 4 4" xfId="28907" xr:uid="{00000000-0005-0000-0000-0000EE700000}"/>
    <cellStyle name="Normal 2 6 2 7 3 5" xfId="28908" xr:uid="{00000000-0005-0000-0000-0000EF700000}"/>
    <cellStyle name="Normal 2 6 2 7 3 5 2" xfId="28909" xr:uid="{00000000-0005-0000-0000-0000F0700000}"/>
    <cellStyle name="Normal 2 6 2 7 3 6" xfId="28910" xr:uid="{00000000-0005-0000-0000-0000F1700000}"/>
    <cellStyle name="Normal 2 6 2 7 3 7" xfId="28911" xr:uid="{00000000-0005-0000-0000-0000F2700000}"/>
    <cellStyle name="Normal 2 6 2 7 3 8" xfId="28912" xr:uid="{00000000-0005-0000-0000-0000F3700000}"/>
    <cellStyle name="Normal 2 6 2 7 3 9" xfId="28913" xr:uid="{00000000-0005-0000-0000-0000F4700000}"/>
    <cellStyle name="Normal 2 6 2 7 4" xfId="28914" xr:uid="{00000000-0005-0000-0000-0000F5700000}"/>
    <cellStyle name="Normal 2 6 2 7 4 2" xfId="28915" xr:uid="{00000000-0005-0000-0000-0000F6700000}"/>
    <cellStyle name="Normal 2 6 2 7 4 2 2" xfId="28916" xr:uid="{00000000-0005-0000-0000-0000F7700000}"/>
    <cellStyle name="Normal 2 6 2 7 4 2 3" xfId="28917" xr:uid="{00000000-0005-0000-0000-0000F8700000}"/>
    <cellStyle name="Normal 2 6 2 7 4 3" xfId="28918" xr:uid="{00000000-0005-0000-0000-0000F9700000}"/>
    <cellStyle name="Normal 2 6 2 7 4 4" xfId="28919" xr:uid="{00000000-0005-0000-0000-0000FA700000}"/>
    <cellStyle name="Normal 2 6 2 7 4 5" xfId="28920" xr:uid="{00000000-0005-0000-0000-0000FB700000}"/>
    <cellStyle name="Normal 2 6 2 7 4 6" xfId="28921" xr:uid="{00000000-0005-0000-0000-0000FC700000}"/>
    <cellStyle name="Normal 2 6 2 7 5" xfId="28922" xr:uid="{00000000-0005-0000-0000-0000FD700000}"/>
    <cellStyle name="Normal 2 6 2 7 5 2" xfId="28923" xr:uid="{00000000-0005-0000-0000-0000FE700000}"/>
    <cellStyle name="Normal 2 6 2 7 5 2 2" xfId="28924" xr:uid="{00000000-0005-0000-0000-0000FF700000}"/>
    <cellStyle name="Normal 2 6 2 7 5 3" xfId="28925" xr:uid="{00000000-0005-0000-0000-000000710000}"/>
    <cellStyle name="Normal 2 6 2 7 5 4" xfId="28926" xr:uid="{00000000-0005-0000-0000-000001710000}"/>
    <cellStyle name="Normal 2 6 2 7 5 5" xfId="28927" xr:uid="{00000000-0005-0000-0000-000002710000}"/>
    <cellStyle name="Normal 2 6 2 7 6" xfId="28928" xr:uid="{00000000-0005-0000-0000-000003710000}"/>
    <cellStyle name="Normal 2 6 2 7 6 2" xfId="28929" xr:uid="{00000000-0005-0000-0000-000004710000}"/>
    <cellStyle name="Normal 2 6 2 7 6 3" xfId="28930" xr:uid="{00000000-0005-0000-0000-000005710000}"/>
    <cellStyle name="Normal 2 6 2 7 6 4" xfId="28931" xr:uid="{00000000-0005-0000-0000-000006710000}"/>
    <cellStyle name="Normal 2 6 2 7 7" xfId="28932" xr:uid="{00000000-0005-0000-0000-000007710000}"/>
    <cellStyle name="Normal 2 6 2 7 7 2" xfId="28933" xr:uid="{00000000-0005-0000-0000-000008710000}"/>
    <cellStyle name="Normal 2 6 2 7 8" xfId="28934" xr:uid="{00000000-0005-0000-0000-000009710000}"/>
    <cellStyle name="Normal 2 6 2 7 9" xfId="28935" xr:uid="{00000000-0005-0000-0000-00000A710000}"/>
    <cellStyle name="Normal 2 6 2 8" xfId="28936" xr:uid="{00000000-0005-0000-0000-00000B710000}"/>
    <cellStyle name="Normal 2 6 2 8 10" xfId="28937" xr:uid="{00000000-0005-0000-0000-00000C710000}"/>
    <cellStyle name="Normal 2 6 2 8 2" xfId="28938" xr:uid="{00000000-0005-0000-0000-00000D710000}"/>
    <cellStyle name="Normal 2 6 2 8 2 2" xfId="28939" xr:uid="{00000000-0005-0000-0000-00000E710000}"/>
    <cellStyle name="Normal 2 6 2 8 2 2 2" xfId="28940" xr:uid="{00000000-0005-0000-0000-00000F710000}"/>
    <cellStyle name="Normal 2 6 2 8 2 2 3" xfId="28941" xr:uid="{00000000-0005-0000-0000-000010710000}"/>
    <cellStyle name="Normal 2 6 2 8 2 3" xfId="28942" xr:uid="{00000000-0005-0000-0000-000011710000}"/>
    <cellStyle name="Normal 2 6 2 8 2 4" xfId="28943" xr:uid="{00000000-0005-0000-0000-000012710000}"/>
    <cellStyle name="Normal 2 6 2 8 2 5" xfId="28944" xr:uid="{00000000-0005-0000-0000-000013710000}"/>
    <cellStyle name="Normal 2 6 2 8 2 6" xfId="28945" xr:uid="{00000000-0005-0000-0000-000014710000}"/>
    <cellStyle name="Normal 2 6 2 8 3" xfId="28946" xr:uid="{00000000-0005-0000-0000-000015710000}"/>
    <cellStyle name="Normal 2 6 2 8 3 2" xfId="28947" xr:uid="{00000000-0005-0000-0000-000016710000}"/>
    <cellStyle name="Normal 2 6 2 8 3 2 2" xfId="28948" xr:uid="{00000000-0005-0000-0000-000017710000}"/>
    <cellStyle name="Normal 2 6 2 8 3 2 3" xfId="28949" xr:uid="{00000000-0005-0000-0000-000018710000}"/>
    <cellStyle name="Normal 2 6 2 8 3 3" xfId="28950" xr:uid="{00000000-0005-0000-0000-000019710000}"/>
    <cellStyle name="Normal 2 6 2 8 3 4" xfId="28951" xr:uid="{00000000-0005-0000-0000-00001A710000}"/>
    <cellStyle name="Normal 2 6 2 8 3 5" xfId="28952" xr:uid="{00000000-0005-0000-0000-00001B710000}"/>
    <cellStyle name="Normal 2 6 2 8 3 6" xfId="28953" xr:uid="{00000000-0005-0000-0000-00001C710000}"/>
    <cellStyle name="Normal 2 6 2 8 4" xfId="28954" xr:uid="{00000000-0005-0000-0000-00001D710000}"/>
    <cellStyle name="Normal 2 6 2 8 4 2" xfId="28955" xr:uid="{00000000-0005-0000-0000-00001E710000}"/>
    <cellStyle name="Normal 2 6 2 8 4 2 2" xfId="28956" xr:uid="{00000000-0005-0000-0000-00001F710000}"/>
    <cellStyle name="Normal 2 6 2 8 4 3" xfId="28957" xr:uid="{00000000-0005-0000-0000-000020710000}"/>
    <cellStyle name="Normal 2 6 2 8 4 4" xfId="28958" xr:uid="{00000000-0005-0000-0000-000021710000}"/>
    <cellStyle name="Normal 2 6 2 8 4 5" xfId="28959" xr:uid="{00000000-0005-0000-0000-000022710000}"/>
    <cellStyle name="Normal 2 6 2 8 5" xfId="28960" xr:uid="{00000000-0005-0000-0000-000023710000}"/>
    <cellStyle name="Normal 2 6 2 8 5 2" xfId="28961" xr:uid="{00000000-0005-0000-0000-000024710000}"/>
    <cellStyle name="Normal 2 6 2 8 5 3" xfId="28962" xr:uid="{00000000-0005-0000-0000-000025710000}"/>
    <cellStyle name="Normal 2 6 2 8 5 4" xfId="28963" xr:uid="{00000000-0005-0000-0000-000026710000}"/>
    <cellStyle name="Normal 2 6 2 8 6" xfId="28964" xr:uid="{00000000-0005-0000-0000-000027710000}"/>
    <cellStyle name="Normal 2 6 2 8 6 2" xfId="28965" xr:uid="{00000000-0005-0000-0000-000028710000}"/>
    <cellStyle name="Normal 2 6 2 8 7" xfId="28966" xr:uid="{00000000-0005-0000-0000-000029710000}"/>
    <cellStyle name="Normal 2 6 2 8 8" xfId="28967" xr:uid="{00000000-0005-0000-0000-00002A710000}"/>
    <cellStyle name="Normal 2 6 2 8 9" xfId="28968" xr:uid="{00000000-0005-0000-0000-00002B710000}"/>
    <cellStyle name="Normal 2 6 2 9" xfId="28969" xr:uid="{00000000-0005-0000-0000-00002C710000}"/>
    <cellStyle name="Normal 2 6 2 9 10" xfId="28970" xr:uid="{00000000-0005-0000-0000-00002D710000}"/>
    <cellStyle name="Normal 2 6 2 9 2" xfId="28971" xr:uid="{00000000-0005-0000-0000-00002E710000}"/>
    <cellStyle name="Normal 2 6 2 9 2 2" xfId="28972" xr:uid="{00000000-0005-0000-0000-00002F710000}"/>
    <cellStyle name="Normal 2 6 2 9 2 2 2" xfId="28973" xr:uid="{00000000-0005-0000-0000-000030710000}"/>
    <cellStyle name="Normal 2 6 2 9 2 2 3" xfId="28974" xr:uid="{00000000-0005-0000-0000-000031710000}"/>
    <cellStyle name="Normal 2 6 2 9 2 3" xfId="28975" xr:uid="{00000000-0005-0000-0000-000032710000}"/>
    <cellStyle name="Normal 2 6 2 9 2 4" xfId="28976" xr:uid="{00000000-0005-0000-0000-000033710000}"/>
    <cellStyle name="Normal 2 6 2 9 2 5" xfId="28977" xr:uid="{00000000-0005-0000-0000-000034710000}"/>
    <cellStyle name="Normal 2 6 2 9 2 6" xfId="28978" xr:uid="{00000000-0005-0000-0000-000035710000}"/>
    <cellStyle name="Normal 2 6 2 9 3" xfId="28979" xr:uid="{00000000-0005-0000-0000-000036710000}"/>
    <cellStyle name="Normal 2 6 2 9 3 2" xfId="28980" xr:uid="{00000000-0005-0000-0000-000037710000}"/>
    <cellStyle name="Normal 2 6 2 9 3 2 2" xfId="28981" xr:uid="{00000000-0005-0000-0000-000038710000}"/>
    <cellStyle name="Normal 2 6 2 9 3 2 3" xfId="28982" xr:uid="{00000000-0005-0000-0000-000039710000}"/>
    <cellStyle name="Normal 2 6 2 9 3 3" xfId="28983" xr:uid="{00000000-0005-0000-0000-00003A710000}"/>
    <cellStyle name="Normal 2 6 2 9 3 4" xfId="28984" xr:uid="{00000000-0005-0000-0000-00003B710000}"/>
    <cellStyle name="Normal 2 6 2 9 3 5" xfId="28985" xr:uid="{00000000-0005-0000-0000-00003C710000}"/>
    <cellStyle name="Normal 2 6 2 9 3 6" xfId="28986" xr:uid="{00000000-0005-0000-0000-00003D710000}"/>
    <cellStyle name="Normal 2 6 2 9 4" xfId="28987" xr:uid="{00000000-0005-0000-0000-00003E710000}"/>
    <cellStyle name="Normal 2 6 2 9 4 2" xfId="28988" xr:uid="{00000000-0005-0000-0000-00003F710000}"/>
    <cellStyle name="Normal 2 6 2 9 4 2 2" xfId="28989" xr:uid="{00000000-0005-0000-0000-000040710000}"/>
    <cellStyle name="Normal 2 6 2 9 4 3" xfId="28990" xr:uid="{00000000-0005-0000-0000-000041710000}"/>
    <cellStyle name="Normal 2 6 2 9 4 4" xfId="28991" xr:uid="{00000000-0005-0000-0000-000042710000}"/>
    <cellStyle name="Normal 2 6 2 9 4 5" xfId="28992" xr:uid="{00000000-0005-0000-0000-000043710000}"/>
    <cellStyle name="Normal 2 6 2 9 5" xfId="28993" xr:uid="{00000000-0005-0000-0000-000044710000}"/>
    <cellStyle name="Normal 2 6 2 9 5 2" xfId="28994" xr:uid="{00000000-0005-0000-0000-000045710000}"/>
    <cellStyle name="Normal 2 6 2 9 5 3" xfId="28995" xr:uid="{00000000-0005-0000-0000-000046710000}"/>
    <cellStyle name="Normal 2 6 2 9 5 4" xfId="28996" xr:uid="{00000000-0005-0000-0000-000047710000}"/>
    <cellStyle name="Normal 2 6 2 9 6" xfId="28997" xr:uid="{00000000-0005-0000-0000-000048710000}"/>
    <cellStyle name="Normal 2 6 2 9 6 2" xfId="28998" xr:uid="{00000000-0005-0000-0000-000049710000}"/>
    <cellStyle name="Normal 2 6 2 9 7" xfId="28999" xr:uid="{00000000-0005-0000-0000-00004A710000}"/>
    <cellStyle name="Normal 2 6 2 9 8" xfId="29000" xr:uid="{00000000-0005-0000-0000-00004B710000}"/>
    <cellStyle name="Normal 2 6 2 9 9" xfId="29001" xr:uid="{00000000-0005-0000-0000-00004C710000}"/>
    <cellStyle name="Normal 2 6 20" xfId="29002" xr:uid="{00000000-0005-0000-0000-00004D710000}"/>
    <cellStyle name="Normal 2 6 20 10" xfId="29003" xr:uid="{00000000-0005-0000-0000-00004E710000}"/>
    <cellStyle name="Normal 2 6 20 2" xfId="29004" xr:uid="{00000000-0005-0000-0000-00004F710000}"/>
    <cellStyle name="Normal 2 6 20 2 2" xfId="29005" xr:uid="{00000000-0005-0000-0000-000050710000}"/>
    <cellStyle name="Normal 2 6 20 2 2 2" xfId="29006" xr:uid="{00000000-0005-0000-0000-000051710000}"/>
    <cellStyle name="Normal 2 6 20 2 2 3" xfId="29007" xr:uid="{00000000-0005-0000-0000-000052710000}"/>
    <cellStyle name="Normal 2 6 20 2 3" xfId="29008" xr:uid="{00000000-0005-0000-0000-000053710000}"/>
    <cellStyle name="Normal 2 6 20 2 4" xfId="29009" xr:uid="{00000000-0005-0000-0000-000054710000}"/>
    <cellStyle name="Normal 2 6 20 2 5" xfId="29010" xr:uid="{00000000-0005-0000-0000-000055710000}"/>
    <cellStyle name="Normal 2 6 20 2 6" xfId="29011" xr:uid="{00000000-0005-0000-0000-000056710000}"/>
    <cellStyle name="Normal 2 6 20 3" xfId="29012" xr:uid="{00000000-0005-0000-0000-000057710000}"/>
    <cellStyle name="Normal 2 6 20 3 2" xfId="29013" xr:uid="{00000000-0005-0000-0000-000058710000}"/>
    <cellStyle name="Normal 2 6 20 3 2 2" xfId="29014" xr:uid="{00000000-0005-0000-0000-000059710000}"/>
    <cellStyle name="Normal 2 6 20 3 2 3" xfId="29015" xr:uid="{00000000-0005-0000-0000-00005A710000}"/>
    <cellStyle name="Normal 2 6 20 3 3" xfId="29016" xr:uid="{00000000-0005-0000-0000-00005B710000}"/>
    <cellStyle name="Normal 2 6 20 3 4" xfId="29017" xr:uid="{00000000-0005-0000-0000-00005C710000}"/>
    <cellStyle name="Normal 2 6 20 3 5" xfId="29018" xr:uid="{00000000-0005-0000-0000-00005D710000}"/>
    <cellStyle name="Normal 2 6 20 3 6" xfId="29019" xr:uid="{00000000-0005-0000-0000-00005E710000}"/>
    <cellStyle name="Normal 2 6 20 4" xfId="29020" xr:uid="{00000000-0005-0000-0000-00005F710000}"/>
    <cellStyle name="Normal 2 6 20 4 2" xfId="29021" xr:uid="{00000000-0005-0000-0000-000060710000}"/>
    <cellStyle name="Normal 2 6 20 4 2 2" xfId="29022" xr:uid="{00000000-0005-0000-0000-000061710000}"/>
    <cellStyle name="Normal 2 6 20 4 3" xfId="29023" xr:uid="{00000000-0005-0000-0000-000062710000}"/>
    <cellStyle name="Normal 2 6 20 4 4" xfId="29024" xr:uid="{00000000-0005-0000-0000-000063710000}"/>
    <cellStyle name="Normal 2 6 20 4 5" xfId="29025" xr:uid="{00000000-0005-0000-0000-000064710000}"/>
    <cellStyle name="Normal 2 6 20 5" xfId="29026" xr:uid="{00000000-0005-0000-0000-000065710000}"/>
    <cellStyle name="Normal 2 6 20 5 2" xfId="29027" xr:uid="{00000000-0005-0000-0000-000066710000}"/>
    <cellStyle name="Normal 2 6 20 5 3" xfId="29028" xr:uid="{00000000-0005-0000-0000-000067710000}"/>
    <cellStyle name="Normal 2 6 20 5 4" xfId="29029" xr:uid="{00000000-0005-0000-0000-000068710000}"/>
    <cellStyle name="Normal 2 6 20 6" xfId="29030" xr:uid="{00000000-0005-0000-0000-000069710000}"/>
    <cellStyle name="Normal 2 6 20 6 2" xfId="29031" xr:uid="{00000000-0005-0000-0000-00006A710000}"/>
    <cellStyle name="Normal 2 6 20 7" xfId="29032" xr:uid="{00000000-0005-0000-0000-00006B710000}"/>
    <cellStyle name="Normal 2 6 20 8" xfId="29033" xr:uid="{00000000-0005-0000-0000-00006C710000}"/>
    <cellStyle name="Normal 2 6 20 9" xfId="29034" xr:uid="{00000000-0005-0000-0000-00006D710000}"/>
    <cellStyle name="Normal 2 6 21" xfId="29035" xr:uid="{00000000-0005-0000-0000-00006E710000}"/>
    <cellStyle name="Normal 2 6 21 10" xfId="29036" xr:uid="{00000000-0005-0000-0000-00006F710000}"/>
    <cellStyle name="Normal 2 6 21 2" xfId="29037" xr:uid="{00000000-0005-0000-0000-000070710000}"/>
    <cellStyle name="Normal 2 6 21 2 2" xfId="29038" xr:uid="{00000000-0005-0000-0000-000071710000}"/>
    <cellStyle name="Normal 2 6 21 2 2 2" xfId="29039" xr:uid="{00000000-0005-0000-0000-000072710000}"/>
    <cellStyle name="Normal 2 6 21 2 2 3" xfId="29040" xr:uid="{00000000-0005-0000-0000-000073710000}"/>
    <cellStyle name="Normal 2 6 21 2 3" xfId="29041" xr:uid="{00000000-0005-0000-0000-000074710000}"/>
    <cellStyle name="Normal 2 6 21 2 4" xfId="29042" xr:uid="{00000000-0005-0000-0000-000075710000}"/>
    <cellStyle name="Normal 2 6 21 2 5" xfId="29043" xr:uid="{00000000-0005-0000-0000-000076710000}"/>
    <cellStyle name="Normal 2 6 21 2 6" xfId="29044" xr:uid="{00000000-0005-0000-0000-000077710000}"/>
    <cellStyle name="Normal 2 6 21 3" xfId="29045" xr:uid="{00000000-0005-0000-0000-000078710000}"/>
    <cellStyle name="Normal 2 6 21 3 2" xfId="29046" xr:uid="{00000000-0005-0000-0000-000079710000}"/>
    <cellStyle name="Normal 2 6 21 3 2 2" xfId="29047" xr:uid="{00000000-0005-0000-0000-00007A710000}"/>
    <cellStyle name="Normal 2 6 21 3 2 3" xfId="29048" xr:uid="{00000000-0005-0000-0000-00007B710000}"/>
    <cellStyle name="Normal 2 6 21 3 3" xfId="29049" xr:uid="{00000000-0005-0000-0000-00007C710000}"/>
    <cellStyle name="Normal 2 6 21 3 4" xfId="29050" xr:uid="{00000000-0005-0000-0000-00007D710000}"/>
    <cellStyle name="Normal 2 6 21 3 5" xfId="29051" xr:uid="{00000000-0005-0000-0000-00007E710000}"/>
    <cellStyle name="Normal 2 6 21 3 6" xfId="29052" xr:uid="{00000000-0005-0000-0000-00007F710000}"/>
    <cellStyle name="Normal 2 6 21 4" xfId="29053" xr:uid="{00000000-0005-0000-0000-000080710000}"/>
    <cellStyle name="Normal 2 6 21 4 2" xfId="29054" xr:uid="{00000000-0005-0000-0000-000081710000}"/>
    <cellStyle name="Normal 2 6 21 4 2 2" xfId="29055" xr:uid="{00000000-0005-0000-0000-000082710000}"/>
    <cellStyle name="Normal 2 6 21 4 3" xfId="29056" xr:uid="{00000000-0005-0000-0000-000083710000}"/>
    <cellStyle name="Normal 2 6 21 4 4" xfId="29057" xr:uid="{00000000-0005-0000-0000-000084710000}"/>
    <cellStyle name="Normal 2 6 21 4 5" xfId="29058" xr:uid="{00000000-0005-0000-0000-000085710000}"/>
    <cellStyle name="Normal 2 6 21 5" xfId="29059" xr:uid="{00000000-0005-0000-0000-000086710000}"/>
    <cellStyle name="Normal 2 6 21 5 2" xfId="29060" xr:uid="{00000000-0005-0000-0000-000087710000}"/>
    <cellStyle name="Normal 2 6 21 5 3" xfId="29061" xr:uid="{00000000-0005-0000-0000-000088710000}"/>
    <cellStyle name="Normal 2 6 21 5 4" xfId="29062" xr:uid="{00000000-0005-0000-0000-000089710000}"/>
    <cellStyle name="Normal 2 6 21 6" xfId="29063" xr:uid="{00000000-0005-0000-0000-00008A710000}"/>
    <cellStyle name="Normal 2 6 21 6 2" xfId="29064" xr:uid="{00000000-0005-0000-0000-00008B710000}"/>
    <cellStyle name="Normal 2 6 21 7" xfId="29065" xr:uid="{00000000-0005-0000-0000-00008C710000}"/>
    <cellStyle name="Normal 2 6 21 8" xfId="29066" xr:uid="{00000000-0005-0000-0000-00008D710000}"/>
    <cellStyle name="Normal 2 6 21 9" xfId="29067" xr:uid="{00000000-0005-0000-0000-00008E710000}"/>
    <cellStyle name="Normal 2 6 22" xfId="29068" xr:uid="{00000000-0005-0000-0000-00008F710000}"/>
    <cellStyle name="Normal 2 6 22 10" xfId="29069" xr:uid="{00000000-0005-0000-0000-000090710000}"/>
    <cellStyle name="Normal 2 6 22 2" xfId="29070" xr:uid="{00000000-0005-0000-0000-000091710000}"/>
    <cellStyle name="Normal 2 6 22 2 2" xfId="29071" xr:uid="{00000000-0005-0000-0000-000092710000}"/>
    <cellStyle name="Normal 2 6 22 2 2 2" xfId="29072" xr:uid="{00000000-0005-0000-0000-000093710000}"/>
    <cellStyle name="Normal 2 6 22 2 2 3" xfId="29073" xr:uid="{00000000-0005-0000-0000-000094710000}"/>
    <cellStyle name="Normal 2 6 22 2 3" xfId="29074" xr:uid="{00000000-0005-0000-0000-000095710000}"/>
    <cellStyle name="Normal 2 6 22 2 4" xfId="29075" xr:uid="{00000000-0005-0000-0000-000096710000}"/>
    <cellStyle name="Normal 2 6 22 2 5" xfId="29076" xr:uid="{00000000-0005-0000-0000-000097710000}"/>
    <cellStyle name="Normal 2 6 22 2 6" xfId="29077" xr:uid="{00000000-0005-0000-0000-000098710000}"/>
    <cellStyle name="Normal 2 6 22 3" xfId="29078" xr:uid="{00000000-0005-0000-0000-000099710000}"/>
    <cellStyle name="Normal 2 6 22 3 2" xfId="29079" xr:uid="{00000000-0005-0000-0000-00009A710000}"/>
    <cellStyle name="Normal 2 6 22 3 2 2" xfId="29080" xr:uid="{00000000-0005-0000-0000-00009B710000}"/>
    <cellStyle name="Normal 2 6 22 3 2 3" xfId="29081" xr:uid="{00000000-0005-0000-0000-00009C710000}"/>
    <cellStyle name="Normal 2 6 22 3 3" xfId="29082" xr:uid="{00000000-0005-0000-0000-00009D710000}"/>
    <cellStyle name="Normal 2 6 22 3 4" xfId="29083" xr:uid="{00000000-0005-0000-0000-00009E710000}"/>
    <cellStyle name="Normal 2 6 22 3 5" xfId="29084" xr:uid="{00000000-0005-0000-0000-00009F710000}"/>
    <cellStyle name="Normal 2 6 22 3 6" xfId="29085" xr:uid="{00000000-0005-0000-0000-0000A0710000}"/>
    <cellStyle name="Normal 2 6 22 4" xfId="29086" xr:uid="{00000000-0005-0000-0000-0000A1710000}"/>
    <cellStyle name="Normal 2 6 22 4 2" xfId="29087" xr:uid="{00000000-0005-0000-0000-0000A2710000}"/>
    <cellStyle name="Normal 2 6 22 4 2 2" xfId="29088" xr:uid="{00000000-0005-0000-0000-0000A3710000}"/>
    <cellStyle name="Normal 2 6 22 4 3" xfId="29089" xr:uid="{00000000-0005-0000-0000-0000A4710000}"/>
    <cellStyle name="Normal 2 6 22 4 4" xfId="29090" xr:uid="{00000000-0005-0000-0000-0000A5710000}"/>
    <cellStyle name="Normal 2 6 22 4 5" xfId="29091" xr:uid="{00000000-0005-0000-0000-0000A6710000}"/>
    <cellStyle name="Normal 2 6 22 5" xfId="29092" xr:uid="{00000000-0005-0000-0000-0000A7710000}"/>
    <cellStyle name="Normal 2 6 22 5 2" xfId="29093" xr:uid="{00000000-0005-0000-0000-0000A8710000}"/>
    <cellStyle name="Normal 2 6 22 5 3" xfId="29094" xr:uid="{00000000-0005-0000-0000-0000A9710000}"/>
    <cellStyle name="Normal 2 6 22 5 4" xfId="29095" xr:uid="{00000000-0005-0000-0000-0000AA710000}"/>
    <cellStyle name="Normal 2 6 22 6" xfId="29096" xr:uid="{00000000-0005-0000-0000-0000AB710000}"/>
    <cellStyle name="Normal 2 6 22 6 2" xfId="29097" xr:uid="{00000000-0005-0000-0000-0000AC710000}"/>
    <cellStyle name="Normal 2 6 22 7" xfId="29098" xr:uid="{00000000-0005-0000-0000-0000AD710000}"/>
    <cellStyle name="Normal 2 6 22 8" xfId="29099" xr:uid="{00000000-0005-0000-0000-0000AE710000}"/>
    <cellStyle name="Normal 2 6 22 9" xfId="29100" xr:uid="{00000000-0005-0000-0000-0000AF710000}"/>
    <cellStyle name="Normal 2 6 23" xfId="29101" xr:uid="{00000000-0005-0000-0000-0000B0710000}"/>
    <cellStyle name="Normal 2 6 23 10" xfId="29102" xr:uid="{00000000-0005-0000-0000-0000B1710000}"/>
    <cellStyle name="Normal 2 6 23 2" xfId="29103" xr:uid="{00000000-0005-0000-0000-0000B2710000}"/>
    <cellStyle name="Normal 2 6 23 2 2" xfId="29104" xr:uid="{00000000-0005-0000-0000-0000B3710000}"/>
    <cellStyle name="Normal 2 6 23 2 2 2" xfId="29105" xr:uid="{00000000-0005-0000-0000-0000B4710000}"/>
    <cellStyle name="Normal 2 6 23 2 2 3" xfId="29106" xr:uid="{00000000-0005-0000-0000-0000B5710000}"/>
    <cellStyle name="Normal 2 6 23 2 3" xfId="29107" xr:uid="{00000000-0005-0000-0000-0000B6710000}"/>
    <cellStyle name="Normal 2 6 23 2 4" xfId="29108" xr:uid="{00000000-0005-0000-0000-0000B7710000}"/>
    <cellStyle name="Normal 2 6 23 2 5" xfId="29109" xr:uid="{00000000-0005-0000-0000-0000B8710000}"/>
    <cellStyle name="Normal 2 6 23 2 6" xfId="29110" xr:uid="{00000000-0005-0000-0000-0000B9710000}"/>
    <cellStyle name="Normal 2 6 23 3" xfId="29111" xr:uid="{00000000-0005-0000-0000-0000BA710000}"/>
    <cellStyle name="Normal 2 6 23 3 2" xfId="29112" xr:uid="{00000000-0005-0000-0000-0000BB710000}"/>
    <cellStyle name="Normal 2 6 23 3 2 2" xfId="29113" xr:uid="{00000000-0005-0000-0000-0000BC710000}"/>
    <cellStyle name="Normal 2 6 23 3 2 3" xfId="29114" xr:uid="{00000000-0005-0000-0000-0000BD710000}"/>
    <cellStyle name="Normal 2 6 23 3 3" xfId="29115" xr:uid="{00000000-0005-0000-0000-0000BE710000}"/>
    <cellStyle name="Normal 2 6 23 3 4" xfId="29116" xr:uid="{00000000-0005-0000-0000-0000BF710000}"/>
    <cellStyle name="Normal 2 6 23 3 5" xfId="29117" xr:uid="{00000000-0005-0000-0000-0000C0710000}"/>
    <cellStyle name="Normal 2 6 23 3 6" xfId="29118" xr:uid="{00000000-0005-0000-0000-0000C1710000}"/>
    <cellStyle name="Normal 2 6 23 4" xfId="29119" xr:uid="{00000000-0005-0000-0000-0000C2710000}"/>
    <cellStyle name="Normal 2 6 23 4 2" xfId="29120" xr:uid="{00000000-0005-0000-0000-0000C3710000}"/>
    <cellStyle name="Normal 2 6 23 4 2 2" xfId="29121" xr:uid="{00000000-0005-0000-0000-0000C4710000}"/>
    <cellStyle name="Normal 2 6 23 4 3" xfId="29122" xr:uid="{00000000-0005-0000-0000-0000C5710000}"/>
    <cellStyle name="Normal 2 6 23 4 4" xfId="29123" xr:uid="{00000000-0005-0000-0000-0000C6710000}"/>
    <cellStyle name="Normal 2 6 23 4 5" xfId="29124" xr:uid="{00000000-0005-0000-0000-0000C7710000}"/>
    <cellStyle name="Normal 2 6 23 5" xfId="29125" xr:uid="{00000000-0005-0000-0000-0000C8710000}"/>
    <cellStyle name="Normal 2 6 23 5 2" xfId="29126" xr:uid="{00000000-0005-0000-0000-0000C9710000}"/>
    <cellStyle name="Normal 2 6 23 5 3" xfId="29127" xr:uid="{00000000-0005-0000-0000-0000CA710000}"/>
    <cellStyle name="Normal 2 6 23 5 4" xfId="29128" xr:uid="{00000000-0005-0000-0000-0000CB710000}"/>
    <cellStyle name="Normal 2 6 23 6" xfId="29129" xr:uid="{00000000-0005-0000-0000-0000CC710000}"/>
    <cellStyle name="Normal 2 6 23 6 2" xfId="29130" xr:uid="{00000000-0005-0000-0000-0000CD710000}"/>
    <cellStyle name="Normal 2 6 23 7" xfId="29131" xr:uid="{00000000-0005-0000-0000-0000CE710000}"/>
    <cellStyle name="Normal 2 6 23 8" xfId="29132" xr:uid="{00000000-0005-0000-0000-0000CF710000}"/>
    <cellStyle name="Normal 2 6 23 9" xfId="29133" xr:uid="{00000000-0005-0000-0000-0000D0710000}"/>
    <cellStyle name="Normal 2 6 24" xfId="29134" xr:uid="{00000000-0005-0000-0000-0000D1710000}"/>
    <cellStyle name="Normal 2 6 24 10" xfId="29135" xr:uid="{00000000-0005-0000-0000-0000D2710000}"/>
    <cellStyle name="Normal 2 6 24 2" xfId="29136" xr:uid="{00000000-0005-0000-0000-0000D3710000}"/>
    <cellStyle name="Normal 2 6 24 2 2" xfId="29137" xr:uid="{00000000-0005-0000-0000-0000D4710000}"/>
    <cellStyle name="Normal 2 6 24 2 2 2" xfId="29138" xr:uid="{00000000-0005-0000-0000-0000D5710000}"/>
    <cellStyle name="Normal 2 6 24 2 2 3" xfId="29139" xr:uid="{00000000-0005-0000-0000-0000D6710000}"/>
    <cellStyle name="Normal 2 6 24 2 3" xfId="29140" xr:uid="{00000000-0005-0000-0000-0000D7710000}"/>
    <cellStyle name="Normal 2 6 24 2 4" xfId="29141" xr:uid="{00000000-0005-0000-0000-0000D8710000}"/>
    <cellStyle name="Normal 2 6 24 2 5" xfId="29142" xr:uid="{00000000-0005-0000-0000-0000D9710000}"/>
    <cellStyle name="Normal 2 6 24 2 6" xfId="29143" xr:uid="{00000000-0005-0000-0000-0000DA710000}"/>
    <cellStyle name="Normal 2 6 24 3" xfId="29144" xr:uid="{00000000-0005-0000-0000-0000DB710000}"/>
    <cellStyle name="Normal 2 6 24 3 2" xfId="29145" xr:uid="{00000000-0005-0000-0000-0000DC710000}"/>
    <cellStyle name="Normal 2 6 24 3 2 2" xfId="29146" xr:uid="{00000000-0005-0000-0000-0000DD710000}"/>
    <cellStyle name="Normal 2 6 24 3 2 3" xfId="29147" xr:uid="{00000000-0005-0000-0000-0000DE710000}"/>
    <cellStyle name="Normal 2 6 24 3 3" xfId="29148" xr:uid="{00000000-0005-0000-0000-0000DF710000}"/>
    <cellStyle name="Normal 2 6 24 3 4" xfId="29149" xr:uid="{00000000-0005-0000-0000-0000E0710000}"/>
    <cellStyle name="Normal 2 6 24 3 5" xfId="29150" xr:uid="{00000000-0005-0000-0000-0000E1710000}"/>
    <cellStyle name="Normal 2 6 24 3 6" xfId="29151" xr:uid="{00000000-0005-0000-0000-0000E2710000}"/>
    <cellStyle name="Normal 2 6 24 4" xfId="29152" xr:uid="{00000000-0005-0000-0000-0000E3710000}"/>
    <cellStyle name="Normal 2 6 24 4 2" xfId="29153" xr:uid="{00000000-0005-0000-0000-0000E4710000}"/>
    <cellStyle name="Normal 2 6 24 4 2 2" xfId="29154" xr:uid="{00000000-0005-0000-0000-0000E5710000}"/>
    <cellStyle name="Normal 2 6 24 4 3" xfId="29155" xr:uid="{00000000-0005-0000-0000-0000E6710000}"/>
    <cellStyle name="Normal 2 6 24 4 4" xfId="29156" xr:uid="{00000000-0005-0000-0000-0000E7710000}"/>
    <cellStyle name="Normal 2 6 24 4 5" xfId="29157" xr:uid="{00000000-0005-0000-0000-0000E8710000}"/>
    <cellStyle name="Normal 2 6 24 5" xfId="29158" xr:uid="{00000000-0005-0000-0000-0000E9710000}"/>
    <cellStyle name="Normal 2 6 24 5 2" xfId="29159" xr:uid="{00000000-0005-0000-0000-0000EA710000}"/>
    <cellStyle name="Normal 2 6 24 5 3" xfId="29160" xr:uid="{00000000-0005-0000-0000-0000EB710000}"/>
    <cellStyle name="Normal 2 6 24 5 4" xfId="29161" xr:uid="{00000000-0005-0000-0000-0000EC710000}"/>
    <cellStyle name="Normal 2 6 24 6" xfId="29162" xr:uid="{00000000-0005-0000-0000-0000ED710000}"/>
    <cellStyle name="Normal 2 6 24 6 2" xfId="29163" xr:uid="{00000000-0005-0000-0000-0000EE710000}"/>
    <cellStyle name="Normal 2 6 24 7" xfId="29164" xr:uid="{00000000-0005-0000-0000-0000EF710000}"/>
    <cellStyle name="Normal 2 6 24 8" xfId="29165" xr:uid="{00000000-0005-0000-0000-0000F0710000}"/>
    <cellStyle name="Normal 2 6 24 9" xfId="29166" xr:uid="{00000000-0005-0000-0000-0000F1710000}"/>
    <cellStyle name="Normal 2 6 25" xfId="29167" xr:uid="{00000000-0005-0000-0000-0000F2710000}"/>
    <cellStyle name="Normal 2 6 25 10" xfId="29168" xr:uid="{00000000-0005-0000-0000-0000F3710000}"/>
    <cellStyle name="Normal 2 6 25 2" xfId="29169" xr:uid="{00000000-0005-0000-0000-0000F4710000}"/>
    <cellStyle name="Normal 2 6 25 2 2" xfId="29170" xr:uid="{00000000-0005-0000-0000-0000F5710000}"/>
    <cellStyle name="Normal 2 6 25 2 2 2" xfId="29171" xr:uid="{00000000-0005-0000-0000-0000F6710000}"/>
    <cellStyle name="Normal 2 6 25 2 2 3" xfId="29172" xr:uid="{00000000-0005-0000-0000-0000F7710000}"/>
    <cellStyle name="Normal 2 6 25 2 3" xfId="29173" xr:uid="{00000000-0005-0000-0000-0000F8710000}"/>
    <cellStyle name="Normal 2 6 25 2 4" xfId="29174" xr:uid="{00000000-0005-0000-0000-0000F9710000}"/>
    <cellStyle name="Normal 2 6 25 2 5" xfId="29175" xr:uid="{00000000-0005-0000-0000-0000FA710000}"/>
    <cellStyle name="Normal 2 6 25 2 6" xfId="29176" xr:uid="{00000000-0005-0000-0000-0000FB710000}"/>
    <cellStyle name="Normal 2 6 25 3" xfId="29177" xr:uid="{00000000-0005-0000-0000-0000FC710000}"/>
    <cellStyle name="Normal 2 6 25 3 2" xfId="29178" xr:uid="{00000000-0005-0000-0000-0000FD710000}"/>
    <cellStyle name="Normal 2 6 25 3 2 2" xfId="29179" xr:uid="{00000000-0005-0000-0000-0000FE710000}"/>
    <cellStyle name="Normal 2 6 25 3 2 3" xfId="29180" xr:uid="{00000000-0005-0000-0000-0000FF710000}"/>
    <cellStyle name="Normal 2 6 25 3 3" xfId="29181" xr:uid="{00000000-0005-0000-0000-000000720000}"/>
    <cellStyle name="Normal 2 6 25 3 4" xfId="29182" xr:uid="{00000000-0005-0000-0000-000001720000}"/>
    <cellStyle name="Normal 2 6 25 3 5" xfId="29183" xr:uid="{00000000-0005-0000-0000-000002720000}"/>
    <cellStyle name="Normal 2 6 25 3 6" xfId="29184" xr:uid="{00000000-0005-0000-0000-000003720000}"/>
    <cellStyle name="Normal 2 6 25 4" xfId="29185" xr:uid="{00000000-0005-0000-0000-000004720000}"/>
    <cellStyle name="Normal 2 6 25 4 2" xfId="29186" xr:uid="{00000000-0005-0000-0000-000005720000}"/>
    <cellStyle name="Normal 2 6 25 4 2 2" xfId="29187" xr:uid="{00000000-0005-0000-0000-000006720000}"/>
    <cellStyle name="Normal 2 6 25 4 3" xfId="29188" xr:uid="{00000000-0005-0000-0000-000007720000}"/>
    <cellStyle name="Normal 2 6 25 4 4" xfId="29189" xr:uid="{00000000-0005-0000-0000-000008720000}"/>
    <cellStyle name="Normal 2 6 25 4 5" xfId="29190" xr:uid="{00000000-0005-0000-0000-000009720000}"/>
    <cellStyle name="Normal 2 6 25 5" xfId="29191" xr:uid="{00000000-0005-0000-0000-00000A720000}"/>
    <cellStyle name="Normal 2 6 25 5 2" xfId="29192" xr:uid="{00000000-0005-0000-0000-00000B720000}"/>
    <cellStyle name="Normal 2 6 25 5 3" xfId="29193" xr:uid="{00000000-0005-0000-0000-00000C720000}"/>
    <cellStyle name="Normal 2 6 25 5 4" xfId="29194" xr:uid="{00000000-0005-0000-0000-00000D720000}"/>
    <cellStyle name="Normal 2 6 25 6" xfId="29195" xr:uid="{00000000-0005-0000-0000-00000E720000}"/>
    <cellStyle name="Normal 2 6 25 6 2" xfId="29196" xr:uid="{00000000-0005-0000-0000-00000F720000}"/>
    <cellStyle name="Normal 2 6 25 7" xfId="29197" xr:uid="{00000000-0005-0000-0000-000010720000}"/>
    <cellStyle name="Normal 2 6 25 8" xfId="29198" xr:uid="{00000000-0005-0000-0000-000011720000}"/>
    <cellStyle name="Normal 2 6 25 9" xfId="29199" xr:uid="{00000000-0005-0000-0000-000012720000}"/>
    <cellStyle name="Normal 2 6 26" xfId="29200" xr:uid="{00000000-0005-0000-0000-000013720000}"/>
    <cellStyle name="Normal 2 6 26 10" xfId="29201" xr:uid="{00000000-0005-0000-0000-000014720000}"/>
    <cellStyle name="Normal 2 6 26 2" xfId="29202" xr:uid="{00000000-0005-0000-0000-000015720000}"/>
    <cellStyle name="Normal 2 6 26 2 2" xfId="29203" xr:uid="{00000000-0005-0000-0000-000016720000}"/>
    <cellStyle name="Normal 2 6 26 2 2 2" xfId="29204" xr:uid="{00000000-0005-0000-0000-000017720000}"/>
    <cellStyle name="Normal 2 6 26 2 2 3" xfId="29205" xr:uid="{00000000-0005-0000-0000-000018720000}"/>
    <cellStyle name="Normal 2 6 26 2 3" xfId="29206" xr:uid="{00000000-0005-0000-0000-000019720000}"/>
    <cellStyle name="Normal 2 6 26 2 4" xfId="29207" xr:uid="{00000000-0005-0000-0000-00001A720000}"/>
    <cellStyle name="Normal 2 6 26 2 5" xfId="29208" xr:uid="{00000000-0005-0000-0000-00001B720000}"/>
    <cellStyle name="Normal 2 6 26 2 6" xfId="29209" xr:uid="{00000000-0005-0000-0000-00001C720000}"/>
    <cellStyle name="Normal 2 6 26 3" xfId="29210" xr:uid="{00000000-0005-0000-0000-00001D720000}"/>
    <cellStyle name="Normal 2 6 26 3 2" xfId="29211" xr:uid="{00000000-0005-0000-0000-00001E720000}"/>
    <cellStyle name="Normal 2 6 26 3 2 2" xfId="29212" xr:uid="{00000000-0005-0000-0000-00001F720000}"/>
    <cellStyle name="Normal 2 6 26 3 2 3" xfId="29213" xr:uid="{00000000-0005-0000-0000-000020720000}"/>
    <cellStyle name="Normal 2 6 26 3 3" xfId="29214" xr:uid="{00000000-0005-0000-0000-000021720000}"/>
    <cellStyle name="Normal 2 6 26 3 4" xfId="29215" xr:uid="{00000000-0005-0000-0000-000022720000}"/>
    <cellStyle name="Normal 2 6 26 3 5" xfId="29216" xr:uid="{00000000-0005-0000-0000-000023720000}"/>
    <cellStyle name="Normal 2 6 26 3 6" xfId="29217" xr:uid="{00000000-0005-0000-0000-000024720000}"/>
    <cellStyle name="Normal 2 6 26 4" xfId="29218" xr:uid="{00000000-0005-0000-0000-000025720000}"/>
    <cellStyle name="Normal 2 6 26 4 2" xfId="29219" xr:uid="{00000000-0005-0000-0000-000026720000}"/>
    <cellStyle name="Normal 2 6 26 4 2 2" xfId="29220" xr:uid="{00000000-0005-0000-0000-000027720000}"/>
    <cellStyle name="Normal 2 6 26 4 3" xfId="29221" xr:uid="{00000000-0005-0000-0000-000028720000}"/>
    <cellStyle name="Normal 2 6 26 4 4" xfId="29222" xr:uid="{00000000-0005-0000-0000-000029720000}"/>
    <cellStyle name="Normal 2 6 26 4 5" xfId="29223" xr:uid="{00000000-0005-0000-0000-00002A720000}"/>
    <cellStyle name="Normal 2 6 26 5" xfId="29224" xr:uid="{00000000-0005-0000-0000-00002B720000}"/>
    <cellStyle name="Normal 2 6 26 5 2" xfId="29225" xr:uid="{00000000-0005-0000-0000-00002C720000}"/>
    <cellStyle name="Normal 2 6 26 5 3" xfId="29226" xr:uid="{00000000-0005-0000-0000-00002D720000}"/>
    <cellStyle name="Normal 2 6 26 5 4" xfId="29227" xr:uid="{00000000-0005-0000-0000-00002E720000}"/>
    <cellStyle name="Normal 2 6 26 6" xfId="29228" xr:uid="{00000000-0005-0000-0000-00002F720000}"/>
    <cellStyle name="Normal 2 6 26 6 2" xfId="29229" xr:uid="{00000000-0005-0000-0000-000030720000}"/>
    <cellStyle name="Normal 2 6 26 7" xfId="29230" xr:uid="{00000000-0005-0000-0000-000031720000}"/>
    <cellStyle name="Normal 2 6 26 8" xfId="29231" xr:uid="{00000000-0005-0000-0000-000032720000}"/>
    <cellStyle name="Normal 2 6 26 9" xfId="29232" xr:uid="{00000000-0005-0000-0000-000033720000}"/>
    <cellStyle name="Normal 2 6 27" xfId="29233" xr:uid="{00000000-0005-0000-0000-000034720000}"/>
    <cellStyle name="Normal 2 6 27 10" xfId="29234" xr:uid="{00000000-0005-0000-0000-000035720000}"/>
    <cellStyle name="Normal 2 6 27 2" xfId="29235" xr:uid="{00000000-0005-0000-0000-000036720000}"/>
    <cellStyle name="Normal 2 6 27 2 2" xfId="29236" xr:uid="{00000000-0005-0000-0000-000037720000}"/>
    <cellStyle name="Normal 2 6 27 2 2 2" xfId="29237" xr:uid="{00000000-0005-0000-0000-000038720000}"/>
    <cellStyle name="Normal 2 6 27 2 2 3" xfId="29238" xr:uid="{00000000-0005-0000-0000-000039720000}"/>
    <cellStyle name="Normal 2 6 27 2 3" xfId="29239" xr:uid="{00000000-0005-0000-0000-00003A720000}"/>
    <cellStyle name="Normal 2 6 27 2 4" xfId="29240" xr:uid="{00000000-0005-0000-0000-00003B720000}"/>
    <cellStyle name="Normal 2 6 27 2 5" xfId="29241" xr:uid="{00000000-0005-0000-0000-00003C720000}"/>
    <cellStyle name="Normal 2 6 27 2 6" xfId="29242" xr:uid="{00000000-0005-0000-0000-00003D720000}"/>
    <cellStyle name="Normal 2 6 27 3" xfId="29243" xr:uid="{00000000-0005-0000-0000-00003E720000}"/>
    <cellStyle name="Normal 2 6 27 3 2" xfId="29244" xr:uid="{00000000-0005-0000-0000-00003F720000}"/>
    <cellStyle name="Normal 2 6 27 3 2 2" xfId="29245" xr:uid="{00000000-0005-0000-0000-000040720000}"/>
    <cellStyle name="Normal 2 6 27 3 2 3" xfId="29246" xr:uid="{00000000-0005-0000-0000-000041720000}"/>
    <cellStyle name="Normal 2 6 27 3 3" xfId="29247" xr:uid="{00000000-0005-0000-0000-000042720000}"/>
    <cellStyle name="Normal 2 6 27 3 4" xfId="29248" xr:uid="{00000000-0005-0000-0000-000043720000}"/>
    <cellStyle name="Normal 2 6 27 3 5" xfId="29249" xr:uid="{00000000-0005-0000-0000-000044720000}"/>
    <cellStyle name="Normal 2 6 27 3 6" xfId="29250" xr:uid="{00000000-0005-0000-0000-000045720000}"/>
    <cellStyle name="Normal 2 6 27 4" xfId="29251" xr:uid="{00000000-0005-0000-0000-000046720000}"/>
    <cellStyle name="Normal 2 6 27 4 2" xfId="29252" xr:uid="{00000000-0005-0000-0000-000047720000}"/>
    <cellStyle name="Normal 2 6 27 4 2 2" xfId="29253" xr:uid="{00000000-0005-0000-0000-000048720000}"/>
    <cellStyle name="Normal 2 6 27 4 3" xfId="29254" xr:uid="{00000000-0005-0000-0000-000049720000}"/>
    <cellStyle name="Normal 2 6 27 4 4" xfId="29255" xr:uid="{00000000-0005-0000-0000-00004A720000}"/>
    <cellStyle name="Normal 2 6 27 4 5" xfId="29256" xr:uid="{00000000-0005-0000-0000-00004B720000}"/>
    <cellStyle name="Normal 2 6 27 5" xfId="29257" xr:uid="{00000000-0005-0000-0000-00004C720000}"/>
    <cellStyle name="Normal 2 6 27 5 2" xfId="29258" xr:uid="{00000000-0005-0000-0000-00004D720000}"/>
    <cellStyle name="Normal 2 6 27 5 3" xfId="29259" xr:uid="{00000000-0005-0000-0000-00004E720000}"/>
    <cellStyle name="Normal 2 6 27 5 4" xfId="29260" xr:uid="{00000000-0005-0000-0000-00004F720000}"/>
    <cellStyle name="Normal 2 6 27 6" xfId="29261" xr:uid="{00000000-0005-0000-0000-000050720000}"/>
    <cellStyle name="Normal 2 6 27 6 2" xfId="29262" xr:uid="{00000000-0005-0000-0000-000051720000}"/>
    <cellStyle name="Normal 2 6 27 7" xfId="29263" xr:uid="{00000000-0005-0000-0000-000052720000}"/>
    <cellStyle name="Normal 2 6 27 8" xfId="29264" xr:uid="{00000000-0005-0000-0000-000053720000}"/>
    <cellStyle name="Normal 2 6 27 9" xfId="29265" xr:uid="{00000000-0005-0000-0000-000054720000}"/>
    <cellStyle name="Normal 2 6 28" xfId="29266" xr:uid="{00000000-0005-0000-0000-000055720000}"/>
    <cellStyle name="Normal 2 6 28 10" xfId="29267" xr:uid="{00000000-0005-0000-0000-000056720000}"/>
    <cellStyle name="Normal 2 6 28 2" xfId="29268" xr:uid="{00000000-0005-0000-0000-000057720000}"/>
    <cellStyle name="Normal 2 6 28 2 2" xfId="29269" xr:uid="{00000000-0005-0000-0000-000058720000}"/>
    <cellStyle name="Normal 2 6 28 2 2 2" xfId="29270" xr:uid="{00000000-0005-0000-0000-000059720000}"/>
    <cellStyle name="Normal 2 6 28 2 2 3" xfId="29271" xr:uid="{00000000-0005-0000-0000-00005A720000}"/>
    <cellStyle name="Normal 2 6 28 2 3" xfId="29272" xr:uid="{00000000-0005-0000-0000-00005B720000}"/>
    <cellStyle name="Normal 2 6 28 2 4" xfId="29273" xr:uid="{00000000-0005-0000-0000-00005C720000}"/>
    <cellStyle name="Normal 2 6 28 2 5" xfId="29274" xr:uid="{00000000-0005-0000-0000-00005D720000}"/>
    <cellStyle name="Normal 2 6 28 2 6" xfId="29275" xr:uid="{00000000-0005-0000-0000-00005E720000}"/>
    <cellStyle name="Normal 2 6 28 3" xfId="29276" xr:uid="{00000000-0005-0000-0000-00005F720000}"/>
    <cellStyle name="Normal 2 6 28 3 2" xfId="29277" xr:uid="{00000000-0005-0000-0000-000060720000}"/>
    <cellStyle name="Normal 2 6 28 3 2 2" xfId="29278" xr:uid="{00000000-0005-0000-0000-000061720000}"/>
    <cellStyle name="Normal 2 6 28 3 2 3" xfId="29279" xr:uid="{00000000-0005-0000-0000-000062720000}"/>
    <cellStyle name="Normal 2 6 28 3 3" xfId="29280" xr:uid="{00000000-0005-0000-0000-000063720000}"/>
    <cellStyle name="Normal 2 6 28 3 4" xfId="29281" xr:uid="{00000000-0005-0000-0000-000064720000}"/>
    <cellStyle name="Normal 2 6 28 3 5" xfId="29282" xr:uid="{00000000-0005-0000-0000-000065720000}"/>
    <cellStyle name="Normal 2 6 28 3 6" xfId="29283" xr:uid="{00000000-0005-0000-0000-000066720000}"/>
    <cellStyle name="Normal 2 6 28 4" xfId="29284" xr:uid="{00000000-0005-0000-0000-000067720000}"/>
    <cellStyle name="Normal 2 6 28 4 2" xfId="29285" xr:uid="{00000000-0005-0000-0000-000068720000}"/>
    <cellStyle name="Normal 2 6 28 4 2 2" xfId="29286" xr:uid="{00000000-0005-0000-0000-000069720000}"/>
    <cellStyle name="Normal 2 6 28 4 3" xfId="29287" xr:uid="{00000000-0005-0000-0000-00006A720000}"/>
    <cellStyle name="Normal 2 6 28 4 4" xfId="29288" xr:uid="{00000000-0005-0000-0000-00006B720000}"/>
    <cellStyle name="Normal 2 6 28 4 5" xfId="29289" xr:uid="{00000000-0005-0000-0000-00006C720000}"/>
    <cellStyle name="Normal 2 6 28 5" xfId="29290" xr:uid="{00000000-0005-0000-0000-00006D720000}"/>
    <cellStyle name="Normal 2 6 28 5 2" xfId="29291" xr:uid="{00000000-0005-0000-0000-00006E720000}"/>
    <cellStyle name="Normal 2 6 28 5 3" xfId="29292" xr:uid="{00000000-0005-0000-0000-00006F720000}"/>
    <cellStyle name="Normal 2 6 28 5 4" xfId="29293" xr:uid="{00000000-0005-0000-0000-000070720000}"/>
    <cellStyle name="Normal 2 6 28 6" xfId="29294" xr:uid="{00000000-0005-0000-0000-000071720000}"/>
    <cellStyle name="Normal 2 6 28 6 2" xfId="29295" xr:uid="{00000000-0005-0000-0000-000072720000}"/>
    <cellStyle name="Normal 2 6 28 7" xfId="29296" xr:uid="{00000000-0005-0000-0000-000073720000}"/>
    <cellStyle name="Normal 2 6 28 8" xfId="29297" xr:uid="{00000000-0005-0000-0000-000074720000}"/>
    <cellStyle name="Normal 2 6 28 9" xfId="29298" xr:uid="{00000000-0005-0000-0000-000075720000}"/>
    <cellStyle name="Normal 2 6 29" xfId="29299" xr:uid="{00000000-0005-0000-0000-000076720000}"/>
    <cellStyle name="Normal 2 6 29 10" xfId="29300" xr:uid="{00000000-0005-0000-0000-000077720000}"/>
    <cellStyle name="Normal 2 6 29 2" xfId="29301" xr:uid="{00000000-0005-0000-0000-000078720000}"/>
    <cellStyle name="Normal 2 6 29 2 2" xfId="29302" xr:uid="{00000000-0005-0000-0000-000079720000}"/>
    <cellStyle name="Normal 2 6 29 2 2 2" xfId="29303" xr:uid="{00000000-0005-0000-0000-00007A720000}"/>
    <cellStyle name="Normal 2 6 29 2 2 3" xfId="29304" xr:uid="{00000000-0005-0000-0000-00007B720000}"/>
    <cellStyle name="Normal 2 6 29 2 3" xfId="29305" xr:uid="{00000000-0005-0000-0000-00007C720000}"/>
    <cellStyle name="Normal 2 6 29 2 4" xfId="29306" xr:uid="{00000000-0005-0000-0000-00007D720000}"/>
    <cellStyle name="Normal 2 6 29 2 5" xfId="29307" xr:uid="{00000000-0005-0000-0000-00007E720000}"/>
    <cellStyle name="Normal 2 6 29 2 6" xfId="29308" xr:uid="{00000000-0005-0000-0000-00007F720000}"/>
    <cellStyle name="Normal 2 6 29 3" xfId="29309" xr:uid="{00000000-0005-0000-0000-000080720000}"/>
    <cellStyle name="Normal 2 6 29 3 2" xfId="29310" xr:uid="{00000000-0005-0000-0000-000081720000}"/>
    <cellStyle name="Normal 2 6 29 3 2 2" xfId="29311" xr:uid="{00000000-0005-0000-0000-000082720000}"/>
    <cellStyle name="Normal 2 6 29 3 2 3" xfId="29312" xr:uid="{00000000-0005-0000-0000-000083720000}"/>
    <cellStyle name="Normal 2 6 29 3 3" xfId="29313" xr:uid="{00000000-0005-0000-0000-000084720000}"/>
    <cellStyle name="Normal 2 6 29 3 4" xfId="29314" xr:uid="{00000000-0005-0000-0000-000085720000}"/>
    <cellStyle name="Normal 2 6 29 3 5" xfId="29315" xr:uid="{00000000-0005-0000-0000-000086720000}"/>
    <cellStyle name="Normal 2 6 29 3 6" xfId="29316" xr:uid="{00000000-0005-0000-0000-000087720000}"/>
    <cellStyle name="Normal 2 6 29 4" xfId="29317" xr:uid="{00000000-0005-0000-0000-000088720000}"/>
    <cellStyle name="Normal 2 6 29 4 2" xfId="29318" xr:uid="{00000000-0005-0000-0000-000089720000}"/>
    <cellStyle name="Normal 2 6 29 4 2 2" xfId="29319" xr:uid="{00000000-0005-0000-0000-00008A720000}"/>
    <cellStyle name="Normal 2 6 29 4 3" xfId="29320" xr:uid="{00000000-0005-0000-0000-00008B720000}"/>
    <cellStyle name="Normal 2 6 29 4 4" xfId="29321" xr:uid="{00000000-0005-0000-0000-00008C720000}"/>
    <cellStyle name="Normal 2 6 29 4 5" xfId="29322" xr:uid="{00000000-0005-0000-0000-00008D720000}"/>
    <cellStyle name="Normal 2 6 29 5" xfId="29323" xr:uid="{00000000-0005-0000-0000-00008E720000}"/>
    <cellStyle name="Normal 2 6 29 5 2" xfId="29324" xr:uid="{00000000-0005-0000-0000-00008F720000}"/>
    <cellStyle name="Normal 2 6 29 5 3" xfId="29325" xr:uid="{00000000-0005-0000-0000-000090720000}"/>
    <cellStyle name="Normal 2 6 29 5 4" xfId="29326" xr:uid="{00000000-0005-0000-0000-000091720000}"/>
    <cellStyle name="Normal 2 6 29 6" xfId="29327" xr:uid="{00000000-0005-0000-0000-000092720000}"/>
    <cellStyle name="Normal 2 6 29 6 2" xfId="29328" xr:uid="{00000000-0005-0000-0000-000093720000}"/>
    <cellStyle name="Normal 2 6 29 7" xfId="29329" xr:uid="{00000000-0005-0000-0000-000094720000}"/>
    <cellStyle name="Normal 2 6 29 8" xfId="29330" xr:uid="{00000000-0005-0000-0000-000095720000}"/>
    <cellStyle name="Normal 2 6 29 9" xfId="29331" xr:uid="{00000000-0005-0000-0000-000096720000}"/>
    <cellStyle name="Normal 2 6 3" xfId="29332" xr:uid="{00000000-0005-0000-0000-000097720000}"/>
    <cellStyle name="Normal 2 6 3 10" xfId="29333" xr:uid="{00000000-0005-0000-0000-000098720000}"/>
    <cellStyle name="Normal 2 6 3 10 10" xfId="29334" xr:uid="{00000000-0005-0000-0000-000099720000}"/>
    <cellStyle name="Normal 2 6 3 10 2" xfId="29335" xr:uid="{00000000-0005-0000-0000-00009A720000}"/>
    <cellStyle name="Normal 2 6 3 10 2 2" xfId="29336" xr:uid="{00000000-0005-0000-0000-00009B720000}"/>
    <cellStyle name="Normal 2 6 3 10 2 2 2" xfId="29337" xr:uid="{00000000-0005-0000-0000-00009C720000}"/>
    <cellStyle name="Normal 2 6 3 10 2 2 3" xfId="29338" xr:uid="{00000000-0005-0000-0000-00009D720000}"/>
    <cellStyle name="Normal 2 6 3 10 2 3" xfId="29339" xr:uid="{00000000-0005-0000-0000-00009E720000}"/>
    <cellStyle name="Normal 2 6 3 10 2 4" xfId="29340" xr:uid="{00000000-0005-0000-0000-00009F720000}"/>
    <cellStyle name="Normal 2 6 3 10 2 5" xfId="29341" xr:uid="{00000000-0005-0000-0000-0000A0720000}"/>
    <cellStyle name="Normal 2 6 3 10 2 6" xfId="29342" xr:uid="{00000000-0005-0000-0000-0000A1720000}"/>
    <cellStyle name="Normal 2 6 3 10 3" xfId="29343" xr:uid="{00000000-0005-0000-0000-0000A2720000}"/>
    <cellStyle name="Normal 2 6 3 10 3 2" xfId="29344" xr:uid="{00000000-0005-0000-0000-0000A3720000}"/>
    <cellStyle name="Normal 2 6 3 10 3 2 2" xfId="29345" xr:uid="{00000000-0005-0000-0000-0000A4720000}"/>
    <cellStyle name="Normal 2 6 3 10 3 2 3" xfId="29346" xr:uid="{00000000-0005-0000-0000-0000A5720000}"/>
    <cellStyle name="Normal 2 6 3 10 3 3" xfId="29347" xr:uid="{00000000-0005-0000-0000-0000A6720000}"/>
    <cellStyle name="Normal 2 6 3 10 3 4" xfId="29348" xr:uid="{00000000-0005-0000-0000-0000A7720000}"/>
    <cellStyle name="Normal 2 6 3 10 3 5" xfId="29349" xr:uid="{00000000-0005-0000-0000-0000A8720000}"/>
    <cellStyle name="Normal 2 6 3 10 3 6" xfId="29350" xr:uid="{00000000-0005-0000-0000-0000A9720000}"/>
    <cellStyle name="Normal 2 6 3 10 4" xfId="29351" xr:uid="{00000000-0005-0000-0000-0000AA720000}"/>
    <cellStyle name="Normal 2 6 3 10 4 2" xfId="29352" xr:uid="{00000000-0005-0000-0000-0000AB720000}"/>
    <cellStyle name="Normal 2 6 3 10 4 2 2" xfId="29353" xr:uid="{00000000-0005-0000-0000-0000AC720000}"/>
    <cellStyle name="Normal 2 6 3 10 4 3" xfId="29354" xr:uid="{00000000-0005-0000-0000-0000AD720000}"/>
    <cellStyle name="Normal 2 6 3 10 4 4" xfId="29355" xr:uid="{00000000-0005-0000-0000-0000AE720000}"/>
    <cellStyle name="Normal 2 6 3 10 4 5" xfId="29356" xr:uid="{00000000-0005-0000-0000-0000AF720000}"/>
    <cellStyle name="Normal 2 6 3 10 5" xfId="29357" xr:uid="{00000000-0005-0000-0000-0000B0720000}"/>
    <cellStyle name="Normal 2 6 3 10 5 2" xfId="29358" xr:uid="{00000000-0005-0000-0000-0000B1720000}"/>
    <cellStyle name="Normal 2 6 3 10 5 3" xfId="29359" xr:uid="{00000000-0005-0000-0000-0000B2720000}"/>
    <cellStyle name="Normal 2 6 3 10 5 4" xfId="29360" xr:uid="{00000000-0005-0000-0000-0000B3720000}"/>
    <cellStyle name="Normal 2 6 3 10 6" xfId="29361" xr:uid="{00000000-0005-0000-0000-0000B4720000}"/>
    <cellStyle name="Normal 2 6 3 10 6 2" xfId="29362" xr:uid="{00000000-0005-0000-0000-0000B5720000}"/>
    <cellStyle name="Normal 2 6 3 10 7" xfId="29363" xr:uid="{00000000-0005-0000-0000-0000B6720000}"/>
    <cellStyle name="Normal 2 6 3 10 8" xfId="29364" xr:uid="{00000000-0005-0000-0000-0000B7720000}"/>
    <cellStyle name="Normal 2 6 3 10 9" xfId="29365" xr:uid="{00000000-0005-0000-0000-0000B8720000}"/>
    <cellStyle name="Normal 2 6 3 11" xfId="29366" xr:uid="{00000000-0005-0000-0000-0000B9720000}"/>
    <cellStyle name="Normal 2 6 3 11 10" xfId="29367" xr:uid="{00000000-0005-0000-0000-0000BA720000}"/>
    <cellStyle name="Normal 2 6 3 11 2" xfId="29368" xr:uid="{00000000-0005-0000-0000-0000BB720000}"/>
    <cellStyle name="Normal 2 6 3 11 2 2" xfId="29369" xr:uid="{00000000-0005-0000-0000-0000BC720000}"/>
    <cellStyle name="Normal 2 6 3 11 2 2 2" xfId="29370" xr:uid="{00000000-0005-0000-0000-0000BD720000}"/>
    <cellStyle name="Normal 2 6 3 11 2 2 3" xfId="29371" xr:uid="{00000000-0005-0000-0000-0000BE720000}"/>
    <cellStyle name="Normal 2 6 3 11 2 3" xfId="29372" xr:uid="{00000000-0005-0000-0000-0000BF720000}"/>
    <cellStyle name="Normal 2 6 3 11 2 4" xfId="29373" xr:uid="{00000000-0005-0000-0000-0000C0720000}"/>
    <cellStyle name="Normal 2 6 3 11 2 5" xfId="29374" xr:uid="{00000000-0005-0000-0000-0000C1720000}"/>
    <cellStyle name="Normal 2 6 3 11 2 6" xfId="29375" xr:uid="{00000000-0005-0000-0000-0000C2720000}"/>
    <cellStyle name="Normal 2 6 3 11 3" xfId="29376" xr:uid="{00000000-0005-0000-0000-0000C3720000}"/>
    <cellStyle name="Normal 2 6 3 11 3 2" xfId="29377" xr:uid="{00000000-0005-0000-0000-0000C4720000}"/>
    <cellStyle name="Normal 2 6 3 11 3 2 2" xfId="29378" xr:uid="{00000000-0005-0000-0000-0000C5720000}"/>
    <cellStyle name="Normal 2 6 3 11 3 2 3" xfId="29379" xr:uid="{00000000-0005-0000-0000-0000C6720000}"/>
    <cellStyle name="Normal 2 6 3 11 3 3" xfId="29380" xr:uid="{00000000-0005-0000-0000-0000C7720000}"/>
    <cellStyle name="Normal 2 6 3 11 3 4" xfId="29381" xr:uid="{00000000-0005-0000-0000-0000C8720000}"/>
    <cellStyle name="Normal 2 6 3 11 3 5" xfId="29382" xr:uid="{00000000-0005-0000-0000-0000C9720000}"/>
    <cellStyle name="Normal 2 6 3 11 3 6" xfId="29383" xr:uid="{00000000-0005-0000-0000-0000CA720000}"/>
    <cellStyle name="Normal 2 6 3 11 4" xfId="29384" xr:uid="{00000000-0005-0000-0000-0000CB720000}"/>
    <cellStyle name="Normal 2 6 3 11 4 2" xfId="29385" xr:uid="{00000000-0005-0000-0000-0000CC720000}"/>
    <cellStyle name="Normal 2 6 3 11 4 2 2" xfId="29386" xr:uid="{00000000-0005-0000-0000-0000CD720000}"/>
    <cellStyle name="Normal 2 6 3 11 4 3" xfId="29387" xr:uid="{00000000-0005-0000-0000-0000CE720000}"/>
    <cellStyle name="Normal 2 6 3 11 4 4" xfId="29388" xr:uid="{00000000-0005-0000-0000-0000CF720000}"/>
    <cellStyle name="Normal 2 6 3 11 4 5" xfId="29389" xr:uid="{00000000-0005-0000-0000-0000D0720000}"/>
    <cellStyle name="Normal 2 6 3 11 5" xfId="29390" xr:uid="{00000000-0005-0000-0000-0000D1720000}"/>
    <cellStyle name="Normal 2 6 3 11 5 2" xfId="29391" xr:uid="{00000000-0005-0000-0000-0000D2720000}"/>
    <cellStyle name="Normal 2 6 3 11 5 3" xfId="29392" xr:uid="{00000000-0005-0000-0000-0000D3720000}"/>
    <cellStyle name="Normal 2 6 3 11 5 4" xfId="29393" xr:uid="{00000000-0005-0000-0000-0000D4720000}"/>
    <cellStyle name="Normal 2 6 3 11 6" xfId="29394" xr:uid="{00000000-0005-0000-0000-0000D5720000}"/>
    <cellStyle name="Normal 2 6 3 11 6 2" xfId="29395" xr:uid="{00000000-0005-0000-0000-0000D6720000}"/>
    <cellStyle name="Normal 2 6 3 11 7" xfId="29396" xr:uid="{00000000-0005-0000-0000-0000D7720000}"/>
    <cellStyle name="Normal 2 6 3 11 8" xfId="29397" xr:uid="{00000000-0005-0000-0000-0000D8720000}"/>
    <cellStyle name="Normal 2 6 3 11 9" xfId="29398" xr:uid="{00000000-0005-0000-0000-0000D9720000}"/>
    <cellStyle name="Normal 2 6 3 12" xfId="29399" xr:uid="{00000000-0005-0000-0000-0000DA720000}"/>
    <cellStyle name="Normal 2 6 3 12 10" xfId="29400" xr:uid="{00000000-0005-0000-0000-0000DB720000}"/>
    <cellStyle name="Normal 2 6 3 12 2" xfId="29401" xr:uid="{00000000-0005-0000-0000-0000DC720000}"/>
    <cellStyle name="Normal 2 6 3 12 2 2" xfId="29402" xr:uid="{00000000-0005-0000-0000-0000DD720000}"/>
    <cellStyle name="Normal 2 6 3 12 2 2 2" xfId="29403" xr:uid="{00000000-0005-0000-0000-0000DE720000}"/>
    <cellStyle name="Normal 2 6 3 12 2 2 3" xfId="29404" xr:uid="{00000000-0005-0000-0000-0000DF720000}"/>
    <cellStyle name="Normal 2 6 3 12 2 3" xfId="29405" xr:uid="{00000000-0005-0000-0000-0000E0720000}"/>
    <cellStyle name="Normal 2 6 3 12 2 4" xfId="29406" xr:uid="{00000000-0005-0000-0000-0000E1720000}"/>
    <cellStyle name="Normal 2 6 3 12 2 5" xfId="29407" xr:uid="{00000000-0005-0000-0000-0000E2720000}"/>
    <cellStyle name="Normal 2 6 3 12 2 6" xfId="29408" xr:uid="{00000000-0005-0000-0000-0000E3720000}"/>
    <cellStyle name="Normal 2 6 3 12 3" xfId="29409" xr:uid="{00000000-0005-0000-0000-0000E4720000}"/>
    <cellStyle name="Normal 2 6 3 12 3 2" xfId="29410" xr:uid="{00000000-0005-0000-0000-0000E5720000}"/>
    <cellStyle name="Normal 2 6 3 12 3 2 2" xfId="29411" xr:uid="{00000000-0005-0000-0000-0000E6720000}"/>
    <cellStyle name="Normal 2 6 3 12 3 2 3" xfId="29412" xr:uid="{00000000-0005-0000-0000-0000E7720000}"/>
    <cellStyle name="Normal 2 6 3 12 3 3" xfId="29413" xr:uid="{00000000-0005-0000-0000-0000E8720000}"/>
    <cellStyle name="Normal 2 6 3 12 3 4" xfId="29414" xr:uid="{00000000-0005-0000-0000-0000E9720000}"/>
    <cellStyle name="Normal 2 6 3 12 3 5" xfId="29415" xr:uid="{00000000-0005-0000-0000-0000EA720000}"/>
    <cellStyle name="Normal 2 6 3 12 3 6" xfId="29416" xr:uid="{00000000-0005-0000-0000-0000EB720000}"/>
    <cellStyle name="Normal 2 6 3 12 4" xfId="29417" xr:uid="{00000000-0005-0000-0000-0000EC720000}"/>
    <cellStyle name="Normal 2 6 3 12 4 2" xfId="29418" xr:uid="{00000000-0005-0000-0000-0000ED720000}"/>
    <cellStyle name="Normal 2 6 3 12 4 2 2" xfId="29419" xr:uid="{00000000-0005-0000-0000-0000EE720000}"/>
    <cellStyle name="Normal 2 6 3 12 4 3" xfId="29420" xr:uid="{00000000-0005-0000-0000-0000EF720000}"/>
    <cellStyle name="Normal 2 6 3 12 4 4" xfId="29421" xr:uid="{00000000-0005-0000-0000-0000F0720000}"/>
    <cellStyle name="Normal 2 6 3 12 4 5" xfId="29422" xr:uid="{00000000-0005-0000-0000-0000F1720000}"/>
    <cellStyle name="Normal 2 6 3 12 5" xfId="29423" xr:uid="{00000000-0005-0000-0000-0000F2720000}"/>
    <cellStyle name="Normal 2 6 3 12 5 2" xfId="29424" xr:uid="{00000000-0005-0000-0000-0000F3720000}"/>
    <cellStyle name="Normal 2 6 3 12 5 3" xfId="29425" xr:uid="{00000000-0005-0000-0000-0000F4720000}"/>
    <cellStyle name="Normal 2 6 3 12 5 4" xfId="29426" xr:uid="{00000000-0005-0000-0000-0000F5720000}"/>
    <cellStyle name="Normal 2 6 3 12 6" xfId="29427" xr:uid="{00000000-0005-0000-0000-0000F6720000}"/>
    <cellStyle name="Normal 2 6 3 12 6 2" xfId="29428" xr:uid="{00000000-0005-0000-0000-0000F7720000}"/>
    <cellStyle name="Normal 2 6 3 12 7" xfId="29429" xr:uid="{00000000-0005-0000-0000-0000F8720000}"/>
    <cellStyle name="Normal 2 6 3 12 8" xfId="29430" xr:uid="{00000000-0005-0000-0000-0000F9720000}"/>
    <cellStyle name="Normal 2 6 3 12 9" xfId="29431" xr:uid="{00000000-0005-0000-0000-0000FA720000}"/>
    <cellStyle name="Normal 2 6 3 13" xfId="29432" xr:uid="{00000000-0005-0000-0000-0000FB720000}"/>
    <cellStyle name="Normal 2 6 3 13 2" xfId="29433" xr:uid="{00000000-0005-0000-0000-0000FC720000}"/>
    <cellStyle name="Normal 2 6 3 13 2 2" xfId="29434" xr:uid="{00000000-0005-0000-0000-0000FD720000}"/>
    <cellStyle name="Normal 2 6 3 13 2 2 2" xfId="29435" xr:uid="{00000000-0005-0000-0000-0000FE720000}"/>
    <cellStyle name="Normal 2 6 3 13 2 2 3" xfId="29436" xr:uid="{00000000-0005-0000-0000-0000FF720000}"/>
    <cellStyle name="Normal 2 6 3 13 2 3" xfId="29437" xr:uid="{00000000-0005-0000-0000-000000730000}"/>
    <cellStyle name="Normal 2 6 3 13 2 4" xfId="29438" xr:uid="{00000000-0005-0000-0000-000001730000}"/>
    <cellStyle name="Normal 2 6 3 13 2 5" xfId="29439" xr:uid="{00000000-0005-0000-0000-000002730000}"/>
    <cellStyle name="Normal 2 6 3 13 2 6" xfId="29440" xr:uid="{00000000-0005-0000-0000-000003730000}"/>
    <cellStyle name="Normal 2 6 3 13 3" xfId="29441" xr:uid="{00000000-0005-0000-0000-000004730000}"/>
    <cellStyle name="Normal 2 6 3 13 3 2" xfId="29442" xr:uid="{00000000-0005-0000-0000-000005730000}"/>
    <cellStyle name="Normal 2 6 3 13 3 2 2" xfId="29443" xr:uid="{00000000-0005-0000-0000-000006730000}"/>
    <cellStyle name="Normal 2 6 3 13 3 3" xfId="29444" xr:uid="{00000000-0005-0000-0000-000007730000}"/>
    <cellStyle name="Normal 2 6 3 13 3 4" xfId="29445" xr:uid="{00000000-0005-0000-0000-000008730000}"/>
    <cellStyle name="Normal 2 6 3 13 3 5" xfId="29446" xr:uid="{00000000-0005-0000-0000-000009730000}"/>
    <cellStyle name="Normal 2 6 3 13 4" xfId="29447" xr:uid="{00000000-0005-0000-0000-00000A730000}"/>
    <cellStyle name="Normal 2 6 3 13 4 2" xfId="29448" xr:uid="{00000000-0005-0000-0000-00000B730000}"/>
    <cellStyle name="Normal 2 6 3 13 4 3" xfId="29449" xr:uid="{00000000-0005-0000-0000-00000C730000}"/>
    <cellStyle name="Normal 2 6 3 13 4 4" xfId="29450" xr:uid="{00000000-0005-0000-0000-00000D730000}"/>
    <cellStyle name="Normal 2 6 3 13 5" xfId="29451" xr:uid="{00000000-0005-0000-0000-00000E730000}"/>
    <cellStyle name="Normal 2 6 3 13 5 2" xfId="29452" xr:uid="{00000000-0005-0000-0000-00000F730000}"/>
    <cellStyle name="Normal 2 6 3 13 6" xfId="29453" xr:uid="{00000000-0005-0000-0000-000010730000}"/>
    <cellStyle name="Normal 2 6 3 13 7" xfId="29454" xr:uid="{00000000-0005-0000-0000-000011730000}"/>
    <cellStyle name="Normal 2 6 3 13 8" xfId="29455" xr:uid="{00000000-0005-0000-0000-000012730000}"/>
    <cellStyle name="Normal 2 6 3 13 9" xfId="29456" xr:uid="{00000000-0005-0000-0000-000013730000}"/>
    <cellStyle name="Normal 2 6 3 14" xfId="29457" xr:uid="{00000000-0005-0000-0000-000014730000}"/>
    <cellStyle name="Normal 2 6 3 14 2" xfId="29458" xr:uid="{00000000-0005-0000-0000-000015730000}"/>
    <cellStyle name="Normal 2 6 3 14 2 2" xfId="29459" xr:uid="{00000000-0005-0000-0000-000016730000}"/>
    <cellStyle name="Normal 2 6 3 14 2 2 2" xfId="29460" xr:uid="{00000000-0005-0000-0000-000017730000}"/>
    <cellStyle name="Normal 2 6 3 14 2 2 3" xfId="29461" xr:uid="{00000000-0005-0000-0000-000018730000}"/>
    <cellStyle name="Normal 2 6 3 14 2 3" xfId="29462" xr:uid="{00000000-0005-0000-0000-000019730000}"/>
    <cellStyle name="Normal 2 6 3 14 2 4" xfId="29463" xr:uid="{00000000-0005-0000-0000-00001A730000}"/>
    <cellStyle name="Normal 2 6 3 14 2 5" xfId="29464" xr:uid="{00000000-0005-0000-0000-00001B730000}"/>
    <cellStyle name="Normal 2 6 3 14 2 6" xfId="29465" xr:uid="{00000000-0005-0000-0000-00001C730000}"/>
    <cellStyle name="Normal 2 6 3 14 3" xfId="29466" xr:uid="{00000000-0005-0000-0000-00001D730000}"/>
    <cellStyle name="Normal 2 6 3 14 3 2" xfId="29467" xr:uid="{00000000-0005-0000-0000-00001E730000}"/>
    <cellStyle name="Normal 2 6 3 14 3 2 2" xfId="29468" xr:uid="{00000000-0005-0000-0000-00001F730000}"/>
    <cellStyle name="Normal 2 6 3 14 3 3" xfId="29469" xr:uid="{00000000-0005-0000-0000-000020730000}"/>
    <cellStyle name="Normal 2 6 3 14 3 4" xfId="29470" xr:uid="{00000000-0005-0000-0000-000021730000}"/>
    <cellStyle name="Normal 2 6 3 14 3 5" xfId="29471" xr:uid="{00000000-0005-0000-0000-000022730000}"/>
    <cellStyle name="Normal 2 6 3 14 4" xfId="29472" xr:uid="{00000000-0005-0000-0000-000023730000}"/>
    <cellStyle name="Normal 2 6 3 14 4 2" xfId="29473" xr:uid="{00000000-0005-0000-0000-000024730000}"/>
    <cellStyle name="Normal 2 6 3 14 4 3" xfId="29474" xr:uid="{00000000-0005-0000-0000-000025730000}"/>
    <cellStyle name="Normal 2 6 3 14 4 4" xfId="29475" xr:uid="{00000000-0005-0000-0000-000026730000}"/>
    <cellStyle name="Normal 2 6 3 14 5" xfId="29476" xr:uid="{00000000-0005-0000-0000-000027730000}"/>
    <cellStyle name="Normal 2 6 3 14 5 2" xfId="29477" xr:uid="{00000000-0005-0000-0000-000028730000}"/>
    <cellStyle name="Normal 2 6 3 14 6" xfId="29478" xr:uid="{00000000-0005-0000-0000-000029730000}"/>
    <cellStyle name="Normal 2 6 3 14 7" xfId="29479" xr:uid="{00000000-0005-0000-0000-00002A730000}"/>
    <cellStyle name="Normal 2 6 3 14 8" xfId="29480" xr:uid="{00000000-0005-0000-0000-00002B730000}"/>
    <cellStyle name="Normal 2 6 3 14 9" xfId="29481" xr:uid="{00000000-0005-0000-0000-00002C730000}"/>
    <cellStyle name="Normal 2 6 3 15" xfId="29482" xr:uid="{00000000-0005-0000-0000-00002D730000}"/>
    <cellStyle name="Normal 2 6 3 15 2" xfId="29483" xr:uid="{00000000-0005-0000-0000-00002E730000}"/>
    <cellStyle name="Normal 2 6 3 15 2 2" xfId="29484" xr:uid="{00000000-0005-0000-0000-00002F730000}"/>
    <cellStyle name="Normal 2 6 3 15 2 3" xfId="29485" xr:uid="{00000000-0005-0000-0000-000030730000}"/>
    <cellStyle name="Normal 2 6 3 15 3" xfId="29486" xr:uid="{00000000-0005-0000-0000-000031730000}"/>
    <cellStyle name="Normal 2 6 3 15 4" xfId="29487" xr:uid="{00000000-0005-0000-0000-000032730000}"/>
    <cellStyle name="Normal 2 6 3 15 5" xfId="29488" xr:uid="{00000000-0005-0000-0000-000033730000}"/>
    <cellStyle name="Normal 2 6 3 15 6" xfId="29489" xr:uid="{00000000-0005-0000-0000-000034730000}"/>
    <cellStyle name="Normal 2 6 3 16" xfId="29490" xr:uid="{00000000-0005-0000-0000-000035730000}"/>
    <cellStyle name="Normal 2 6 3 16 2" xfId="29491" xr:uid="{00000000-0005-0000-0000-000036730000}"/>
    <cellStyle name="Normal 2 6 3 16 2 2" xfId="29492" xr:uid="{00000000-0005-0000-0000-000037730000}"/>
    <cellStyle name="Normal 2 6 3 16 3" xfId="29493" xr:uid="{00000000-0005-0000-0000-000038730000}"/>
    <cellStyle name="Normal 2 6 3 16 4" xfId="29494" xr:uid="{00000000-0005-0000-0000-000039730000}"/>
    <cellStyle name="Normal 2 6 3 16 5" xfId="29495" xr:uid="{00000000-0005-0000-0000-00003A730000}"/>
    <cellStyle name="Normal 2 6 3 17" xfId="29496" xr:uid="{00000000-0005-0000-0000-00003B730000}"/>
    <cellStyle name="Normal 2 6 3 17 2" xfId="29497" xr:uid="{00000000-0005-0000-0000-00003C730000}"/>
    <cellStyle name="Normal 2 6 3 17 2 2" xfId="29498" xr:uid="{00000000-0005-0000-0000-00003D730000}"/>
    <cellStyle name="Normal 2 6 3 17 3" xfId="29499" xr:uid="{00000000-0005-0000-0000-00003E730000}"/>
    <cellStyle name="Normal 2 6 3 17 4" xfId="29500" xr:uid="{00000000-0005-0000-0000-00003F730000}"/>
    <cellStyle name="Normal 2 6 3 17 5" xfId="29501" xr:uid="{00000000-0005-0000-0000-000040730000}"/>
    <cellStyle name="Normal 2 6 3 18" xfId="29502" xr:uid="{00000000-0005-0000-0000-000041730000}"/>
    <cellStyle name="Normal 2 6 3 18 2" xfId="29503" xr:uid="{00000000-0005-0000-0000-000042730000}"/>
    <cellStyle name="Normal 2 6 3 19" xfId="29504" xr:uid="{00000000-0005-0000-0000-000043730000}"/>
    <cellStyle name="Normal 2 6 3 2" xfId="29505" xr:uid="{00000000-0005-0000-0000-000044730000}"/>
    <cellStyle name="Normal 2 6 3 2 10" xfId="29506" xr:uid="{00000000-0005-0000-0000-000045730000}"/>
    <cellStyle name="Normal 2 6 3 2 11" xfId="29507" xr:uid="{00000000-0005-0000-0000-000046730000}"/>
    <cellStyle name="Normal 2 6 3 2 2" xfId="29508" xr:uid="{00000000-0005-0000-0000-000047730000}"/>
    <cellStyle name="Normal 2 6 3 2 2 2" xfId="29509" xr:uid="{00000000-0005-0000-0000-000048730000}"/>
    <cellStyle name="Normal 2 6 3 2 2 2 2" xfId="29510" xr:uid="{00000000-0005-0000-0000-000049730000}"/>
    <cellStyle name="Normal 2 6 3 2 2 2 2 2" xfId="29511" xr:uid="{00000000-0005-0000-0000-00004A730000}"/>
    <cellStyle name="Normal 2 6 3 2 2 2 2 3" xfId="29512" xr:uid="{00000000-0005-0000-0000-00004B730000}"/>
    <cellStyle name="Normal 2 6 3 2 2 2 3" xfId="29513" xr:uid="{00000000-0005-0000-0000-00004C730000}"/>
    <cellStyle name="Normal 2 6 3 2 2 2 4" xfId="29514" xr:uid="{00000000-0005-0000-0000-00004D730000}"/>
    <cellStyle name="Normal 2 6 3 2 2 2 5" xfId="29515" xr:uid="{00000000-0005-0000-0000-00004E730000}"/>
    <cellStyle name="Normal 2 6 3 2 2 2 6" xfId="29516" xr:uid="{00000000-0005-0000-0000-00004F730000}"/>
    <cellStyle name="Normal 2 6 3 2 2 3" xfId="29517" xr:uid="{00000000-0005-0000-0000-000050730000}"/>
    <cellStyle name="Normal 2 6 3 2 2 3 2" xfId="29518" xr:uid="{00000000-0005-0000-0000-000051730000}"/>
    <cellStyle name="Normal 2 6 3 2 2 3 2 2" xfId="29519" xr:uid="{00000000-0005-0000-0000-000052730000}"/>
    <cellStyle name="Normal 2 6 3 2 2 3 3" xfId="29520" xr:uid="{00000000-0005-0000-0000-000053730000}"/>
    <cellStyle name="Normal 2 6 3 2 2 3 4" xfId="29521" xr:uid="{00000000-0005-0000-0000-000054730000}"/>
    <cellStyle name="Normal 2 6 3 2 2 3 5" xfId="29522" xr:uid="{00000000-0005-0000-0000-000055730000}"/>
    <cellStyle name="Normal 2 6 3 2 2 4" xfId="29523" xr:uid="{00000000-0005-0000-0000-000056730000}"/>
    <cellStyle name="Normal 2 6 3 2 2 4 2" xfId="29524" xr:uid="{00000000-0005-0000-0000-000057730000}"/>
    <cellStyle name="Normal 2 6 3 2 2 4 3" xfId="29525" xr:uid="{00000000-0005-0000-0000-000058730000}"/>
    <cellStyle name="Normal 2 6 3 2 2 4 4" xfId="29526" xr:uid="{00000000-0005-0000-0000-000059730000}"/>
    <cellStyle name="Normal 2 6 3 2 2 5" xfId="29527" xr:uid="{00000000-0005-0000-0000-00005A730000}"/>
    <cellStyle name="Normal 2 6 3 2 2 5 2" xfId="29528" xr:uid="{00000000-0005-0000-0000-00005B730000}"/>
    <cellStyle name="Normal 2 6 3 2 2 6" xfId="29529" xr:uid="{00000000-0005-0000-0000-00005C730000}"/>
    <cellStyle name="Normal 2 6 3 2 2 7" xfId="29530" xr:uid="{00000000-0005-0000-0000-00005D730000}"/>
    <cellStyle name="Normal 2 6 3 2 2 8" xfId="29531" xr:uid="{00000000-0005-0000-0000-00005E730000}"/>
    <cellStyle name="Normal 2 6 3 2 2 9" xfId="29532" xr:uid="{00000000-0005-0000-0000-00005F730000}"/>
    <cellStyle name="Normal 2 6 3 2 3" xfId="29533" xr:uid="{00000000-0005-0000-0000-000060730000}"/>
    <cellStyle name="Normal 2 6 3 2 3 2" xfId="29534" xr:uid="{00000000-0005-0000-0000-000061730000}"/>
    <cellStyle name="Normal 2 6 3 2 3 2 2" xfId="29535" xr:uid="{00000000-0005-0000-0000-000062730000}"/>
    <cellStyle name="Normal 2 6 3 2 3 2 2 2" xfId="29536" xr:uid="{00000000-0005-0000-0000-000063730000}"/>
    <cellStyle name="Normal 2 6 3 2 3 2 2 3" xfId="29537" xr:uid="{00000000-0005-0000-0000-000064730000}"/>
    <cellStyle name="Normal 2 6 3 2 3 2 3" xfId="29538" xr:uid="{00000000-0005-0000-0000-000065730000}"/>
    <cellStyle name="Normal 2 6 3 2 3 2 4" xfId="29539" xr:uid="{00000000-0005-0000-0000-000066730000}"/>
    <cellStyle name="Normal 2 6 3 2 3 2 5" xfId="29540" xr:uid="{00000000-0005-0000-0000-000067730000}"/>
    <cellStyle name="Normal 2 6 3 2 3 2 6" xfId="29541" xr:uid="{00000000-0005-0000-0000-000068730000}"/>
    <cellStyle name="Normal 2 6 3 2 3 3" xfId="29542" xr:uid="{00000000-0005-0000-0000-000069730000}"/>
    <cellStyle name="Normal 2 6 3 2 3 3 2" xfId="29543" xr:uid="{00000000-0005-0000-0000-00006A730000}"/>
    <cellStyle name="Normal 2 6 3 2 3 3 2 2" xfId="29544" xr:uid="{00000000-0005-0000-0000-00006B730000}"/>
    <cellStyle name="Normal 2 6 3 2 3 3 3" xfId="29545" xr:uid="{00000000-0005-0000-0000-00006C730000}"/>
    <cellStyle name="Normal 2 6 3 2 3 3 4" xfId="29546" xr:uid="{00000000-0005-0000-0000-00006D730000}"/>
    <cellStyle name="Normal 2 6 3 2 3 3 5" xfId="29547" xr:uid="{00000000-0005-0000-0000-00006E730000}"/>
    <cellStyle name="Normal 2 6 3 2 3 4" xfId="29548" xr:uid="{00000000-0005-0000-0000-00006F730000}"/>
    <cellStyle name="Normal 2 6 3 2 3 4 2" xfId="29549" xr:uid="{00000000-0005-0000-0000-000070730000}"/>
    <cellStyle name="Normal 2 6 3 2 3 4 3" xfId="29550" xr:uid="{00000000-0005-0000-0000-000071730000}"/>
    <cellStyle name="Normal 2 6 3 2 3 4 4" xfId="29551" xr:uid="{00000000-0005-0000-0000-000072730000}"/>
    <cellStyle name="Normal 2 6 3 2 3 5" xfId="29552" xr:uid="{00000000-0005-0000-0000-000073730000}"/>
    <cellStyle name="Normal 2 6 3 2 3 5 2" xfId="29553" xr:uid="{00000000-0005-0000-0000-000074730000}"/>
    <cellStyle name="Normal 2 6 3 2 3 6" xfId="29554" xr:uid="{00000000-0005-0000-0000-000075730000}"/>
    <cellStyle name="Normal 2 6 3 2 3 7" xfId="29555" xr:uid="{00000000-0005-0000-0000-000076730000}"/>
    <cellStyle name="Normal 2 6 3 2 3 8" xfId="29556" xr:uid="{00000000-0005-0000-0000-000077730000}"/>
    <cellStyle name="Normal 2 6 3 2 3 9" xfId="29557" xr:uid="{00000000-0005-0000-0000-000078730000}"/>
    <cellStyle name="Normal 2 6 3 2 4" xfId="29558" xr:uid="{00000000-0005-0000-0000-000079730000}"/>
    <cellStyle name="Normal 2 6 3 2 4 2" xfId="29559" xr:uid="{00000000-0005-0000-0000-00007A730000}"/>
    <cellStyle name="Normal 2 6 3 2 4 2 2" xfId="29560" xr:uid="{00000000-0005-0000-0000-00007B730000}"/>
    <cellStyle name="Normal 2 6 3 2 4 2 3" xfId="29561" xr:uid="{00000000-0005-0000-0000-00007C730000}"/>
    <cellStyle name="Normal 2 6 3 2 4 3" xfId="29562" xr:uid="{00000000-0005-0000-0000-00007D730000}"/>
    <cellStyle name="Normal 2 6 3 2 4 4" xfId="29563" xr:uid="{00000000-0005-0000-0000-00007E730000}"/>
    <cellStyle name="Normal 2 6 3 2 4 5" xfId="29564" xr:uid="{00000000-0005-0000-0000-00007F730000}"/>
    <cellStyle name="Normal 2 6 3 2 4 6" xfId="29565" xr:uid="{00000000-0005-0000-0000-000080730000}"/>
    <cellStyle name="Normal 2 6 3 2 5" xfId="29566" xr:uid="{00000000-0005-0000-0000-000081730000}"/>
    <cellStyle name="Normal 2 6 3 2 5 2" xfId="29567" xr:uid="{00000000-0005-0000-0000-000082730000}"/>
    <cellStyle name="Normal 2 6 3 2 5 2 2" xfId="29568" xr:uid="{00000000-0005-0000-0000-000083730000}"/>
    <cellStyle name="Normal 2 6 3 2 5 3" xfId="29569" xr:uid="{00000000-0005-0000-0000-000084730000}"/>
    <cellStyle name="Normal 2 6 3 2 5 4" xfId="29570" xr:uid="{00000000-0005-0000-0000-000085730000}"/>
    <cellStyle name="Normal 2 6 3 2 5 5" xfId="29571" xr:uid="{00000000-0005-0000-0000-000086730000}"/>
    <cellStyle name="Normal 2 6 3 2 6" xfId="29572" xr:uid="{00000000-0005-0000-0000-000087730000}"/>
    <cellStyle name="Normal 2 6 3 2 6 2" xfId="29573" xr:uid="{00000000-0005-0000-0000-000088730000}"/>
    <cellStyle name="Normal 2 6 3 2 6 3" xfId="29574" xr:uid="{00000000-0005-0000-0000-000089730000}"/>
    <cellStyle name="Normal 2 6 3 2 6 4" xfId="29575" xr:uid="{00000000-0005-0000-0000-00008A730000}"/>
    <cellStyle name="Normal 2 6 3 2 7" xfId="29576" xr:uid="{00000000-0005-0000-0000-00008B730000}"/>
    <cellStyle name="Normal 2 6 3 2 7 2" xfId="29577" xr:uid="{00000000-0005-0000-0000-00008C730000}"/>
    <cellStyle name="Normal 2 6 3 2 8" xfId="29578" xr:uid="{00000000-0005-0000-0000-00008D730000}"/>
    <cellStyle name="Normal 2 6 3 2 9" xfId="29579" xr:uid="{00000000-0005-0000-0000-00008E730000}"/>
    <cellStyle name="Normal 2 6 3 20" xfId="29580" xr:uid="{00000000-0005-0000-0000-00008F730000}"/>
    <cellStyle name="Normal 2 6 3 21" xfId="29581" xr:uid="{00000000-0005-0000-0000-000090730000}"/>
    <cellStyle name="Normal 2 6 3 22" xfId="29582" xr:uid="{00000000-0005-0000-0000-000091730000}"/>
    <cellStyle name="Normal 2 6 3 3" xfId="29583" xr:uid="{00000000-0005-0000-0000-000092730000}"/>
    <cellStyle name="Normal 2 6 3 3 10" xfId="29584" xr:uid="{00000000-0005-0000-0000-000093730000}"/>
    <cellStyle name="Normal 2 6 3 3 11" xfId="29585" xr:uid="{00000000-0005-0000-0000-000094730000}"/>
    <cellStyle name="Normal 2 6 3 3 2" xfId="29586" xr:uid="{00000000-0005-0000-0000-000095730000}"/>
    <cellStyle name="Normal 2 6 3 3 2 2" xfId="29587" xr:uid="{00000000-0005-0000-0000-000096730000}"/>
    <cellStyle name="Normal 2 6 3 3 2 2 2" xfId="29588" xr:uid="{00000000-0005-0000-0000-000097730000}"/>
    <cellStyle name="Normal 2 6 3 3 2 2 2 2" xfId="29589" xr:uid="{00000000-0005-0000-0000-000098730000}"/>
    <cellStyle name="Normal 2 6 3 3 2 2 2 3" xfId="29590" xr:uid="{00000000-0005-0000-0000-000099730000}"/>
    <cellStyle name="Normal 2 6 3 3 2 2 3" xfId="29591" xr:uid="{00000000-0005-0000-0000-00009A730000}"/>
    <cellStyle name="Normal 2 6 3 3 2 2 4" xfId="29592" xr:uid="{00000000-0005-0000-0000-00009B730000}"/>
    <cellStyle name="Normal 2 6 3 3 2 2 5" xfId="29593" xr:uid="{00000000-0005-0000-0000-00009C730000}"/>
    <cellStyle name="Normal 2 6 3 3 2 2 6" xfId="29594" xr:uid="{00000000-0005-0000-0000-00009D730000}"/>
    <cellStyle name="Normal 2 6 3 3 2 3" xfId="29595" xr:uid="{00000000-0005-0000-0000-00009E730000}"/>
    <cellStyle name="Normal 2 6 3 3 2 3 2" xfId="29596" xr:uid="{00000000-0005-0000-0000-00009F730000}"/>
    <cellStyle name="Normal 2 6 3 3 2 3 2 2" xfId="29597" xr:uid="{00000000-0005-0000-0000-0000A0730000}"/>
    <cellStyle name="Normal 2 6 3 3 2 3 3" xfId="29598" xr:uid="{00000000-0005-0000-0000-0000A1730000}"/>
    <cellStyle name="Normal 2 6 3 3 2 3 4" xfId="29599" xr:uid="{00000000-0005-0000-0000-0000A2730000}"/>
    <cellStyle name="Normal 2 6 3 3 2 3 5" xfId="29600" xr:uid="{00000000-0005-0000-0000-0000A3730000}"/>
    <cellStyle name="Normal 2 6 3 3 2 4" xfId="29601" xr:uid="{00000000-0005-0000-0000-0000A4730000}"/>
    <cellStyle name="Normal 2 6 3 3 2 4 2" xfId="29602" xr:uid="{00000000-0005-0000-0000-0000A5730000}"/>
    <cellStyle name="Normal 2 6 3 3 2 4 3" xfId="29603" xr:uid="{00000000-0005-0000-0000-0000A6730000}"/>
    <cellStyle name="Normal 2 6 3 3 2 4 4" xfId="29604" xr:uid="{00000000-0005-0000-0000-0000A7730000}"/>
    <cellStyle name="Normal 2 6 3 3 2 5" xfId="29605" xr:uid="{00000000-0005-0000-0000-0000A8730000}"/>
    <cellStyle name="Normal 2 6 3 3 2 5 2" xfId="29606" xr:uid="{00000000-0005-0000-0000-0000A9730000}"/>
    <cellStyle name="Normal 2 6 3 3 2 6" xfId="29607" xr:uid="{00000000-0005-0000-0000-0000AA730000}"/>
    <cellStyle name="Normal 2 6 3 3 2 7" xfId="29608" xr:uid="{00000000-0005-0000-0000-0000AB730000}"/>
    <cellStyle name="Normal 2 6 3 3 2 8" xfId="29609" xr:uid="{00000000-0005-0000-0000-0000AC730000}"/>
    <cellStyle name="Normal 2 6 3 3 2 9" xfId="29610" xr:uid="{00000000-0005-0000-0000-0000AD730000}"/>
    <cellStyle name="Normal 2 6 3 3 3" xfId="29611" xr:uid="{00000000-0005-0000-0000-0000AE730000}"/>
    <cellStyle name="Normal 2 6 3 3 3 2" xfId="29612" xr:uid="{00000000-0005-0000-0000-0000AF730000}"/>
    <cellStyle name="Normal 2 6 3 3 3 2 2" xfId="29613" xr:uid="{00000000-0005-0000-0000-0000B0730000}"/>
    <cellStyle name="Normal 2 6 3 3 3 2 2 2" xfId="29614" xr:uid="{00000000-0005-0000-0000-0000B1730000}"/>
    <cellStyle name="Normal 2 6 3 3 3 2 2 3" xfId="29615" xr:uid="{00000000-0005-0000-0000-0000B2730000}"/>
    <cellStyle name="Normal 2 6 3 3 3 2 3" xfId="29616" xr:uid="{00000000-0005-0000-0000-0000B3730000}"/>
    <cellStyle name="Normal 2 6 3 3 3 2 4" xfId="29617" xr:uid="{00000000-0005-0000-0000-0000B4730000}"/>
    <cellStyle name="Normal 2 6 3 3 3 2 5" xfId="29618" xr:uid="{00000000-0005-0000-0000-0000B5730000}"/>
    <cellStyle name="Normal 2 6 3 3 3 2 6" xfId="29619" xr:uid="{00000000-0005-0000-0000-0000B6730000}"/>
    <cellStyle name="Normal 2 6 3 3 3 3" xfId="29620" xr:uid="{00000000-0005-0000-0000-0000B7730000}"/>
    <cellStyle name="Normal 2 6 3 3 3 3 2" xfId="29621" xr:uid="{00000000-0005-0000-0000-0000B8730000}"/>
    <cellStyle name="Normal 2 6 3 3 3 3 2 2" xfId="29622" xr:uid="{00000000-0005-0000-0000-0000B9730000}"/>
    <cellStyle name="Normal 2 6 3 3 3 3 3" xfId="29623" xr:uid="{00000000-0005-0000-0000-0000BA730000}"/>
    <cellStyle name="Normal 2 6 3 3 3 3 4" xfId="29624" xr:uid="{00000000-0005-0000-0000-0000BB730000}"/>
    <cellStyle name="Normal 2 6 3 3 3 3 5" xfId="29625" xr:uid="{00000000-0005-0000-0000-0000BC730000}"/>
    <cellStyle name="Normal 2 6 3 3 3 4" xfId="29626" xr:uid="{00000000-0005-0000-0000-0000BD730000}"/>
    <cellStyle name="Normal 2 6 3 3 3 4 2" xfId="29627" xr:uid="{00000000-0005-0000-0000-0000BE730000}"/>
    <cellStyle name="Normal 2 6 3 3 3 4 3" xfId="29628" xr:uid="{00000000-0005-0000-0000-0000BF730000}"/>
    <cellStyle name="Normal 2 6 3 3 3 4 4" xfId="29629" xr:uid="{00000000-0005-0000-0000-0000C0730000}"/>
    <cellStyle name="Normal 2 6 3 3 3 5" xfId="29630" xr:uid="{00000000-0005-0000-0000-0000C1730000}"/>
    <cellStyle name="Normal 2 6 3 3 3 5 2" xfId="29631" xr:uid="{00000000-0005-0000-0000-0000C2730000}"/>
    <cellStyle name="Normal 2 6 3 3 3 6" xfId="29632" xr:uid="{00000000-0005-0000-0000-0000C3730000}"/>
    <cellStyle name="Normal 2 6 3 3 3 7" xfId="29633" xr:uid="{00000000-0005-0000-0000-0000C4730000}"/>
    <cellStyle name="Normal 2 6 3 3 3 8" xfId="29634" xr:uid="{00000000-0005-0000-0000-0000C5730000}"/>
    <cellStyle name="Normal 2 6 3 3 3 9" xfId="29635" xr:uid="{00000000-0005-0000-0000-0000C6730000}"/>
    <cellStyle name="Normal 2 6 3 3 4" xfId="29636" xr:uid="{00000000-0005-0000-0000-0000C7730000}"/>
    <cellStyle name="Normal 2 6 3 3 4 2" xfId="29637" xr:uid="{00000000-0005-0000-0000-0000C8730000}"/>
    <cellStyle name="Normal 2 6 3 3 4 2 2" xfId="29638" xr:uid="{00000000-0005-0000-0000-0000C9730000}"/>
    <cellStyle name="Normal 2 6 3 3 4 2 3" xfId="29639" xr:uid="{00000000-0005-0000-0000-0000CA730000}"/>
    <cellStyle name="Normal 2 6 3 3 4 3" xfId="29640" xr:uid="{00000000-0005-0000-0000-0000CB730000}"/>
    <cellStyle name="Normal 2 6 3 3 4 4" xfId="29641" xr:uid="{00000000-0005-0000-0000-0000CC730000}"/>
    <cellStyle name="Normal 2 6 3 3 4 5" xfId="29642" xr:uid="{00000000-0005-0000-0000-0000CD730000}"/>
    <cellStyle name="Normal 2 6 3 3 4 6" xfId="29643" xr:uid="{00000000-0005-0000-0000-0000CE730000}"/>
    <cellStyle name="Normal 2 6 3 3 5" xfId="29644" xr:uid="{00000000-0005-0000-0000-0000CF730000}"/>
    <cellStyle name="Normal 2 6 3 3 5 2" xfId="29645" xr:uid="{00000000-0005-0000-0000-0000D0730000}"/>
    <cellStyle name="Normal 2 6 3 3 5 2 2" xfId="29646" xr:uid="{00000000-0005-0000-0000-0000D1730000}"/>
    <cellStyle name="Normal 2 6 3 3 5 3" xfId="29647" xr:uid="{00000000-0005-0000-0000-0000D2730000}"/>
    <cellStyle name="Normal 2 6 3 3 5 4" xfId="29648" xr:uid="{00000000-0005-0000-0000-0000D3730000}"/>
    <cellStyle name="Normal 2 6 3 3 5 5" xfId="29649" xr:uid="{00000000-0005-0000-0000-0000D4730000}"/>
    <cellStyle name="Normal 2 6 3 3 6" xfId="29650" xr:uid="{00000000-0005-0000-0000-0000D5730000}"/>
    <cellStyle name="Normal 2 6 3 3 6 2" xfId="29651" xr:uid="{00000000-0005-0000-0000-0000D6730000}"/>
    <cellStyle name="Normal 2 6 3 3 6 3" xfId="29652" xr:uid="{00000000-0005-0000-0000-0000D7730000}"/>
    <cellStyle name="Normal 2 6 3 3 6 4" xfId="29653" xr:uid="{00000000-0005-0000-0000-0000D8730000}"/>
    <cellStyle name="Normal 2 6 3 3 7" xfId="29654" xr:uid="{00000000-0005-0000-0000-0000D9730000}"/>
    <cellStyle name="Normal 2 6 3 3 7 2" xfId="29655" xr:uid="{00000000-0005-0000-0000-0000DA730000}"/>
    <cellStyle name="Normal 2 6 3 3 8" xfId="29656" xr:uid="{00000000-0005-0000-0000-0000DB730000}"/>
    <cellStyle name="Normal 2 6 3 3 9" xfId="29657" xr:uid="{00000000-0005-0000-0000-0000DC730000}"/>
    <cellStyle name="Normal 2 6 3 4" xfId="29658" xr:uid="{00000000-0005-0000-0000-0000DD730000}"/>
    <cellStyle name="Normal 2 6 3 4 10" xfId="29659" xr:uid="{00000000-0005-0000-0000-0000DE730000}"/>
    <cellStyle name="Normal 2 6 3 4 11" xfId="29660" xr:uid="{00000000-0005-0000-0000-0000DF730000}"/>
    <cellStyle name="Normal 2 6 3 4 2" xfId="29661" xr:uid="{00000000-0005-0000-0000-0000E0730000}"/>
    <cellStyle name="Normal 2 6 3 4 2 2" xfId="29662" xr:uid="{00000000-0005-0000-0000-0000E1730000}"/>
    <cellStyle name="Normal 2 6 3 4 2 2 2" xfId="29663" xr:uid="{00000000-0005-0000-0000-0000E2730000}"/>
    <cellStyle name="Normal 2 6 3 4 2 2 2 2" xfId="29664" xr:uid="{00000000-0005-0000-0000-0000E3730000}"/>
    <cellStyle name="Normal 2 6 3 4 2 2 2 3" xfId="29665" xr:uid="{00000000-0005-0000-0000-0000E4730000}"/>
    <cellStyle name="Normal 2 6 3 4 2 2 3" xfId="29666" xr:uid="{00000000-0005-0000-0000-0000E5730000}"/>
    <cellStyle name="Normal 2 6 3 4 2 2 4" xfId="29667" xr:uid="{00000000-0005-0000-0000-0000E6730000}"/>
    <cellStyle name="Normal 2 6 3 4 2 2 5" xfId="29668" xr:uid="{00000000-0005-0000-0000-0000E7730000}"/>
    <cellStyle name="Normal 2 6 3 4 2 2 6" xfId="29669" xr:uid="{00000000-0005-0000-0000-0000E8730000}"/>
    <cellStyle name="Normal 2 6 3 4 2 3" xfId="29670" xr:uid="{00000000-0005-0000-0000-0000E9730000}"/>
    <cellStyle name="Normal 2 6 3 4 2 3 2" xfId="29671" xr:uid="{00000000-0005-0000-0000-0000EA730000}"/>
    <cellStyle name="Normal 2 6 3 4 2 3 2 2" xfId="29672" xr:uid="{00000000-0005-0000-0000-0000EB730000}"/>
    <cellStyle name="Normal 2 6 3 4 2 3 3" xfId="29673" xr:uid="{00000000-0005-0000-0000-0000EC730000}"/>
    <cellStyle name="Normal 2 6 3 4 2 3 4" xfId="29674" xr:uid="{00000000-0005-0000-0000-0000ED730000}"/>
    <cellStyle name="Normal 2 6 3 4 2 3 5" xfId="29675" xr:uid="{00000000-0005-0000-0000-0000EE730000}"/>
    <cellStyle name="Normal 2 6 3 4 2 4" xfId="29676" xr:uid="{00000000-0005-0000-0000-0000EF730000}"/>
    <cellStyle name="Normal 2 6 3 4 2 4 2" xfId="29677" xr:uid="{00000000-0005-0000-0000-0000F0730000}"/>
    <cellStyle name="Normal 2 6 3 4 2 4 3" xfId="29678" xr:uid="{00000000-0005-0000-0000-0000F1730000}"/>
    <cellStyle name="Normal 2 6 3 4 2 4 4" xfId="29679" xr:uid="{00000000-0005-0000-0000-0000F2730000}"/>
    <cellStyle name="Normal 2 6 3 4 2 5" xfId="29680" xr:uid="{00000000-0005-0000-0000-0000F3730000}"/>
    <cellStyle name="Normal 2 6 3 4 2 5 2" xfId="29681" xr:uid="{00000000-0005-0000-0000-0000F4730000}"/>
    <cellStyle name="Normal 2 6 3 4 2 6" xfId="29682" xr:uid="{00000000-0005-0000-0000-0000F5730000}"/>
    <cellStyle name="Normal 2 6 3 4 2 7" xfId="29683" xr:uid="{00000000-0005-0000-0000-0000F6730000}"/>
    <cellStyle name="Normal 2 6 3 4 2 8" xfId="29684" xr:uid="{00000000-0005-0000-0000-0000F7730000}"/>
    <cellStyle name="Normal 2 6 3 4 2 9" xfId="29685" xr:uid="{00000000-0005-0000-0000-0000F8730000}"/>
    <cellStyle name="Normal 2 6 3 4 3" xfId="29686" xr:uid="{00000000-0005-0000-0000-0000F9730000}"/>
    <cellStyle name="Normal 2 6 3 4 3 2" xfId="29687" xr:uid="{00000000-0005-0000-0000-0000FA730000}"/>
    <cellStyle name="Normal 2 6 3 4 3 2 2" xfId="29688" xr:uid="{00000000-0005-0000-0000-0000FB730000}"/>
    <cellStyle name="Normal 2 6 3 4 3 2 2 2" xfId="29689" xr:uid="{00000000-0005-0000-0000-0000FC730000}"/>
    <cellStyle name="Normal 2 6 3 4 3 2 2 3" xfId="29690" xr:uid="{00000000-0005-0000-0000-0000FD730000}"/>
    <cellStyle name="Normal 2 6 3 4 3 2 3" xfId="29691" xr:uid="{00000000-0005-0000-0000-0000FE730000}"/>
    <cellStyle name="Normal 2 6 3 4 3 2 4" xfId="29692" xr:uid="{00000000-0005-0000-0000-0000FF730000}"/>
    <cellStyle name="Normal 2 6 3 4 3 2 5" xfId="29693" xr:uid="{00000000-0005-0000-0000-000000740000}"/>
    <cellStyle name="Normal 2 6 3 4 3 2 6" xfId="29694" xr:uid="{00000000-0005-0000-0000-000001740000}"/>
    <cellStyle name="Normal 2 6 3 4 3 3" xfId="29695" xr:uid="{00000000-0005-0000-0000-000002740000}"/>
    <cellStyle name="Normal 2 6 3 4 3 3 2" xfId="29696" xr:uid="{00000000-0005-0000-0000-000003740000}"/>
    <cellStyle name="Normal 2 6 3 4 3 3 2 2" xfId="29697" xr:uid="{00000000-0005-0000-0000-000004740000}"/>
    <cellStyle name="Normal 2 6 3 4 3 3 3" xfId="29698" xr:uid="{00000000-0005-0000-0000-000005740000}"/>
    <cellStyle name="Normal 2 6 3 4 3 3 4" xfId="29699" xr:uid="{00000000-0005-0000-0000-000006740000}"/>
    <cellStyle name="Normal 2 6 3 4 3 3 5" xfId="29700" xr:uid="{00000000-0005-0000-0000-000007740000}"/>
    <cellStyle name="Normal 2 6 3 4 3 4" xfId="29701" xr:uid="{00000000-0005-0000-0000-000008740000}"/>
    <cellStyle name="Normal 2 6 3 4 3 4 2" xfId="29702" xr:uid="{00000000-0005-0000-0000-000009740000}"/>
    <cellStyle name="Normal 2 6 3 4 3 4 3" xfId="29703" xr:uid="{00000000-0005-0000-0000-00000A740000}"/>
    <cellStyle name="Normal 2 6 3 4 3 4 4" xfId="29704" xr:uid="{00000000-0005-0000-0000-00000B740000}"/>
    <cellStyle name="Normal 2 6 3 4 3 5" xfId="29705" xr:uid="{00000000-0005-0000-0000-00000C740000}"/>
    <cellStyle name="Normal 2 6 3 4 3 5 2" xfId="29706" xr:uid="{00000000-0005-0000-0000-00000D740000}"/>
    <cellStyle name="Normal 2 6 3 4 3 6" xfId="29707" xr:uid="{00000000-0005-0000-0000-00000E740000}"/>
    <cellStyle name="Normal 2 6 3 4 3 7" xfId="29708" xr:uid="{00000000-0005-0000-0000-00000F740000}"/>
    <cellStyle name="Normal 2 6 3 4 3 8" xfId="29709" xr:uid="{00000000-0005-0000-0000-000010740000}"/>
    <cellStyle name="Normal 2 6 3 4 3 9" xfId="29710" xr:uid="{00000000-0005-0000-0000-000011740000}"/>
    <cellStyle name="Normal 2 6 3 4 4" xfId="29711" xr:uid="{00000000-0005-0000-0000-000012740000}"/>
    <cellStyle name="Normal 2 6 3 4 4 2" xfId="29712" xr:uid="{00000000-0005-0000-0000-000013740000}"/>
    <cellStyle name="Normal 2 6 3 4 4 2 2" xfId="29713" xr:uid="{00000000-0005-0000-0000-000014740000}"/>
    <cellStyle name="Normal 2 6 3 4 4 2 3" xfId="29714" xr:uid="{00000000-0005-0000-0000-000015740000}"/>
    <cellStyle name="Normal 2 6 3 4 4 3" xfId="29715" xr:uid="{00000000-0005-0000-0000-000016740000}"/>
    <cellStyle name="Normal 2 6 3 4 4 4" xfId="29716" xr:uid="{00000000-0005-0000-0000-000017740000}"/>
    <cellStyle name="Normal 2 6 3 4 4 5" xfId="29717" xr:uid="{00000000-0005-0000-0000-000018740000}"/>
    <cellStyle name="Normal 2 6 3 4 4 6" xfId="29718" xr:uid="{00000000-0005-0000-0000-000019740000}"/>
    <cellStyle name="Normal 2 6 3 4 5" xfId="29719" xr:uid="{00000000-0005-0000-0000-00001A740000}"/>
    <cellStyle name="Normal 2 6 3 4 5 2" xfId="29720" xr:uid="{00000000-0005-0000-0000-00001B740000}"/>
    <cellStyle name="Normal 2 6 3 4 5 2 2" xfId="29721" xr:uid="{00000000-0005-0000-0000-00001C740000}"/>
    <cellStyle name="Normal 2 6 3 4 5 3" xfId="29722" xr:uid="{00000000-0005-0000-0000-00001D740000}"/>
    <cellStyle name="Normal 2 6 3 4 5 4" xfId="29723" xr:uid="{00000000-0005-0000-0000-00001E740000}"/>
    <cellStyle name="Normal 2 6 3 4 5 5" xfId="29724" xr:uid="{00000000-0005-0000-0000-00001F740000}"/>
    <cellStyle name="Normal 2 6 3 4 6" xfId="29725" xr:uid="{00000000-0005-0000-0000-000020740000}"/>
    <cellStyle name="Normal 2 6 3 4 6 2" xfId="29726" xr:uid="{00000000-0005-0000-0000-000021740000}"/>
    <cellStyle name="Normal 2 6 3 4 6 3" xfId="29727" xr:uid="{00000000-0005-0000-0000-000022740000}"/>
    <cellStyle name="Normal 2 6 3 4 6 4" xfId="29728" xr:uid="{00000000-0005-0000-0000-000023740000}"/>
    <cellStyle name="Normal 2 6 3 4 7" xfId="29729" xr:uid="{00000000-0005-0000-0000-000024740000}"/>
    <cellStyle name="Normal 2 6 3 4 7 2" xfId="29730" xr:uid="{00000000-0005-0000-0000-000025740000}"/>
    <cellStyle name="Normal 2 6 3 4 8" xfId="29731" xr:uid="{00000000-0005-0000-0000-000026740000}"/>
    <cellStyle name="Normal 2 6 3 4 9" xfId="29732" xr:uid="{00000000-0005-0000-0000-000027740000}"/>
    <cellStyle name="Normal 2 6 3 5" xfId="29733" xr:uid="{00000000-0005-0000-0000-000028740000}"/>
    <cellStyle name="Normal 2 6 3 5 10" xfId="29734" xr:uid="{00000000-0005-0000-0000-000029740000}"/>
    <cellStyle name="Normal 2 6 3 5 11" xfId="29735" xr:uid="{00000000-0005-0000-0000-00002A740000}"/>
    <cellStyle name="Normal 2 6 3 5 2" xfId="29736" xr:uid="{00000000-0005-0000-0000-00002B740000}"/>
    <cellStyle name="Normal 2 6 3 5 2 2" xfId="29737" xr:uid="{00000000-0005-0000-0000-00002C740000}"/>
    <cellStyle name="Normal 2 6 3 5 2 2 2" xfId="29738" xr:uid="{00000000-0005-0000-0000-00002D740000}"/>
    <cellStyle name="Normal 2 6 3 5 2 2 2 2" xfId="29739" xr:uid="{00000000-0005-0000-0000-00002E740000}"/>
    <cellStyle name="Normal 2 6 3 5 2 2 2 3" xfId="29740" xr:uid="{00000000-0005-0000-0000-00002F740000}"/>
    <cellStyle name="Normal 2 6 3 5 2 2 3" xfId="29741" xr:uid="{00000000-0005-0000-0000-000030740000}"/>
    <cellStyle name="Normal 2 6 3 5 2 2 4" xfId="29742" xr:uid="{00000000-0005-0000-0000-000031740000}"/>
    <cellStyle name="Normal 2 6 3 5 2 2 5" xfId="29743" xr:uid="{00000000-0005-0000-0000-000032740000}"/>
    <cellStyle name="Normal 2 6 3 5 2 2 6" xfId="29744" xr:uid="{00000000-0005-0000-0000-000033740000}"/>
    <cellStyle name="Normal 2 6 3 5 2 3" xfId="29745" xr:uid="{00000000-0005-0000-0000-000034740000}"/>
    <cellStyle name="Normal 2 6 3 5 2 3 2" xfId="29746" xr:uid="{00000000-0005-0000-0000-000035740000}"/>
    <cellStyle name="Normal 2 6 3 5 2 3 2 2" xfId="29747" xr:uid="{00000000-0005-0000-0000-000036740000}"/>
    <cellStyle name="Normal 2 6 3 5 2 3 3" xfId="29748" xr:uid="{00000000-0005-0000-0000-000037740000}"/>
    <cellStyle name="Normal 2 6 3 5 2 3 4" xfId="29749" xr:uid="{00000000-0005-0000-0000-000038740000}"/>
    <cellStyle name="Normal 2 6 3 5 2 3 5" xfId="29750" xr:uid="{00000000-0005-0000-0000-000039740000}"/>
    <cellStyle name="Normal 2 6 3 5 2 4" xfId="29751" xr:uid="{00000000-0005-0000-0000-00003A740000}"/>
    <cellStyle name="Normal 2 6 3 5 2 4 2" xfId="29752" xr:uid="{00000000-0005-0000-0000-00003B740000}"/>
    <cellStyle name="Normal 2 6 3 5 2 4 3" xfId="29753" xr:uid="{00000000-0005-0000-0000-00003C740000}"/>
    <cellStyle name="Normal 2 6 3 5 2 4 4" xfId="29754" xr:uid="{00000000-0005-0000-0000-00003D740000}"/>
    <cellStyle name="Normal 2 6 3 5 2 5" xfId="29755" xr:uid="{00000000-0005-0000-0000-00003E740000}"/>
    <cellStyle name="Normal 2 6 3 5 2 5 2" xfId="29756" xr:uid="{00000000-0005-0000-0000-00003F740000}"/>
    <cellStyle name="Normal 2 6 3 5 2 6" xfId="29757" xr:uid="{00000000-0005-0000-0000-000040740000}"/>
    <cellStyle name="Normal 2 6 3 5 2 7" xfId="29758" xr:uid="{00000000-0005-0000-0000-000041740000}"/>
    <cellStyle name="Normal 2 6 3 5 2 8" xfId="29759" xr:uid="{00000000-0005-0000-0000-000042740000}"/>
    <cellStyle name="Normal 2 6 3 5 2 9" xfId="29760" xr:uid="{00000000-0005-0000-0000-000043740000}"/>
    <cellStyle name="Normal 2 6 3 5 3" xfId="29761" xr:uid="{00000000-0005-0000-0000-000044740000}"/>
    <cellStyle name="Normal 2 6 3 5 3 2" xfId="29762" xr:uid="{00000000-0005-0000-0000-000045740000}"/>
    <cellStyle name="Normal 2 6 3 5 3 2 2" xfId="29763" xr:uid="{00000000-0005-0000-0000-000046740000}"/>
    <cellStyle name="Normal 2 6 3 5 3 2 2 2" xfId="29764" xr:uid="{00000000-0005-0000-0000-000047740000}"/>
    <cellStyle name="Normal 2 6 3 5 3 2 2 3" xfId="29765" xr:uid="{00000000-0005-0000-0000-000048740000}"/>
    <cellStyle name="Normal 2 6 3 5 3 2 3" xfId="29766" xr:uid="{00000000-0005-0000-0000-000049740000}"/>
    <cellStyle name="Normal 2 6 3 5 3 2 4" xfId="29767" xr:uid="{00000000-0005-0000-0000-00004A740000}"/>
    <cellStyle name="Normal 2 6 3 5 3 2 5" xfId="29768" xr:uid="{00000000-0005-0000-0000-00004B740000}"/>
    <cellStyle name="Normal 2 6 3 5 3 2 6" xfId="29769" xr:uid="{00000000-0005-0000-0000-00004C740000}"/>
    <cellStyle name="Normal 2 6 3 5 3 3" xfId="29770" xr:uid="{00000000-0005-0000-0000-00004D740000}"/>
    <cellStyle name="Normal 2 6 3 5 3 3 2" xfId="29771" xr:uid="{00000000-0005-0000-0000-00004E740000}"/>
    <cellStyle name="Normal 2 6 3 5 3 3 2 2" xfId="29772" xr:uid="{00000000-0005-0000-0000-00004F740000}"/>
    <cellStyle name="Normal 2 6 3 5 3 3 3" xfId="29773" xr:uid="{00000000-0005-0000-0000-000050740000}"/>
    <cellStyle name="Normal 2 6 3 5 3 3 4" xfId="29774" xr:uid="{00000000-0005-0000-0000-000051740000}"/>
    <cellStyle name="Normal 2 6 3 5 3 3 5" xfId="29775" xr:uid="{00000000-0005-0000-0000-000052740000}"/>
    <cellStyle name="Normal 2 6 3 5 3 4" xfId="29776" xr:uid="{00000000-0005-0000-0000-000053740000}"/>
    <cellStyle name="Normal 2 6 3 5 3 4 2" xfId="29777" xr:uid="{00000000-0005-0000-0000-000054740000}"/>
    <cellStyle name="Normal 2 6 3 5 3 4 3" xfId="29778" xr:uid="{00000000-0005-0000-0000-000055740000}"/>
    <cellStyle name="Normal 2 6 3 5 3 4 4" xfId="29779" xr:uid="{00000000-0005-0000-0000-000056740000}"/>
    <cellStyle name="Normal 2 6 3 5 3 5" xfId="29780" xr:uid="{00000000-0005-0000-0000-000057740000}"/>
    <cellStyle name="Normal 2 6 3 5 3 5 2" xfId="29781" xr:uid="{00000000-0005-0000-0000-000058740000}"/>
    <cellStyle name="Normal 2 6 3 5 3 6" xfId="29782" xr:uid="{00000000-0005-0000-0000-000059740000}"/>
    <cellStyle name="Normal 2 6 3 5 3 7" xfId="29783" xr:uid="{00000000-0005-0000-0000-00005A740000}"/>
    <cellStyle name="Normal 2 6 3 5 3 8" xfId="29784" xr:uid="{00000000-0005-0000-0000-00005B740000}"/>
    <cellStyle name="Normal 2 6 3 5 3 9" xfId="29785" xr:uid="{00000000-0005-0000-0000-00005C740000}"/>
    <cellStyle name="Normal 2 6 3 5 4" xfId="29786" xr:uid="{00000000-0005-0000-0000-00005D740000}"/>
    <cellStyle name="Normal 2 6 3 5 4 2" xfId="29787" xr:uid="{00000000-0005-0000-0000-00005E740000}"/>
    <cellStyle name="Normal 2 6 3 5 4 2 2" xfId="29788" xr:uid="{00000000-0005-0000-0000-00005F740000}"/>
    <cellStyle name="Normal 2 6 3 5 4 2 3" xfId="29789" xr:uid="{00000000-0005-0000-0000-000060740000}"/>
    <cellStyle name="Normal 2 6 3 5 4 3" xfId="29790" xr:uid="{00000000-0005-0000-0000-000061740000}"/>
    <cellStyle name="Normal 2 6 3 5 4 4" xfId="29791" xr:uid="{00000000-0005-0000-0000-000062740000}"/>
    <cellStyle name="Normal 2 6 3 5 4 5" xfId="29792" xr:uid="{00000000-0005-0000-0000-000063740000}"/>
    <cellStyle name="Normal 2 6 3 5 4 6" xfId="29793" xr:uid="{00000000-0005-0000-0000-000064740000}"/>
    <cellStyle name="Normal 2 6 3 5 5" xfId="29794" xr:uid="{00000000-0005-0000-0000-000065740000}"/>
    <cellStyle name="Normal 2 6 3 5 5 2" xfId="29795" xr:uid="{00000000-0005-0000-0000-000066740000}"/>
    <cellStyle name="Normal 2 6 3 5 5 2 2" xfId="29796" xr:uid="{00000000-0005-0000-0000-000067740000}"/>
    <cellStyle name="Normal 2 6 3 5 5 3" xfId="29797" xr:uid="{00000000-0005-0000-0000-000068740000}"/>
    <cellStyle name="Normal 2 6 3 5 5 4" xfId="29798" xr:uid="{00000000-0005-0000-0000-000069740000}"/>
    <cellStyle name="Normal 2 6 3 5 5 5" xfId="29799" xr:uid="{00000000-0005-0000-0000-00006A740000}"/>
    <cellStyle name="Normal 2 6 3 5 6" xfId="29800" xr:uid="{00000000-0005-0000-0000-00006B740000}"/>
    <cellStyle name="Normal 2 6 3 5 6 2" xfId="29801" xr:uid="{00000000-0005-0000-0000-00006C740000}"/>
    <cellStyle name="Normal 2 6 3 5 6 3" xfId="29802" xr:uid="{00000000-0005-0000-0000-00006D740000}"/>
    <cellStyle name="Normal 2 6 3 5 6 4" xfId="29803" xr:uid="{00000000-0005-0000-0000-00006E740000}"/>
    <cellStyle name="Normal 2 6 3 5 7" xfId="29804" xr:uid="{00000000-0005-0000-0000-00006F740000}"/>
    <cellStyle name="Normal 2 6 3 5 7 2" xfId="29805" xr:uid="{00000000-0005-0000-0000-000070740000}"/>
    <cellStyle name="Normal 2 6 3 5 8" xfId="29806" xr:uid="{00000000-0005-0000-0000-000071740000}"/>
    <cellStyle name="Normal 2 6 3 5 9" xfId="29807" xr:uid="{00000000-0005-0000-0000-000072740000}"/>
    <cellStyle name="Normal 2 6 3 6" xfId="29808" xr:uid="{00000000-0005-0000-0000-000073740000}"/>
    <cellStyle name="Normal 2 6 3 6 10" xfId="29809" xr:uid="{00000000-0005-0000-0000-000074740000}"/>
    <cellStyle name="Normal 2 6 3 6 11" xfId="29810" xr:uid="{00000000-0005-0000-0000-000075740000}"/>
    <cellStyle name="Normal 2 6 3 6 2" xfId="29811" xr:uid="{00000000-0005-0000-0000-000076740000}"/>
    <cellStyle name="Normal 2 6 3 6 2 2" xfId="29812" xr:uid="{00000000-0005-0000-0000-000077740000}"/>
    <cellStyle name="Normal 2 6 3 6 2 2 2" xfId="29813" xr:uid="{00000000-0005-0000-0000-000078740000}"/>
    <cellStyle name="Normal 2 6 3 6 2 2 2 2" xfId="29814" xr:uid="{00000000-0005-0000-0000-000079740000}"/>
    <cellStyle name="Normal 2 6 3 6 2 2 2 3" xfId="29815" xr:uid="{00000000-0005-0000-0000-00007A740000}"/>
    <cellStyle name="Normal 2 6 3 6 2 2 3" xfId="29816" xr:uid="{00000000-0005-0000-0000-00007B740000}"/>
    <cellStyle name="Normal 2 6 3 6 2 2 4" xfId="29817" xr:uid="{00000000-0005-0000-0000-00007C740000}"/>
    <cellStyle name="Normal 2 6 3 6 2 2 5" xfId="29818" xr:uid="{00000000-0005-0000-0000-00007D740000}"/>
    <cellStyle name="Normal 2 6 3 6 2 2 6" xfId="29819" xr:uid="{00000000-0005-0000-0000-00007E740000}"/>
    <cellStyle name="Normal 2 6 3 6 2 3" xfId="29820" xr:uid="{00000000-0005-0000-0000-00007F740000}"/>
    <cellStyle name="Normal 2 6 3 6 2 3 2" xfId="29821" xr:uid="{00000000-0005-0000-0000-000080740000}"/>
    <cellStyle name="Normal 2 6 3 6 2 3 2 2" xfId="29822" xr:uid="{00000000-0005-0000-0000-000081740000}"/>
    <cellStyle name="Normal 2 6 3 6 2 3 3" xfId="29823" xr:uid="{00000000-0005-0000-0000-000082740000}"/>
    <cellStyle name="Normal 2 6 3 6 2 3 4" xfId="29824" xr:uid="{00000000-0005-0000-0000-000083740000}"/>
    <cellStyle name="Normal 2 6 3 6 2 3 5" xfId="29825" xr:uid="{00000000-0005-0000-0000-000084740000}"/>
    <cellStyle name="Normal 2 6 3 6 2 4" xfId="29826" xr:uid="{00000000-0005-0000-0000-000085740000}"/>
    <cellStyle name="Normal 2 6 3 6 2 4 2" xfId="29827" xr:uid="{00000000-0005-0000-0000-000086740000}"/>
    <cellStyle name="Normal 2 6 3 6 2 4 3" xfId="29828" xr:uid="{00000000-0005-0000-0000-000087740000}"/>
    <cellStyle name="Normal 2 6 3 6 2 4 4" xfId="29829" xr:uid="{00000000-0005-0000-0000-000088740000}"/>
    <cellStyle name="Normal 2 6 3 6 2 5" xfId="29830" xr:uid="{00000000-0005-0000-0000-000089740000}"/>
    <cellStyle name="Normal 2 6 3 6 2 5 2" xfId="29831" xr:uid="{00000000-0005-0000-0000-00008A740000}"/>
    <cellStyle name="Normal 2 6 3 6 2 6" xfId="29832" xr:uid="{00000000-0005-0000-0000-00008B740000}"/>
    <cellStyle name="Normal 2 6 3 6 2 7" xfId="29833" xr:uid="{00000000-0005-0000-0000-00008C740000}"/>
    <cellStyle name="Normal 2 6 3 6 2 8" xfId="29834" xr:uid="{00000000-0005-0000-0000-00008D740000}"/>
    <cellStyle name="Normal 2 6 3 6 2 9" xfId="29835" xr:uid="{00000000-0005-0000-0000-00008E740000}"/>
    <cellStyle name="Normal 2 6 3 6 3" xfId="29836" xr:uid="{00000000-0005-0000-0000-00008F740000}"/>
    <cellStyle name="Normal 2 6 3 6 3 2" xfId="29837" xr:uid="{00000000-0005-0000-0000-000090740000}"/>
    <cellStyle name="Normal 2 6 3 6 3 2 2" xfId="29838" xr:uid="{00000000-0005-0000-0000-000091740000}"/>
    <cellStyle name="Normal 2 6 3 6 3 2 2 2" xfId="29839" xr:uid="{00000000-0005-0000-0000-000092740000}"/>
    <cellStyle name="Normal 2 6 3 6 3 2 2 3" xfId="29840" xr:uid="{00000000-0005-0000-0000-000093740000}"/>
    <cellStyle name="Normal 2 6 3 6 3 2 3" xfId="29841" xr:uid="{00000000-0005-0000-0000-000094740000}"/>
    <cellStyle name="Normal 2 6 3 6 3 2 4" xfId="29842" xr:uid="{00000000-0005-0000-0000-000095740000}"/>
    <cellStyle name="Normal 2 6 3 6 3 2 5" xfId="29843" xr:uid="{00000000-0005-0000-0000-000096740000}"/>
    <cellStyle name="Normal 2 6 3 6 3 2 6" xfId="29844" xr:uid="{00000000-0005-0000-0000-000097740000}"/>
    <cellStyle name="Normal 2 6 3 6 3 3" xfId="29845" xr:uid="{00000000-0005-0000-0000-000098740000}"/>
    <cellStyle name="Normal 2 6 3 6 3 3 2" xfId="29846" xr:uid="{00000000-0005-0000-0000-000099740000}"/>
    <cellStyle name="Normal 2 6 3 6 3 3 2 2" xfId="29847" xr:uid="{00000000-0005-0000-0000-00009A740000}"/>
    <cellStyle name="Normal 2 6 3 6 3 3 3" xfId="29848" xr:uid="{00000000-0005-0000-0000-00009B740000}"/>
    <cellStyle name="Normal 2 6 3 6 3 3 4" xfId="29849" xr:uid="{00000000-0005-0000-0000-00009C740000}"/>
    <cellStyle name="Normal 2 6 3 6 3 3 5" xfId="29850" xr:uid="{00000000-0005-0000-0000-00009D740000}"/>
    <cellStyle name="Normal 2 6 3 6 3 4" xfId="29851" xr:uid="{00000000-0005-0000-0000-00009E740000}"/>
    <cellStyle name="Normal 2 6 3 6 3 4 2" xfId="29852" xr:uid="{00000000-0005-0000-0000-00009F740000}"/>
    <cellStyle name="Normal 2 6 3 6 3 4 3" xfId="29853" xr:uid="{00000000-0005-0000-0000-0000A0740000}"/>
    <cellStyle name="Normal 2 6 3 6 3 4 4" xfId="29854" xr:uid="{00000000-0005-0000-0000-0000A1740000}"/>
    <cellStyle name="Normal 2 6 3 6 3 5" xfId="29855" xr:uid="{00000000-0005-0000-0000-0000A2740000}"/>
    <cellStyle name="Normal 2 6 3 6 3 5 2" xfId="29856" xr:uid="{00000000-0005-0000-0000-0000A3740000}"/>
    <cellStyle name="Normal 2 6 3 6 3 6" xfId="29857" xr:uid="{00000000-0005-0000-0000-0000A4740000}"/>
    <cellStyle name="Normal 2 6 3 6 3 7" xfId="29858" xr:uid="{00000000-0005-0000-0000-0000A5740000}"/>
    <cellStyle name="Normal 2 6 3 6 3 8" xfId="29859" xr:uid="{00000000-0005-0000-0000-0000A6740000}"/>
    <cellStyle name="Normal 2 6 3 6 3 9" xfId="29860" xr:uid="{00000000-0005-0000-0000-0000A7740000}"/>
    <cellStyle name="Normal 2 6 3 6 4" xfId="29861" xr:uid="{00000000-0005-0000-0000-0000A8740000}"/>
    <cellStyle name="Normal 2 6 3 6 4 2" xfId="29862" xr:uid="{00000000-0005-0000-0000-0000A9740000}"/>
    <cellStyle name="Normal 2 6 3 6 4 2 2" xfId="29863" xr:uid="{00000000-0005-0000-0000-0000AA740000}"/>
    <cellStyle name="Normal 2 6 3 6 4 2 3" xfId="29864" xr:uid="{00000000-0005-0000-0000-0000AB740000}"/>
    <cellStyle name="Normal 2 6 3 6 4 3" xfId="29865" xr:uid="{00000000-0005-0000-0000-0000AC740000}"/>
    <cellStyle name="Normal 2 6 3 6 4 4" xfId="29866" xr:uid="{00000000-0005-0000-0000-0000AD740000}"/>
    <cellStyle name="Normal 2 6 3 6 4 5" xfId="29867" xr:uid="{00000000-0005-0000-0000-0000AE740000}"/>
    <cellStyle name="Normal 2 6 3 6 4 6" xfId="29868" xr:uid="{00000000-0005-0000-0000-0000AF740000}"/>
    <cellStyle name="Normal 2 6 3 6 5" xfId="29869" xr:uid="{00000000-0005-0000-0000-0000B0740000}"/>
    <cellStyle name="Normal 2 6 3 6 5 2" xfId="29870" xr:uid="{00000000-0005-0000-0000-0000B1740000}"/>
    <cellStyle name="Normal 2 6 3 6 5 2 2" xfId="29871" xr:uid="{00000000-0005-0000-0000-0000B2740000}"/>
    <cellStyle name="Normal 2 6 3 6 5 3" xfId="29872" xr:uid="{00000000-0005-0000-0000-0000B3740000}"/>
    <cellStyle name="Normal 2 6 3 6 5 4" xfId="29873" xr:uid="{00000000-0005-0000-0000-0000B4740000}"/>
    <cellStyle name="Normal 2 6 3 6 5 5" xfId="29874" xr:uid="{00000000-0005-0000-0000-0000B5740000}"/>
    <cellStyle name="Normal 2 6 3 6 6" xfId="29875" xr:uid="{00000000-0005-0000-0000-0000B6740000}"/>
    <cellStyle name="Normal 2 6 3 6 6 2" xfId="29876" xr:uid="{00000000-0005-0000-0000-0000B7740000}"/>
    <cellStyle name="Normal 2 6 3 6 6 3" xfId="29877" xr:uid="{00000000-0005-0000-0000-0000B8740000}"/>
    <cellStyle name="Normal 2 6 3 6 6 4" xfId="29878" xr:uid="{00000000-0005-0000-0000-0000B9740000}"/>
    <cellStyle name="Normal 2 6 3 6 7" xfId="29879" xr:uid="{00000000-0005-0000-0000-0000BA740000}"/>
    <cellStyle name="Normal 2 6 3 6 7 2" xfId="29880" xr:uid="{00000000-0005-0000-0000-0000BB740000}"/>
    <cellStyle name="Normal 2 6 3 6 8" xfId="29881" xr:uid="{00000000-0005-0000-0000-0000BC740000}"/>
    <cellStyle name="Normal 2 6 3 6 9" xfId="29882" xr:uid="{00000000-0005-0000-0000-0000BD740000}"/>
    <cellStyle name="Normal 2 6 3 7" xfId="29883" xr:uid="{00000000-0005-0000-0000-0000BE740000}"/>
    <cellStyle name="Normal 2 6 3 7 10" xfId="29884" xr:uid="{00000000-0005-0000-0000-0000BF740000}"/>
    <cellStyle name="Normal 2 6 3 7 11" xfId="29885" xr:uid="{00000000-0005-0000-0000-0000C0740000}"/>
    <cellStyle name="Normal 2 6 3 7 2" xfId="29886" xr:uid="{00000000-0005-0000-0000-0000C1740000}"/>
    <cellStyle name="Normal 2 6 3 7 2 2" xfId="29887" xr:uid="{00000000-0005-0000-0000-0000C2740000}"/>
    <cellStyle name="Normal 2 6 3 7 2 2 2" xfId="29888" xr:uid="{00000000-0005-0000-0000-0000C3740000}"/>
    <cellStyle name="Normal 2 6 3 7 2 2 2 2" xfId="29889" xr:uid="{00000000-0005-0000-0000-0000C4740000}"/>
    <cellStyle name="Normal 2 6 3 7 2 2 2 3" xfId="29890" xr:uid="{00000000-0005-0000-0000-0000C5740000}"/>
    <cellStyle name="Normal 2 6 3 7 2 2 3" xfId="29891" xr:uid="{00000000-0005-0000-0000-0000C6740000}"/>
    <cellStyle name="Normal 2 6 3 7 2 2 4" xfId="29892" xr:uid="{00000000-0005-0000-0000-0000C7740000}"/>
    <cellStyle name="Normal 2 6 3 7 2 2 5" xfId="29893" xr:uid="{00000000-0005-0000-0000-0000C8740000}"/>
    <cellStyle name="Normal 2 6 3 7 2 2 6" xfId="29894" xr:uid="{00000000-0005-0000-0000-0000C9740000}"/>
    <cellStyle name="Normal 2 6 3 7 2 3" xfId="29895" xr:uid="{00000000-0005-0000-0000-0000CA740000}"/>
    <cellStyle name="Normal 2 6 3 7 2 3 2" xfId="29896" xr:uid="{00000000-0005-0000-0000-0000CB740000}"/>
    <cellStyle name="Normal 2 6 3 7 2 3 2 2" xfId="29897" xr:uid="{00000000-0005-0000-0000-0000CC740000}"/>
    <cellStyle name="Normal 2 6 3 7 2 3 3" xfId="29898" xr:uid="{00000000-0005-0000-0000-0000CD740000}"/>
    <cellStyle name="Normal 2 6 3 7 2 3 4" xfId="29899" xr:uid="{00000000-0005-0000-0000-0000CE740000}"/>
    <cellStyle name="Normal 2 6 3 7 2 3 5" xfId="29900" xr:uid="{00000000-0005-0000-0000-0000CF740000}"/>
    <cellStyle name="Normal 2 6 3 7 2 4" xfId="29901" xr:uid="{00000000-0005-0000-0000-0000D0740000}"/>
    <cellStyle name="Normal 2 6 3 7 2 4 2" xfId="29902" xr:uid="{00000000-0005-0000-0000-0000D1740000}"/>
    <cellStyle name="Normal 2 6 3 7 2 4 3" xfId="29903" xr:uid="{00000000-0005-0000-0000-0000D2740000}"/>
    <cellStyle name="Normal 2 6 3 7 2 4 4" xfId="29904" xr:uid="{00000000-0005-0000-0000-0000D3740000}"/>
    <cellStyle name="Normal 2 6 3 7 2 5" xfId="29905" xr:uid="{00000000-0005-0000-0000-0000D4740000}"/>
    <cellStyle name="Normal 2 6 3 7 2 5 2" xfId="29906" xr:uid="{00000000-0005-0000-0000-0000D5740000}"/>
    <cellStyle name="Normal 2 6 3 7 2 6" xfId="29907" xr:uid="{00000000-0005-0000-0000-0000D6740000}"/>
    <cellStyle name="Normal 2 6 3 7 2 7" xfId="29908" xr:uid="{00000000-0005-0000-0000-0000D7740000}"/>
    <cellStyle name="Normal 2 6 3 7 2 8" xfId="29909" xr:uid="{00000000-0005-0000-0000-0000D8740000}"/>
    <cellStyle name="Normal 2 6 3 7 2 9" xfId="29910" xr:uid="{00000000-0005-0000-0000-0000D9740000}"/>
    <cellStyle name="Normal 2 6 3 7 3" xfId="29911" xr:uid="{00000000-0005-0000-0000-0000DA740000}"/>
    <cellStyle name="Normal 2 6 3 7 3 2" xfId="29912" xr:uid="{00000000-0005-0000-0000-0000DB740000}"/>
    <cellStyle name="Normal 2 6 3 7 3 2 2" xfId="29913" xr:uid="{00000000-0005-0000-0000-0000DC740000}"/>
    <cellStyle name="Normal 2 6 3 7 3 2 2 2" xfId="29914" xr:uid="{00000000-0005-0000-0000-0000DD740000}"/>
    <cellStyle name="Normal 2 6 3 7 3 2 2 3" xfId="29915" xr:uid="{00000000-0005-0000-0000-0000DE740000}"/>
    <cellStyle name="Normal 2 6 3 7 3 2 3" xfId="29916" xr:uid="{00000000-0005-0000-0000-0000DF740000}"/>
    <cellStyle name="Normal 2 6 3 7 3 2 4" xfId="29917" xr:uid="{00000000-0005-0000-0000-0000E0740000}"/>
    <cellStyle name="Normal 2 6 3 7 3 2 5" xfId="29918" xr:uid="{00000000-0005-0000-0000-0000E1740000}"/>
    <cellStyle name="Normal 2 6 3 7 3 2 6" xfId="29919" xr:uid="{00000000-0005-0000-0000-0000E2740000}"/>
    <cellStyle name="Normal 2 6 3 7 3 3" xfId="29920" xr:uid="{00000000-0005-0000-0000-0000E3740000}"/>
    <cellStyle name="Normal 2 6 3 7 3 3 2" xfId="29921" xr:uid="{00000000-0005-0000-0000-0000E4740000}"/>
    <cellStyle name="Normal 2 6 3 7 3 3 2 2" xfId="29922" xr:uid="{00000000-0005-0000-0000-0000E5740000}"/>
    <cellStyle name="Normal 2 6 3 7 3 3 3" xfId="29923" xr:uid="{00000000-0005-0000-0000-0000E6740000}"/>
    <cellStyle name="Normal 2 6 3 7 3 3 4" xfId="29924" xr:uid="{00000000-0005-0000-0000-0000E7740000}"/>
    <cellStyle name="Normal 2 6 3 7 3 3 5" xfId="29925" xr:uid="{00000000-0005-0000-0000-0000E8740000}"/>
    <cellStyle name="Normal 2 6 3 7 3 4" xfId="29926" xr:uid="{00000000-0005-0000-0000-0000E9740000}"/>
    <cellStyle name="Normal 2 6 3 7 3 4 2" xfId="29927" xr:uid="{00000000-0005-0000-0000-0000EA740000}"/>
    <cellStyle name="Normal 2 6 3 7 3 4 3" xfId="29928" xr:uid="{00000000-0005-0000-0000-0000EB740000}"/>
    <cellStyle name="Normal 2 6 3 7 3 4 4" xfId="29929" xr:uid="{00000000-0005-0000-0000-0000EC740000}"/>
    <cellStyle name="Normal 2 6 3 7 3 5" xfId="29930" xr:uid="{00000000-0005-0000-0000-0000ED740000}"/>
    <cellStyle name="Normal 2 6 3 7 3 5 2" xfId="29931" xr:uid="{00000000-0005-0000-0000-0000EE740000}"/>
    <cellStyle name="Normal 2 6 3 7 3 6" xfId="29932" xr:uid="{00000000-0005-0000-0000-0000EF740000}"/>
    <cellStyle name="Normal 2 6 3 7 3 7" xfId="29933" xr:uid="{00000000-0005-0000-0000-0000F0740000}"/>
    <cellStyle name="Normal 2 6 3 7 3 8" xfId="29934" xr:uid="{00000000-0005-0000-0000-0000F1740000}"/>
    <cellStyle name="Normal 2 6 3 7 3 9" xfId="29935" xr:uid="{00000000-0005-0000-0000-0000F2740000}"/>
    <cellStyle name="Normal 2 6 3 7 4" xfId="29936" xr:uid="{00000000-0005-0000-0000-0000F3740000}"/>
    <cellStyle name="Normal 2 6 3 7 4 2" xfId="29937" xr:uid="{00000000-0005-0000-0000-0000F4740000}"/>
    <cellStyle name="Normal 2 6 3 7 4 2 2" xfId="29938" xr:uid="{00000000-0005-0000-0000-0000F5740000}"/>
    <cellStyle name="Normal 2 6 3 7 4 2 3" xfId="29939" xr:uid="{00000000-0005-0000-0000-0000F6740000}"/>
    <cellStyle name="Normal 2 6 3 7 4 3" xfId="29940" xr:uid="{00000000-0005-0000-0000-0000F7740000}"/>
    <cellStyle name="Normal 2 6 3 7 4 4" xfId="29941" xr:uid="{00000000-0005-0000-0000-0000F8740000}"/>
    <cellStyle name="Normal 2 6 3 7 4 5" xfId="29942" xr:uid="{00000000-0005-0000-0000-0000F9740000}"/>
    <cellStyle name="Normal 2 6 3 7 4 6" xfId="29943" xr:uid="{00000000-0005-0000-0000-0000FA740000}"/>
    <cellStyle name="Normal 2 6 3 7 5" xfId="29944" xr:uid="{00000000-0005-0000-0000-0000FB740000}"/>
    <cellStyle name="Normal 2 6 3 7 5 2" xfId="29945" xr:uid="{00000000-0005-0000-0000-0000FC740000}"/>
    <cellStyle name="Normal 2 6 3 7 5 2 2" xfId="29946" xr:uid="{00000000-0005-0000-0000-0000FD740000}"/>
    <cellStyle name="Normal 2 6 3 7 5 3" xfId="29947" xr:uid="{00000000-0005-0000-0000-0000FE740000}"/>
    <cellStyle name="Normal 2 6 3 7 5 4" xfId="29948" xr:uid="{00000000-0005-0000-0000-0000FF740000}"/>
    <cellStyle name="Normal 2 6 3 7 5 5" xfId="29949" xr:uid="{00000000-0005-0000-0000-000000750000}"/>
    <cellStyle name="Normal 2 6 3 7 6" xfId="29950" xr:uid="{00000000-0005-0000-0000-000001750000}"/>
    <cellStyle name="Normal 2 6 3 7 6 2" xfId="29951" xr:uid="{00000000-0005-0000-0000-000002750000}"/>
    <cellStyle name="Normal 2 6 3 7 6 3" xfId="29952" xr:uid="{00000000-0005-0000-0000-000003750000}"/>
    <cellStyle name="Normal 2 6 3 7 6 4" xfId="29953" xr:uid="{00000000-0005-0000-0000-000004750000}"/>
    <cellStyle name="Normal 2 6 3 7 7" xfId="29954" xr:uid="{00000000-0005-0000-0000-000005750000}"/>
    <cellStyle name="Normal 2 6 3 7 7 2" xfId="29955" xr:uid="{00000000-0005-0000-0000-000006750000}"/>
    <cellStyle name="Normal 2 6 3 7 8" xfId="29956" xr:uid="{00000000-0005-0000-0000-000007750000}"/>
    <cellStyle name="Normal 2 6 3 7 9" xfId="29957" xr:uid="{00000000-0005-0000-0000-000008750000}"/>
    <cellStyle name="Normal 2 6 3 8" xfId="29958" xr:uid="{00000000-0005-0000-0000-000009750000}"/>
    <cellStyle name="Normal 2 6 3 8 10" xfId="29959" xr:uid="{00000000-0005-0000-0000-00000A750000}"/>
    <cellStyle name="Normal 2 6 3 8 2" xfId="29960" xr:uid="{00000000-0005-0000-0000-00000B750000}"/>
    <cellStyle name="Normal 2 6 3 8 2 2" xfId="29961" xr:uid="{00000000-0005-0000-0000-00000C750000}"/>
    <cellStyle name="Normal 2 6 3 8 2 2 2" xfId="29962" xr:uid="{00000000-0005-0000-0000-00000D750000}"/>
    <cellStyle name="Normal 2 6 3 8 2 2 3" xfId="29963" xr:uid="{00000000-0005-0000-0000-00000E750000}"/>
    <cellStyle name="Normal 2 6 3 8 2 3" xfId="29964" xr:uid="{00000000-0005-0000-0000-00000F750000}"/>
    <cellStyle name="Normal 2 6 3 8 2 4" xfId="29965" xr:uid="{00000000-0005-0000-0000-000010750000}"/>
    <cellStyle name="Normal 2 6 3 8 2 5" xfId="29966" xr:uid="{00000000-0005-0000-0000-000011750000}"/>
    <cellStyle name="Normal 2 6 3 8 2 6" xfId="29967" xr:uid="{00000000-0005-0000-0000-000012750000}"/>
    <cellStyle name="Normal 2 6 3 8 3" xfId="29968" xr:uid="{00000000-0005-0000-0000-000013750000}"/>
    <cellStyle name="Normal 2 6 3 8 3 2" xfId="29969" xr:uid="{00000000-0005-0000-0000-000014750000}"/>
    <cellStyle name="Normal 2 6 3 8 3 2 2" xfId="29970" xr:uid="{00000000-0005-0000-0000-000015750000}"/>
    <cellStyle name="Normal 2 6 3 8 3 2 3" xfId="29971" xr:uid="{00000000-0005-0000-0000-000016750000}"/>
    <cellStyle name="Normal 2 6 3 8 3 3" xfId="29972" xr:uid="{00000000-0005-0000-0000-000017750000}"/>
    <cellStyle name="Normal 2 6 3 8 3 4" xfId="29973" xr:uid="{00000000-0005-0000-0000-000018750000}"/>
    <cellStyle name="Normal 2 6 3 8 3 5" xfId="29974" xr:uid="{00000000-0005-0000-0000-000019750000}"/>
    <cellStyle name="Normal 2 6 3 8 3 6" xfId="29975" xr:uid="{00000000-0005-0000-0000-00001A750000}"/>
    <cellStyle name="Normal 2 6 3 8 4" xfId="29976" xr:uid="{00000000-0005-0000-0000-00001B750000}"/>
    <cellStyle name="Normal 2 6 3 8 4 2" xfId="29977" xr:uid="{00000000-0005-0000-0000-00001C750000}"/>
    <cellStyle name="Normal 2 6 3 8 4 2 2" xfId="29978" xr:uid="{00000000-0005-0000-0000-00001D750000}"/>
    <cellStyle name="Normal 2 6 3 8 4 3" xfId="29979" xr:uid="{00000000-0005-0000-0000-00001E750000}"/>
    <cellStyle name="Normal 2 6 3 8 4 4" xfId="29980" xr:uid="{00000000-0005-0000-0000-00001F750000}"/>
    <cellStyle name="Normal 2 6 3 8 4 5" xfId="29981" xr:uid="{00000000-0005-0000-0000-000020750000}"/>
    <cellStyle name="Normal 2 6 3 8 5" xfId="29982" xr:uid="{00000000-0005-0000-0000-000021750000}"/>
    <cellStyle name="Normal 2 6 3 8 5 2" xfId="29983" xr:uid="{00000000-0005-0000-0000-000022750000}"/>
    <cellStyle name="Normal 2 6 3 8 5 3" xfId="29984" xr:uid="{00000000-0005-0000-0000-000023750000}"/>
    <cellStyle name="Normal 2 6 3 8 5 4" xfId="29985" xr:uid="{00000000-0005-0000-0000-000024750000}"/>
    <cellStyle name="Normal 2 6 3 8 6" xfId="29986" xr:uid="{00000000-0005-0000-0000-000025750000}"/>
    <cellStyle name="Normal 2 6 3 8 6 2" xfId="29987" xr:uid="{00000000-0005-0000-0000-000026750000}"/>
    <cellStyle name="Normal 2 6 3 8 7" xfId="29988" xr:uid="{00000000-0005-0000-0000-000027750000}"/>
    <cellStyle name="Normal 2 6 3 8 8" xfId="29989" xr:uid="{00000000-0005-0000-0000-000028750000}"/>
    <cellStyle name="Normal 2 6 3 8 9" xfId="29990" xr:uid="{00000000-0005-0000-0000-000029750000}"/>
    <cellStyle name="Normal 2 6 3 9" xfId="29991" xr:uid="{00000000-0005-0000-0000-00002A750000}"/>
    <cellStyle name="Normal 2 6 3 9 10" xfId="29992" xr:uid="{00000000-0005-0000-0000-00002B750000}"/>
    <cellStyle name="Normal 2 6 3 9 2" xfId="29993" xr:uid="{00000000-0005-0000-0000-00002C750000}"/>
    <cellStyle name="Normal 2 6 3 9 2 2" xfId="29994" xr:uid="{00000000-0005-0000-0000-00002D750000}"/>
    <cellStyle name="Normal 2 6 3 9 2 2 2" xfId="29995" xr:uid="{00000000-0005-0000-0000-00002E750000}"/>
    <cellStyle name="Normal 2 6 3 9 2 2 3" xfId="29996" xr:uid="{00000000-0005-0000-0000-00002F750000}"/>
    <cellStyle name="Normal 2 6 3 9 2 3" xfId="29997" xr:uid="{00000000-0005-0000-0000-000030750000}"/>
    <cellStyle name="Normal 2 6 3 9 2 4" xfId="29998" xr:uid="{00000000-0005-0000-0000-000031750000}"/>
    <cellStyle name="Normal 2 6 3 9 2 5" xfId="29999" xr:uid="{00000000-0005-0000-0000-000032750000}"/>
    <cellStyle name="Normal 2 6 3 9 2 6" xfId="30000" xr:uid="{00000000-0005-0000-0000-000033750000}"/>
    <cellStyle name="Normal 2 6 3 9 3" xfId="30001" xr:uid="{00000000-0005-0000-0000-000034750000}"/>
    <cellStyle name="Normal 2 6 3 9 3 2" xfId="30002" xr:uid="{00000000-0005-0000-0000-000035750000}"/>
    <cellStyle name="Normal 2 6 3 9 3 2 2" xfId="30003" xr:uid="{00000000-0005-0000-0000-000036750000}"/>
    <cellStyle name="Normal 2 6 3 9 3 2 3" xfId="30004" xr:uid="{00000000-0005-0000-0000-000037750000}"/>
    <cellStyle name="Normal 2 6 3 9 3 3" xfId="30005" xr:uid="{00000000-0005-0000-0000-000038750000}"/>
    <cellStyle name="Normal 2 6 3 9 3 4" xfId="30006" xr:uid="{00000000-0005-0000-0000-000039750000}"/>
    <cellStyle name="Normal 2 6 3 9 3 5" xfId="30007" xr:uid="{00000000-0005-0000-0000-00003A750000}"/>
    <cellStyle name="Normal 2 6 3 9 3 6" xfId="30008" xr:uid="{00000000-0005-0000-0000-00003B750000}"/>
    <cellStyle name="Normal 2 6 3 9 4" xfId="30009" xr:uid="{00000000-0005-0000-0000-00003C750000}"/>
    <cellStyle name="Normal 2 6 3 9 4 2" xfId="30010" xr:uid="{00000000-0005-0000-0000-00003D750000}"/>
    <cellStyle name="Normal 2 6 3 9 4 2 2" xfId="30011" xr:uid="{00000000-0005-0000-0000-00003E750000}"/>
    <cellStyle name="Normal 2 6 3 9 4 3" xfId="30012" xr:uid="{00000000-0005-0000-0000-00003F750000}"/>
    <cellStyle name="Normal 2 6 3 9 4 4" xfId="30013" xr:uid="{00000000-0005-0000-0000-000040750000}"/>
    <cellStyle name="Normal 2 6 3 9 4 5" xfId="30014" xr:uid="{00000000-0005-0000-0000-000041750000}"/>
    <cellStyle name="Normal 2 6 3 9 5" xfId="30015" xr:uid="{00000000-0005-0000-0000-000042750000}"/>
    <cellStyle name="Normal 2 6 3 9 5 2" xfId="30016" xr:uid="{00000000-0005-0000-0000-000043750000}"/>
    <cellStyle name="Normal 2 6 3 9 5 3" xfId="30017" xr:uid="{00000000-0005-0000-0000-000044750000}"/>
    <cellStyle name="Normal 2 6 3 9 5 4" xfId="30018" xr:uid="{00000000-0005-0000-0000-000045750000}"/>
    <cellStyle name="Normal 2 6 3 9 6" xfId="30019" xr:uid="{00000000-0005-0000-0000-000046750000}"/>
    <cellStyle name="Normal 2 6 3 9 6 2" xfId="30020" xr:uid="{00000000-0005-0000-0000-000047750000}"/>
    <cellStyle name="Normal 2 6 3 9 7" xfId="30021" xr:uid="{00000000-0005-0000-0000-000048750000}"/>
    <cellStyle name="Normal 2 6 3 9 8" xfId="30022" xr:uid="{00000000-0005-0000-0000-000049750000}"/>
    <cellStyle name="Normal 2 6 3 9 9" xfId="30023" xr:uid="{00000000-0005-0000-0000-00004A750000}"/>
    <cellStyle name="Normal 2 6 30" xfId="30024" xr:uid="{00000000-0005-0000-0000-00004B750000}"/>
    <cellStyle name="Normal 2 6 30 2" xfId="30025" xr:uid="{00000000-0005-0000-0000-00004C750000}"/>
    <cellStyle name="Normal 2 6 30 2 2" xfId="30026" xr:uid="{00000000-0005-0000-0000-00004D750000}"/>
    <cellStyle name="Normal 2 6 30 2 2 2" xfId="30027" xr:uid="{00000000-0005-0000-0000-00004E750000}"/>
    <cellStyle name="Normal 2 6 30 2 2 3" xfId="30028" xr:uid="{00000000-0005-0000-0000-00004F750000}"/>
    <cellStyle name="Normal 2 6 30 2 3" xfId="30029" xr:uid="{00000000-0005-0000-0000-000050750000}"/>
    <cellStyle name="Normal 2 6 30 2 4" xfId="30030" xr:uid="{00000000-0005-0000-0000-000051750000}"/>
    <cellStyle name="Normal 2 6 30 2 5" xfId="30031" xr:uid="{00000000-0005-0000-0000-000052750000}"/>
    <cellStyle name="Normal 2 6 30 2 6" xfId="30032" xr:uid="{00000000-0005-0000-0000-000053750000}"/>
    <cellStyle name="Normal 2 6 30 3" xfId="30033" xr:uid="{00000000-0005-0000-0000-000054750000}"/>
    <cellStyle name="Normal 2 6 30 3 2" xfId="30034" xr:uid="{00000000-0005-0000-0000-000055750000}"/>
    <cellStyle name="Normal 2 6 30 3 2 2" xfId="30035" xr:uid="{00000000-0005-0000-0000-000056750000}"/>
    <cellStyle name="Normal 2 6 30 3 3" xfId="30036" xr:uid="{00000000-0005-0000-0000-000057750000}"/>
    <cellStyle name="Normal 2 6 30 3 4" xfId="30037" xr:uid="{00000000-0005-0000-0000-000058750000}"/>
    <cellStyle name="Normal 2 6 30 3 5" xfId="30038" xr:uid="{00000000-0005-0000-0000-000059750000}"/>
    <cellStyle name="Normal 2 6 30 4" xfId="30039" xr:uid="{00000000-0005-0000-0000-00005A750000}"/>
    <cellStyle name="Normal 2 6 30 4 2" xfId="30040" xr:uid="{00000000-0005-0000-0000-00005B750000}"/>
    <cellStyle name="Normal 2 6 30 4 3" xfId="30041" xr:uid="{00000000-0005-0000-0000-00005C750000}"/>
    <cellStyle name="Normal 2 6 30 4 4" xfId="30042" xr:uid="{00000000-0005-0000-0000-00005D750000}"/>
    <cellStyle name="Normal 2 6 30 5" xfId="30043" xr:uid="{00000000-0005-0000-0000-00005E750000}"/>
    <cellStyle name="Normal 2 6 30 5 2" xfId="30044" xr:uid="{00000000-0005-0000-0000-00005F750000}"/>
    <cellStyle name="Normal 2 6 30 6" xfId="30045" xr:uid="{00000000-0005-0000-0000-000060750000}"/>
    <cellStyle name="Normal 2 6 30 7" xfId="30046" xr:uid="{00000000-0005-0000-0000-000061750000}"/>
    <cellStyle name="Normal 2 6 30 8" xfId="30047" xr:uid="{00000000-0005-0000-0000-000062750000}"/>
    <cellStyle name="Normal 2 6 30 9" xfId="30048" xr:uid="{00000000-0005-0000-0000-000063750000}"/>
    <cellStyle name="Normal 2 6 31" xfId="30049" xr:uid="{00000000-0005-0000-0000-000064750000}"/>
    <cellStyle name="Normal 2 6 31 2" xfId="30050" xr:uid="{00000000-0005-0000-0000-000065750000}"/>
    <cellStyle name="Normal 2 6 31 2 2" xfId="30051" xr:uid="{00000000-0005-0000-0000-000066750000}"/>
    <cellStyle name="Normal 2 6 31 2 2 2" xfId="30052" xr:uid="{00000000-0005-0000-0000-000067750000}"/>
    <cellStyle name="Normal 2 6 31 2 2 3" xfId="30053" xr:uid="{00000000-0005-0000-0000-000068750000}"/>
    <cellStyle name="Normal 2 6 31 2 3" xfId="30054" xr:uid="{00000000-0005-0000-0000-000069750000}"/>
    <cellStyle name="Normal 2 6 31 2 4" xfId="30055" xr:uid="{00000000-0005-0000-0000-00006A750000}"/>
    <cellStyle name="Normal 2 6 31 2 5" xfId="30056" xr:uid="{00000000-0005-0000-0000-00006B750000}"/>
    <cellStyle name="Normal 2 6 31 2 6" xfId="30057" xr:uid="{00000000-0005-0000-0000-00006C750000}"/>
    <cellStyle name="Normal 2 6 31 3" xfId="30058" xr:uid="{00000000-0005-0000-0000-00006D750000}"/>
    <cellStyle name="Normal 2 6 31 3 2" xfId="30059" xr:uid="{00000000-0005-0000-0000-00006E750000}"/>
    <cellStyle name="Normal 2 6 31 3 2 2" xfId="30060" xr:uid="{00000000-0005-0000-0000-00006F750000}"/>
    <cellStyle name="Normal 2 6 31 3 3" xfId="30061" xr:uid="{00000000-0005-0000-0000-000070750000}"/>
    <cellStyle name="Normal 2 6 31 3 4" xfId="30062" xr:uid="{00000000-0005-0000-0000-000071750000}"/>
    <cellStyle name="Normal 2 6 31 3 5" xfId="30063" xr:uid="{00000000-0005-0000-0000-000072750000}"/>
    <cellStyle name="Normal 2 6 31 4" xfId="30064" xr:uid="{00000000-0005-0000-0000-000073750000}"/>
    <cellStyle name="Normal 2 6 31 4 2" xfId="30065" xr:uid="{00000000-0005-0000-0000-000074750000}"/>
    <cellStyle name="Normal 2 6 31 4 3" xfId="30066" xr:uid="{00000000-0005-0000-0000-000075750000}"/>
    <cellStyle name="Normal 2 6 31 4 4" xfId="30067" xr:uid="{00000000-0005-0000-0000-000076750000}"/>
    <cellStyle name="Normal 2 6 31 5" xfId="30068" xr:uid="{00000000-0005-0000-0000-000077750000}"/>
    <cellStyle name="Normal 2 6 31 5 2" xfId="30069" xr:uid="{00000000-0005-0000-0000-000078750000}"/>
    <cellStyle name="Normal 2 6 31 6" xfId="30070" xr:uid="{00000000-0005-0000-0000-000079750000}"/>
    <cellStyle name="Normal 2 6 31 7" xfId="30071" xr:uid="{00000000-0005-0000-0000-00007A750000}"/>
    <cellStyle name="Normal 2 6 31 8" xfId="30072" xr:uid="{00000000-0005-0000-0000-00007B750000}"/>
    <cellStyle name="Normal 2 6 31 9" xfId="30073" xr:uid="{00000000-0005-0000-0000-00007C750000}"/>
    <cellStyle name="Normal 2 6 32" xfId="30074" xr:uid="{00000000-0005-0000-0000-00007D750000}"/>
    <cellStyle name="Normal 2 6 32 2" xfId="30075" xr:uid="{00000000-0005-0000-0000-00007E750000}"/>
    <cellStyle name="Normal 2 6 32 2 2" xfId="30076" xr:uid="{00000000-0005-0000-0000-00007F750000}"/>
    <cellStyle name="Normal 2 6 32 2 3" xfId="30077" xr:uid="{00000000-0005-0000-0000-000080750000}"/>
    <cellStyle name="Normal 2 6 32 3" xfId="30078" xr:uid="{00000000-0005-0000-0000-000081750000}"/>
    <cellStyle name="Normal 2 6 32 4" xfId="30079" xr:uid="{00000000-0005-0000-0000-000082750000}"/>
    <cellStyle name="Normal 2 6 32 5" xfId="30080" xr:uid="{00000000-0005-0000-0000-000083750000}"/>
    <cellStyle name="Normal 2 6 32 6" xfId="30081" xr:uid="{00000000-0005-0000-0000-000084750000}"/>
    <cellStyle name="Normal 2 6 33" xfId="30082" xr:uid="{00000000-0005-0000-0000-000085750000}"/>
    <cellStyle name="Normal 2 6 33 2" xfId="30083" xr:uid="{00000000-0005-0000-0000-000086750000}"/>
    <cellStyle name="Normal 2 6 33 2 2" xfId="30084" xr:uid="{00000000-0005-0000-0000-000087750000}"/>
    <cellStyle name="Normal 2 6 33 3" xfId="30085" xr:uid="{00000000-0005-0000-0000-000088750000}"/>
    <cellStyle name="Normal 2 6 33 4" xfId="30086" xr:uid="{00000000-0005-0000-0000-000089750000}"/>
    <cellStyle name="Normal 2 6 33 5" xfId="30087" xr:uid="{00000000-0005-0000-0000-00008A750000}"/>
    <cellStyle name="Normal 2 6 34" xfId="30088" xr:uid="{00000000-0005-0000-0000-00008B750000}"/>
    <cellStyle name="Normal 2 6 34 2" xfId="30089" xr:uid="{00000000-0005-0000-0000-00008C750000}"/>
    <cellStyle name="Normal 2 6 34 2 2" xfId="30090" xr:uid="{00000000-0005-0000-0000-00008D750000}"/>
    <cellStyle name="Normal 2 6 34 3" xfId="30091" xr:uid="{00000000-0005-0000-0000-00008E750000}"/>
    <cellStyle name="Normal 2 6 34 4" xfId="30092" xr:uid="{00000000-0005-0000-0000-00008F750000}"/>
    <cellStyle name="Normal 2 6 34 5" xfId="30093" xr:uid="{00000000-0005-0000-0000-000090750000}"/>
    <cellStyle name="Normal 2 6 35" xfId="30094" xr:uid="{00000000-0005-0000-0000-000091750000}"/>
    <cellStyle name="Normal 2 6 35 2" xfId="30095" xr:uid="{00000000-0005-0000-0000-000092750000}"/>
    <cellStyle name="Normal 2 6 36" xfId="30096" xr:uid="{00000000-0005-0000-0000-000093750000}"/>
    <cellStyle name="Normal 2 6 37" xfId="30097" xr:uid="{00000000-0005-0000-0000-000094750000}"/>
    <cellStyle name="Normal 2 6 38" xfId="30098" xr:uid="{00000000-0005-0000-0000-000095750000}"/>
    <cellStyle name="Normal 2 6 39" xfId="30099" xr:uid="{00000000-0005-0000-0000-000096750000}"/>
    <cellStyle name="Normal 2 6 4" xfId="30100" xr:uid="{00000000-0005-0000-0000-000097750000}"/>
    <cellStyle name="Normal 2 6 4 10" xfId="30101" xr:uid="{00000000-0005-0000-0000-000098750000}"/>
    <cellStyle name="Normal 2 6 4 10 10" xfId="30102" xr:uid="{00000000-0005-0000-0000-000099750000}"/>
    <cellStyle name="Normal 2 6 4 10 2" xfId="30103" xr:uid="{00000000-0005-0000-0000-00009A750000}"/>
    <cellStyle name="Normal 2 6 4 10 2 2" xfId="30104" xr:uid="{00000000-0005-0000-0000-00009B750000}"/>
    <cellStyle name="Normal 2 6 4 10 2 2 2" xfId="30105" xr:uid="{00000000-0005-0000-0000-00009C750000}"/>
    <cellStyle name="Normal 2 6 4 10 2 2 3" xfId="30106" xr:uid="{00000000-0005-0000-0000-00009D750000}"/>
    <cellStyle name="Normal 2 6 4 10 2 3" xfId="30107" xr:uid="{00000000-0005-0000-0000-00009E750000}"/>
    <cellStyle name="Normal 2 6 4 10 2 4" xfId="30108" xr:uid="{00000000-0005-0000-0000-00009F750000}"/>
    <cellStyle name="Normal 2 6 4 10 2 5" xfId="30109" xr:uid="{00000000-0005-0000-0000-0000A0750000}"/>
    <cellStyle name="Normal 2 6 4 10 2 6" xfId="30110" xr:uid="{00000000-0005-0000-0000-0000A1750000}"/>
    <cellStyle name="Normal 2 6 4 10 3" xfId="30111" xr:uid="{00000000-0005-0000-0000-0000A2750000}"/>
    <cellStyle name="Normal 2 6 4 10 3 2" xfId="30112" xr:uid="{00000000-0005-0000-0000-0000A3750000}"/>
    <cellStyle name="Normal 2 6 4 10 3 2 2" xfId="30113" xr:uid="{00000000-0005-0000-0000-0000A4750000}"/>
    <cellStyle name="Normal 2 6 4 10 3 2 3" xfId="30114" xr:uid="{00000000-0005-0000-0000-0000A5750000}"/>
    <cellStyle name="Normal 2 6 4 10 3 3" xfId="30115" xr:uid="{00000000-0005-0000-0000-0000A6750000}"/>
    <cellStyle name="Normal 2 6 4 10 3 4" xfId="30116" xr:uid="{00000000-0005-0000-0000-0000A7750000}"/>
    <cellStyle name="Normal 2 6 4 10 3 5" xfId="30117" xr:uid="{00000000-0005-0000-0000-0000A8750000}"/>
    <cellStyle name="Normal 2 6 4 10 3 6" xfId="30118" xr:uid="{00000000-0005-0000-0000-0000A9750000}"/>
    <cellStyle name="Normal 2 6 4 10 4" xfId="30119" xr:uid="{00000000-0005-0000-0000-0000AA750000}"/>
    <cellStyle name="Normal 2 6 4 10 4 2" xfId="30120" xr:uid="{00000000-0005-0000-0000-0000AB750000}"/>
    <cellStyle name="Normal 2 6 4 10 4 2 2" xfId="30121" xr:uid="{00000000-0005-0000-0000-0000AC750000}"/>
    <cellStyle name="Normal 2 6 4 10 4 3" xfId="30122" xr:uid="{00000000-0005-0000-0000-0000AD750000}"/>
    <cellStyle name="Normal 2 6 4 10 4 4" xfId="30123" xr:uid="{00000000-0005-0000-0000-0000AE750000}"/>
    <cellStyle name="Normal 2 6 4 10 4 5" xfId="30124" xr:uid="{00000000-0005-0000-0000-0000AF750000}"/>
    <cellStyle name="Normal 2 6 4 10 5" xfId="30125" xr:uid="{00000000-0005-0000-0000-0000B0750000}"/>
    <cellStyle name="Normal 2 6 4 10 5 2" xfId="30126" xr:uid="{00000000-0005-0000-0000-0000B1750000}"/>
    <cellStyle name="Normal 2 6 4 10 5 3" xfId="30127" xr:uid="{00000000-0005-0000-0000-0000B2750000}"/>
    <cellStyle name="Normal 2 6 4 10 5 4" xfId="30128" xr:uid="{00000000-0005-0000-0000-0000B3750000}"/>
    <cellStyle name="Normal 2 6 4 10 6" xfId="30129" xr:uid="{00000000-0005-0000-0000-0000B4750000}"/>
    <cellStyle name="Normal 2 6 4 10 6 2" xfId="30130" xr:uid="{00000000-0005-0000-0000-0000B5750000}"/>
    <cellStyle name="Normal 2 6 4 10 7" xfId="30131" xr:uid="{00000000-0005-0000-0000-0000B6750000}"/>
    <cellStyle name="Normal 2 6 4 10 8" xfId="30132" xr:uid="{00000000-0005-0000-0000-0000B7750000}"/>
    <cellStyle name="Normal 2 6 4 10 9" xfId="30133" xr:uid="{00000000-0005-0000-0000-0000B8750000}"/>
    <cellStyle name="Normal 2 6 4 11" xfId="30134" xr:uid="{00000000-0005-0000-0000-0000B9750000}"/>
    <cellStyle name="Normal 2 6 4 11 10" xfId="30135" xr:uid="{00000000-0005-0000-0000-0000BA750000}"/>
    <cellStyle name="Normal 2 6 4 11 2" xfId="30136" xr:uid="{00000000-0005-0000-0000-0000BB750000}"/>
    <cellStyle name="Normal 2 6 4 11 2 2" xfId="30137" xr:uid="{00000000-0005-0000-0000-0000BC750000}"/>
    <cellStyle name="Normal 2 6 4 11 2 2 2" xfId="30138" xr:uid="{00000000-0005-0000-0000-0000BD750000}"/>
    <cellStyle name="Normal 2 6 4 11 2 2 3" xfId="30139" xr:uid="{00000000-0005-0000-0000-0000BE750000}"/>
    <cellStyle name="Normal 2 6 4 11 2 3" xfId="30140" xr:uid="{00000000-0005-0000-0000-0000BF750000}"/>
    <cellStyle name="Normal 2 6 4 11 2 4" xfId="30141" xr:uid="{00000000-0005-0000-0000-0000C0750000}"/>
    <cellStyle name="Normal 2 6 4 11 2 5" xfId="30142" xr:uid="{00000000-0005-0000-0000-0000C1750000}"/>
    <cellStyle name="Normal 2 6 4 11 2 6" xfId="30143" xr:uid="{00000000-0005-0000-0000-0000C2750000}"/>
    <cellStyle name="Normal 2 6 4 11 3" xfId="30144" xr:uid="{00000000-0005-0000-0000-0000C3750000}"/>
    <cellStyle name="Normal 2 6 4 11 3 2" xfId="30145" xr:uid="{00000000-0005-0000-0000-0000C4750000}"/>
    <cellStyle name="Normal 2 6 4 11 3 2 2" xfId="30146" xr:uid="{00000000-0005-0000-0000-0000C5750000}"/>
    <cellStyle name="Normal 2 6 4 11 3 2 3" xfId="30147" xr:uid="{00000000-0005-0000-0000-0000C6750000}"/>
    <cellStyle name="Normal 2 6 4 11 3 3" xfId="30148" xr:uid="{00000000-0005-0000-0000-0000C7750000}"/>
    <cellStyle name="Normal 2 6 4 11 3 4" xfId="30149" xr:uid="{00000000-0005-0000-0000-0000C8750000}"/>
    <cellStyle name="Normal 2 6 4 11 3 5" xfId="30150" xr:uid="{00000000-0005-0000-0000-0000C9750000}"/>
    <cellStyle name="Normal 2 6 4 11 3 6" xfId="30151" xr:uid="{00000000-0005-0000-0000-0000CA750000}"/>
    <cellStyle name="Normal 2 6 4 11 4" xfId="30152" xr:uid="{00000000-0005-0000-0000-0000CB750000}"/>
    <cellStyle name="Normal 2 6 4 11 4 2" xfId="30153" xr:uid="{00000000-0005-0000-0000-0000CC750000}"/>
    <cellStyle name="Normal 2 6 4 11 4 2 2" xfId="30154" xr:uid="{00000000-0005-0000-0000-0000CD750000}"/>
    <cellStyle name="Normal 2 6 4 11 4 3" xfId="30155" xr:uid="{00000000-0005-0000-0000-0000CE750000}"/>
    <cellStyle name="Normal 2 6 4 11 4 4" xfId="30156" xr:uid="{00000000-0005-0000-0000-0000CF750000}"/>
    <cellStyle name="Normal 2 6 4 11 4 5" xfId="30157" xr:uid="{00000000-0005-0000-0000-0000D0750000}"/>
    <cellStyle name="Normal 2 6 4 11 5" xfId="30158" xr:uid="{00000000-0005-0000-0000-0000D1750000}"/>
    <cellStyle name="Normal 2 6 4 11 5 2" xfId="30159" xr:uid="{00000000-0005-0000-0000-0000D2750000}"/>
    <cellStyle name="Normal 2 6 4 11 5 3" xfId="30160" xr:uid="{00000000-0005-0000-0000-0000D3750000}"/>
    <cellStyle name="Normal 2 6 4 11 5 4" xfId="30161" xr:uid="{00000000-0005-0000-0000-0000D4750000}"/>
    <cellStyle name="Normal 2 6 4 11 6" xfId="30162" xr:uid="{00000000-0005-0000-0000-0000D5750000}"/>
    <cellStyle name="Normal 2 6 4 11 6 2" xfId="30163" xr:uid="{00000000-0005-0000-0000-0000D6750000}"/>
    <cellStyle name="Normal 2 6 4 11 7" xfId="30164" xr:uid="{00000000-0005-0000-0000-0000D7750000}"/>
    <cellStyle name="Normal 2 6 4 11 8" xfId="30165" xr:uid="{00000000-0005-0000-0000-0000D8750000}"/>
    <cellStyle name="Normal 2 6 4 11 9" xfId="30166" xr:uid="{00000000-0005-0000-0000-0000D9750000}"/>
    <cellStyle name="Normal 2 6 4 12" xfId="30167" xr:uid="{00000000-0005-0000-0000-0000DA750000}"/>
    <cellStyle name="Normal 2 6 4 12 10" xfId="30168" xr:uid="{00000000-0005-0000-0000-0000DB750000}"/>
    <cellStyle name="Normal 2 6 4 12 2" xfId="30169" xr:uid="{00000000-0005-0000-0000-0000DC750000}"/>
    <cellStyle name="Normal 2 6 4 12 2 2" xfId="30170" xr:uid="{00000000-0005-0000-0000-0000DD750000}"/>
    <cellStyle name="Normal 2 6 4 12 2 2 2" xfId="30171" xr:uid="{00000000-0005-0000-0000-0000DE750000}"/>
    <cellStyle name="Normal 2 6 4 12 2 2 3" xfId="30172" xr:uid="{00000000-0005-0000-0000-0000DF750000}"/>
    <cellStyle name="Normal 2 6 4 12 2 3" xfId="30173" xr:uid="{00000000-0005-0000-0000-0000E0750000}"/>
    <cellStyle name="Normal 2 6 4 12 2 4" xfId="30174" xr:uid="{00000000-0005-0000-0000-0000E1750000}"/>
    <cellStyle name="Normal 2 6 4 12 2 5" xfId="30175" xr:uid="{00000000-0005-0000-0000-0000E2750000}"/>
    <cellStyle name="Normal 2 6 4 12 2 6" xfId="30176" xr:uid="{00000000-0005-0000-0000-0000E3750000}"/>
    <cellStyle name="Normal 2 6 4 12 3" xfId="30177" xr:uid="{00000000-0005-0000-0000-0000E4750000}"/>
    <cellStyle name="Normal 2 6 4 12 3 2" xfId="30178" xr:uid="{00000000-0005-0000-0000-0000E5750000}"/>
    <cellStyle name="Normal 2 6 4 12 3 2 2" xfId="30179" xr:uid="{00000000-0005-0000-0000-0000E6750000}"/>
    <cellStyle name="Normal 2 6 4 12 3 2 3" xfId="30180" xr:uid="{00000000-0005-0000-0000-0000E7750000}"/>
    <cellStyle name="Normal 2 6 4 12 3 3" xfId="30181" xr:uid="{00000000-0005-0000-0000-0000E8750000}"/>
    <cellStyle name="Normal 2 6 4 12 3 4" xfId="30182" xr:uid="{00000000-0005-0000-0000-0000E9750000}"/>
    <cellStyle name="Normal 2 6 4 12 3 5" xfId="30183" xr:uid="{00000000-0005-0000-0000-0000EA750000}"/>
    <cellStyle name="Normal 2 6 4 12 3 6" xfId="30184" xr:uid="{00000000-0005-0000-0000-0000EB750000}"/>
    <cellStyle name="Normal 2 6 4 12 4" xfId="30185" xr:uid="{00000000-0005-0000-0000-0000EC750000}"/>
    <cellStyle name="Normal 2 6 4 12 4 2" xfId="30186" xr:uid="{00000000-0005-0000-0000-0000ED750000}"/>
    <cellStyle name="Normal 2 6 4 12 4 2 2" xfId="30187" xr:uid="{00000000-0005-0000-0000-0000EE750000}"/>
    <cellStyle name="Normal 2 6 4 12 4 3" xfId="30188" xr:uid="{00000000-0005-0000-0000-0000EF750000}"/>
    <cellStyle name="Normal 2 6 4 12 4 4" xfId="30189" xr:uid="{00000000-0005-0000-0000-0000F0750000}"/>
    <cellStyle name="Normal 2 6 4 12 4 5" xfId="30190" xr:uid="{00000000-0005-0000-0000-0000F1750000}"/>
    <cellStyle name="Normal 2 6 4 12 5" xfId="30191" xr:uid="{00000000-0005-0000-0000-0000F2750000}"/>
    <cellStyle name="Normal 2 6 4 12 5 2" xfId="30192" xr:uid="{00000000-0005-0000-0000-0000F3750000}"/>
    <cellStyle name="Normal 2 6 4 12 5 3" xfId="30193" xr:uid="{00000000-0005-0000-0000-0000F4750000}"/>
    <cellStyle name="Normal 2 6 4 12 5 4" xfId="30194" xr:uid="{00000000-0005-0000-0000-0000F5750000}"/>
    <cellStyle name="Normal 2 6 4 12 6" xfId="30195" xr:uid="{00000000-0005-0000-0000-0000F6750000}"/>
    <cellStyle name="Normal 2 6 4 12 6 2" xfId="30196" xr:uid="{00000000-0005-0000-0000-0000F7750000}"/>
    <cellStyle name="Normal 2 6 4 12 7" xfId="30197" xr:uid="{00000000-0005-0000-0000-0000F8750000}"/>
    <cellStyle name="Normal 2 6 4 12 8" xfId="30198" xr:uid="{00000000-0005-0000-0000-0000F9750000}"/>
    <cellStyle name="Normal 2 6 4 12 9" xfId="30199" xr:uid="{00000000-0005-0000-0000-0000FA750000}"/>
    <cellStyle name="Normal 2 6 4 13" xfId="30200" xr:uid="{00000000-0005-0000-0000-0000FB750000}"/>
    <cellStyle name="Normal 2 6 4 13 2" xfId="30201" xr:uid="{00000000-0005-0000-0000-0000FC750000}"/>
    <cellStyle name="Normal 2 6 4 13 2 2" xfId="30202" xr:uid="{00000000-0005-0000-0000-0000FD750000}"/>
    <cellStyle name="Normal 2 6 4 13 2 2 2" xfId="30203" xr:uid="{00000000-0005-0000-0000-0000FE750000}"/>
    <cellStyle name="Normal 2 6 4 13 2 2 3" xfId="30204" xr:uid="{00000000-0005-0000-0000-0000FF750000}"/>
    <cellStyle name="Normal 2 6 4 13 2 3" xfId="30205" xr:uid="{00000000-0005-0000-0000-000000760000}"/>
    <cellStyle name="Normal 2 6 4 13 2 4" xfId="30206" xr:uid="{00000000-0005-0000-0000-000001760000}"/>
    <cellStyle name="Normal 2 6 4 13 2 5" xfId="30207" xr:uid="{00000000-0005-0000-0000-000002760000}"/>
    <cellStyle name="Normal 2 6 4 13 2 6" xfId="30208" xr:uid="{00000000-0005-0000-0000-000003760000}"/>
    <cellStyle name="Normal 2 6 4 13 3" xfId="30209" xr:uid="{00000000-0005-0000-0000-000004760000}"/>
    <cellStyle name="Normal 2 6 4 13 3 2" xfId="30210" xr:uid="{00000000-0005-0000-0000-000005760000}"/>
    <cellStyle name="Normal 2 6 4 13 3 2 2" xfId="30211" xr:uid="{00000000-0005-0000-0000-000006760000}"/>
    <cellStyle name="Normal 2 6 4 13 3 3" xfId="30212" xr:uid="{00000000-0005-0000-0000-000007760000}"/>
    <cellStyle name="Normal 2 6 4 13 3 4" xfId="30213" xr:uid="{00000000-0005-0000-0000-000008760000}"/>
    <cellStyle name="Normal 2 6 4 13 3 5" xfId="30214" xr:uid="{00000000-0005-0000-0000-000009760000}"/>
    <cellStyle name="Normal 2 6 4 13 4" xfId="30215" xr:uid="{00000000-0005-0000-0000-00000A760000}"/>
    <cellStyle name="Normal 2 6 4 13 4 2" xfId="30216" xr:uid="{00000000-0005-0000-0000-00000B760000}"/>
    <cellStyle name="Normal 2 6 4 13 4 3" xfId="30217" xr:uid="{00000000-0005-0000-0000-00000C760000}"/>
    <cellStyle name="Normal 2 6 4 13 4 4" xfId="30218" xr:uid="{00000000-0005-0000-0000-00000D760000}"/>
    <cellStyle name="Normal 2 6 4 13 5" xfId="30219" xr:uid="{00000000-0005-0000-0000-00000E760000}"/>
    <cellStyle name="Normal 2 6 4 13 5 2" xfId="30220" xr:uid="{00000000-0005-0000-0000-00000F760000}"/>
    <cellStyle name="Normal 2 6 4 13 6" xfId="30221" xr:uid="{00000000-0005-0000-0000-000010760000}"/>
    <cellStyle name="Normal 2 6 4 13 7" xfId="30222" xr:uid="{00000000-0005-0000-0000-000011760000}"/>
    <cellStyle name="Normal 2 6 4 13 8" xfId="30223" xr:uid="{00000000-0005-0000-0000-000012760000}"/>
    <cellStyle name="Normal 2 6 4 13 9" xfId="30224" xr:uid="{00000000-0005-0000-0000-000013760000}"/>
    <cellStyle name="Normal 2 6 4 14" xfId="30225" xr:uid="{00000000-0005-0000-0000-000014760000}"/>
    <cellStyle name="Normal 2 6 4 14 2" xfId="30226" xr:uid="{00000000-0005-0000-0000-000015760000}"/>
    <cellStyle name="Normal 2 6 4 14 2 2" xfId="30227" xr:uid="{00000000-0005-0000-0000-000016760000}"/>
    <cellStyle name="Normal 2 6 4 14 2 2 2" xfId="30228" xr:uid="{00000000-0005-0000-0000-000017760000}"/>
    <cellStyle name="Normal 2 6 4 14 2 2 3" xfId="30229" xr:uid="{00000000-0005-0000-0000-000018760000}"/>
    <cellStyle name="Normal 2 6 4 14 2 3" xfId="30230" xr:uid="{00000000-0005-0000-0000-000019760000}"/>
    <cellStyle name="Normal 2 6 4 14 2 4" xfId="30231" xr:uid="{00000000-0005-0000-0000-00001A760000}"/>
    <cellStyle name="Normal 2 6 4 14 2 5" xfId="30232" xr:uid="{00000000-0005-0000-0000-00001B760000}"/>
    <cellStyle name="Normal 2 6 4 14 2 6" xfId="30233" xr:uid="{00000000-0005-0000-0000-00001C760000}"/>
    <cellStyle name="Normal 2 6 4 14 3" xfId="30234" xr:uid="{00000000-0005-0000-0000-00001D760000}"/>
    <cellStyle name="Normal 2 6 4 14 3 2" xfId="30235" xr:uid="{00000000-0005-0000-0000-00001E760000}"/>
    <cellStyle name="Normal 2 6 4 14 3 2 2" xfId="30236" xr:uid="{00000000-0005-0000-0000-00001F760000}"/>
    <cellStyle name="Normal 2 6 4 14 3 3" xfId="30237" xr:uid="{00000000-0005-0000-0000-000020760000}"/>
    <cellStyle name="Normal 2 6 4 14 3 4" xfId="30238" xr:uid="{00000000-0005-0000-0000-000021760000}"/>
    <cellStyle name="Normal 2 6 4 14 3 5" xfId="30239" xr:uid="{00000000-0005-0000-0000-000022760000}"/>
    <cellStyle name="Normal 2 6 4 14 4" xfId="30240" xr:uid="{00000000-0005-0000-0000-000023760000}"/>
    <cellStyle name="Normal 2 6 4 14 4 2" xfId="30241" xr:uid="{00000000-0005-0000-0000-000024760000}"/>
    <cellStyle name="Normal 2 6 4 14 4 3" xfId="30242" xr:uid="{00000000-0005-0000-0000-000025760000}"/>
    <cellStyle name="Normal 2 6 4 14 4 4" xfId="30243" xr:uid="{00000000-0005-0000-0000-000026760000}"/>
    <cellStyle name="Normal 2 6 4 14 5" xfId="30244" xr:uid="{00000000-0005-0000-0000-000027760000}"/>
    <cellStyle name="Normal 2 6 4 14 5 2" xfId="30245" xr:uid="{00000000-0005-0000-0000-000028760000}"/>
    <cellStyle name="Normal 2 6 4 14 6" xfId="30246" xr:uid="{00000000-0005-0000-0000-000029760000}"/>
    <cellStyle name="Normal 2 6 4 14 7" xfId="30247" xr:uid="{00000000-0005-0000-0000-00002A760000}"/>
    <cellStyle name="Normal 2 6 4 14 8" xfId="30248" xr:uid="{00000000-0005-0000-0000-00002B760000}"/>
    <cellStyle name="Normal 2 6 4 14 9" xfId="30249" xr:uid="{00000000-0005-0000-0000-00002C760000}"/>
    <cellStyle name="Normal 2 6 4 15" xfId="30250" xr:uid="{00000000-0005-0000-0000-00002D760000}"/>
    <cellStyle name="Normal 2 6 4 15 2" xfId="30251" xr:uid="{00000000-0005-0000-0000-00002E760000}"/>
    <cellStyle name="Normal 2 6 4 15 2 2" xfId="30252" xr:uid="{00000000-0005-0000-0000-00002F760000}"/>
    <cellStyle name="Normal 2 6 4 15 2 3" xfId="30253" xr:uid="{00000000-0005-0000-0000-000030760000}"/>
    <cellStyle name="Normal 2 6 4 15 3" xfId="30254" xr:uid="{00000000-0005-0000-0000-000031760000}"/>
    <cellStyle name="Normal 2 6 4 15 4" xfId="30255" xr:uid="{00000000-0005-0000-0000-000032760000}"/>
    <cellStyle name="Normal 2 6 4 15 5" xfId="30256" xr:uid="{00000000-0005-0000-0000-000033760000}"/>
    <cellStyle name="Normal 2 6 4 15 6" xfId="30257" xr:uid="{00000000-0005-0000-0000-000034760000}"/>
    <cellStyle name="Normal 2 6 4 16" xfId="30258" xr:uid="{00000000-0005-0000-0000-000035760000}"/>
    <cellStyle name="Normal 2 6 4 16 2" xfId="30259" xr:uid="{00000000-0005-0000-0000-000036760000}"/>
    <cellStyle name="Normal 2 6 4 16 2 2" xfId="30260" xr:uid="{00000000-0005-0000-0000-000037760000}"/>
    <cellStyle name="Normal 2 6 4 16 3" xfId="30261" xr:uid="{00000000-0005-0000-0000-000038760000}"/>
    <cellStyle name="Normal 2 6 4 16 4" xfId="30262" xr:uid="{00000000-0005-0000-0000-000039760000}"/>
    <cellStyle name="Normal 2 6 4 16 5" xfId="30263" xr:uid="{00000000-0005-0000-0000-00003A760000}"/>
    <cellStyle name="Normal 2 6 4 17" xfId="30264" xr:uid="{00000000-0005-0000-0000-00003B760000}"/>
    <cellStyle name="Normal 2 6 4 17 2" xfId="30265" xr:uid="{00000000-0005-0000-0000-00003C760000}"/>
    <cellStyle name="Normal 2 6 4 17 2 2" xfId="30266" xr:uid="{00000000-0005-0000-0000-00003D760000}"/>
    <cellStyle name="Normal 2 6 4 17 3" xfId="30267" xr:uid="{00000000-0005-0000-0000-00003E760000}"/>
    <cellStyle name="Normal 2 6 4 17 4" xfId="30268" xr:uid="{00000000-0005-0000-0000-00003F760000}"/>
    <cellStyle name="Normal 2 6 4 17 5" xfId="30269" xr:uid="{00000000-0005-0000-0000-000040760000}"/>
    <cellStyle name="Normal 2 6 4 18" xfId="30270" xr:uid="{00000000-0005-0000-0000-000041760000}"/>
    <cellStyle name="Normal 2 6 4 18 2" xfId="30271" xr:uid="{00000000-0005-0000-0000-000042760000}"/>
    <cellStyle name="Normal 2 6 4 19" xfId="30272" xr:uid="{00000000-0005-0000-0000-000043760000}"/>
    <cellStyle name="Normal 2 6 4 2" xfId="30273" xr:uid="{00000000-0005-0000-0000-000044760000}"/>
    <cellStyle name="Normal 2 6 4 2 10" xfId="30274" xr:uid="{00000000-0005-0000-0000-000045760000}"/>
    <cellStyle name="Normal 2 6 4 2 11" xfId="30275" xr:uid="{00000000-0005-0000-0000-000046760000}"/>
    <cellStyle name="Normal 2 6 4 2 2" xfId="30276" xr:uid="{00000000-0005-0000-0000-000047760000}"/>
    <cellStyle name="Normal 2 6 4 2 2 2" xfId="30277" xr:uid="{00000000-0005-0000-0000-000048760000}"/>
    <cellStyle name="Normal 2 6 4 2 2 2 2" xfId="30278" xr:uid="{00000000-0005-0000-0000-000049760000}"/>
    <cellStyle name="Normal 2 6 4 2 2 2 2 2" xfId="30279" xr:uid="{00000000-0005-0000-0000-00004A760000}"/>
    <cellStyle name="Normal 2 6 4 2 2 2 2 3" xfId="30280" xr:uid="{00000000-0005-0000-0000-00004B760000}"/>
    <cellStyle name="Normal 2 6 4 2 2 2 3" xfId="30281" xr:uid="{00000000-0005-0000-0000-00004C760000}"/>
    <cellStyle name="Normal 2 6 4 2 2 2 4" xfId="30282" xr:uid="{00000000-0005-0000-0000-00004D760000}"/>
    <cellStyle name="Normal 2 6 4 2 2 2 5" xfId="30283" xr:uid="{00000000-0005-0000-0000-00004E760000}"/>
    <cellStyle name="Normal 2 6 4 2 2 2 6" xfId="30284" xr:uid="{00000000-0005-0000-0000-00004F760000}"/>
    <cellStyle name="Normal 2 6 4 2 2 3" xfId="30285" xr:uid="{00000000-0005-0000-0000-000050760000}"/>
    <cellStyle name="Normal 2 6 4 2 2 3 2" xfId="30286" xr:uid="{00000000-0005-0000-0000-000051760000}"/>
    <cellStyle name="Normal 2 6 4 2 2 3 2 2" xfId="30287" xr:uid="{00000000-0005-0000-0000-000052760000}"/>
    <cellStyle name="Normal 2 6 4 2 2 3 3" xfId="30288" xr:uid="{00000000-0005-0000-0000-000053760000}"/>
    <cellStyle name="Normal 2 6 4 2 2 3 4" xfId="30289" xr:uid="{00000000-0005-0000-0000-000054760000}"/>
    <cellStyle name="Normal 2 6 4 2 2 3 5" xfId="30290" xr:uid="{00000000-0005-0000-0000-000055760000}"/>
    <cellStyle name="Normal 2 6 4 2 2 4" xfId="30291" xr:uid="{00000000-0005-0000-0000-000056760000}"/>
    <cellStyle name="Normal 2 6 4 2 2 4 2" xfId="30292" xr:uid="{00000000-0005-0000-0000-000057760000}"/>
    <cellStyle name="Normal 2 6 4 2 2 4 3" xfId="30293" xr:uid="{00000000-0005-0000-0000-000058760000}"/>
    <cellStyle name="Normal 2 6 4 2 2 4 4" xfId="30294" xr:uid="{00000000-0005-0000-0000-000059760000}"/>
    <cellStyle name="Normal 2 6 4 2 2 5" xfId="30295" xr:uid="{00000000-0005-0000-0000-00005A760000}"/>
    <cellStyle name="Normal 2 6 4 2 2 5 2" xfId="30296" xr:uid="{00000000-0005-0000-0000-00005B760000}"/>
    <cellStyle name="Normal 2 6 4 2 2 6" xfId="30297" xr:uid="{00000000-0005-0000-0000-00005C760000}"/>
    <cellStyle name="Normal 2 6 4 2 2 7" xfId="30298" xr:uid="{00000000-0005-0000-0000-00005D760000}"/>
    <cellStyle name="Normal 2 6 4 2 2 8" xfId="30299" xr:uid="{00000000-0005-0000-0000-00005E760000}"/>
    <cellStyle name="Normal 2 6 4 2 2 9" xfId="30300" xr:uid="{00000000-0005-0000-0000-00005F760000}"/>
    <cellStyle name="Normal 2 6 4 2 3" xfId="30301" xr:uid="{00000000-0005-0000-0000-000060760000}"/>
    <cellStyle name="Normal 2 6 4 2 3 2" xfId="30302" xr:uid="{00000000-0005-0000-0000-000061760000}"/>
    <cellStyle name="Normal 2 6 4 2 3 2 2" xfId="30303" xr:uid="{00000000-0005-0000-0000-000062760000}"/>
    <cellStyle name="Normal 2 6 4 2 3 2 2 2" xfId="30304" xr:uid="{00000000-0005-0000-0000-000063760000}"/>
    <cellStyle name="Normal 2 6 4 2 3 2 2 3" xfId="30305" xr:uid="{00000000-0005-0000-0000-000064760000}"/>
    <cellStyle name="Normal 2 6 4 2 3 2 3" xfId="30306" xr:uid="{00000000-0005-0000-0000-000065760000}"/>
    <cellStyle name="Normal 2 6 4 2 3 2 4" xfId="30307" xr:uid="{00000000-0005-0000-0000-000066760000}"/>
    <cellStyle name="Normal 2 6 4 2 3 2 5" xfId="30308" xr:uid="{00000000-0005-0000-0000-000067760000}"/>
    <cellStyle name="Normal 2 6 4 2 3 2 6" xfId="30309" xr:uid="{00000000-0005-0000-0000-000068760000}"/>
    <cellStyle name="Normal 2 6 4 2 3 3" xfId="30310" xr:uid="{00000000-0005-0000-0000-000069760000}"/>
    <cellStyle name="Normal 2 6 4 2 3 3 2" xfId="30311" xr:uid="{00000000-0005-0000-0000-00006A760000}"/>
    <cellStyle name="Normal 2 6 4 2 3 3 2 2" xfId="30312" xr:uid="{00000000-0005-0000-0000-00006B760000}"/>
    <cellStyle name="Normal 2 6 4 2 3 3 3" xfId="30313" xr:uid="{00000000-0005-0000-0000-00006C760000}"/>
    <cellStyle name="Normal 2 6 4 2 3 3 4" xfId="30314" xr:uid="{00000000-0005-0000-0000-00006D760000}"/>
    <cellStyle name="Normal 2 6 4 2 3 3 5" xfId="30315" xr:uid="{00000000-0005-0000-0000-00006E760000}"/>
    <cellStyle name="Normal 2 6 4 2 3 4" xfId="30316" xr:uid="{00000000-0005-0000-0000-00006F760000}"/>
    <cellStyle name="Normal 2 6 4 2 3 4 2" xfId="30317" xr:uid="{00000000-0005-0000-0000-000070760000}"/>
    <cellStyle name="Normal 2 6 4 2 3 4 3" xfId="30318" xr:uid="{00000000-0005-0000-0000-000071760000}"/>
    <cellStyle name="Normal 2 6 4 2 3 4 4" xfId="30319" xr:uid="{00000000-0005-0000-0000-000072760000}"/>
    <cellStyle name="Normal 2 6 4 2 3 5" xfId="30320" xr:uid="{00000000-0005-0000-0000-000073760000}"/>
    <cellStyle name="Normal 2 6 4 2 3 5 2" xfId="30321" xr:uid="{00000000-0005-0000-0000-000074760000}"/>
    <cellStyle name="Normal 2 6 4 2 3 6" xfId="30322" xr:uid="{00000000-0005-0000-0000-000075760000}"/>
    <cellStyle name="Normal 2 6 4 2 3 7" xfId="30323" xr:uid="{00000000-0005-0000-0000-000076760000}"/>
    <cellStyle name="Normal 2 6 4 2 3 8" xfId="30324" xr:uid="{00000000-0005-0000-0000-000077760000}"/>
    <cellStyle name="Normal 2 6 4 2 3 9" xfId="30325" xr:uid="{00000000-0005-0000-0000-000078760000}"/>
    <cellStyle name="Normal 2 6 4 2 4" xfId="30326" xr:uid="{00000000-0005-0000-0000-000079760000}"/>
    <cellStyle name="Normal 2 6 4 2 4 2" xfId="30327" xr:uid="{00000000-0005-0000-0000-00007A760000}"/>
    <cellStyle name="Normal 2 6 4 2 4 2 2" xfId="30328" xr:uid="{00000000-0005-0000-0000-00007B760000}"/>
    <cellStyle name="Normal 2 6 4 2 4 2 3" xfId="30329" xr:uid="{00000000-0005-0000-0000-00007C760000}"/>
    <cellStyle name="Normal 2 6 4 2 4 3" xfId="30330" xr:uid="{00000000-0005-0000-0000-00007D760000}"/>
    <cellStyle name="Normal 2 6 4 2 4 4" xfId="30331" xr:uid="{00000000-0005-0000-0000-00007E760000}"/>
    <cellStyle name="Normal 2 6 4 2 4 5" xfId="30332" xr:uid="{00000000-0005-0000-0000-00007F760000}"/>
    <cellStyle name="Normal 2 6 4 2 4 6" xfId="30333" xr:uid="{00000000-0005-0000-0000-000080760000}"/>
    <cellStyle name="Normal 2 6 4 2 5" xfId="30334" xr:uid="{00000000-0005-0000-0000-000081760000}"/>
    <cellStyle name="Normal 2 6 4 2 5 2" xfId="30335" xr:uid="{00000000-0005-0000-0000-000082760000}"/>
    <cellStyle name="Normal 2 6 4 2 5 2 2" xfId="30336" xr:uid="{00000000-0005-0000-0000-000083760000}"/>
    <cellStyle name="Normal 2 6 4 2 5 3" xfId="30337" xr:uid="{00000000-0005-0000-0000-000084760000}"/>
    <cellStyle name="Normal 2 6 4 2 5 4" xfId="30338" xr:uid="{00000000-0005-0000-0000-000085760000}"/>
    <cellStyle name="Normal 2 6 4 2 5 5" xfId="30339" xr:uid="{00000000-0005-0000-0000-000086760000}"/>
    <cellStyle name="Normal 2 6 4 2 6" xfId="30340" xr:uid="{00000000-0005-0000-0000-000087760000}"/>
    <cellStyle name="Normal 2 6 4 2 6 2" xfId="30341" xr:uid="{00000000-0005-0000-0000-000088760000}"/>
    <cellStyle name="Normal 2 6 4 2 6 3" xfId="30342" xr:uid="{00000000-0005-0000-0000-000089760000}"/>
    <cellStyle name="Normal 2 6 4 2 6 4" xfId="30343" xr:uid="{00000000-0005-0000-0000-00008A760000}"/>
    <cellStyle name="Normal 2 6 4 2 7" xfId="30344" xr:uid="{00000000-0005-0000-0000-00008B760000}"/>
    <cellStyle name="Normal 2 6 4 2 7 2" xfId="30345" xr:uid="{00000000-0005-0000-0000-00008C760000}"/>
    <cellStyle name="Normal 2 6 4 2 8" xfId="30346" xr:uid="{00000000-0005-0000-0000-00008D760000}"/>
    <cellStyle name="Normal 2 6 4 2 9" xfId="30347" xr:uid="{00000000-0005-0000-0000-00008E760000}"/>
    <cellStyle name="Normal 2 6 4 20" xfId="30348" xr:uid="{00000000-0005-0000-0000-00008F760000}"/>
    <cellStyle name="Normal 2 6 4 21" xfId="30349" xr:uid="{00000000-0005-0000-0000-000090760000}"/>
    <cellStyle name="Normal 2 6 4 22" xfId="30350" xr:uid="{00000000-0005-0000-0000-000091760000}"/>
    <cellStyle name="Normal 2 6 4 3" xfId="30351" xr:uid="{00000000-0005-0000-0000-000092760000}"/>
    <cellStyle name="Normal 2 6 4 3 10" xfId="30352" xr:uid="{00000000-0005-0000-0000-000093760000}"/>
    <cellStyle name="Normal 2 6 4 3 11" xfId="30353" xr:uid="{00000000-0005-0000-0000-000094760000}"/>
    <cellStyle name="Normal 2 6 4 3 2" xfId="30354" xr:uid="{00000000-0005-0000-0000-000095760000}"/>
    <cellStyle name="Normal 2 6 4 3 2 2" xfId="30355" xr:uid="{00000000-0005-0000-0000-000096760000}"/>
    <cellStyle name="Normal 2 6 4 3 2 2 2" xfId="30356" xr:uid="{00000000-0005-0000-0000-000097760000}"/>
    <cellStyle name="Normal 2 6 4 3 2 2 2 2" xfId="30357" xr:uid="{00000000-0005-0000-0000-000098760000}"/>
    <cellStyle name="Normal 2 6 4 3 2 2 2 3" xfId="30358" xr:uid="{00000000-0005-0000-0000-000099760000}"/>
    <cellStyle name="Normal 2 6 4 3 2 2 3" xfId="30359" xr:uid="{00000000-0005-0000-0000-00009A760000}"/>
    <cellStyle name="Normal 2 6 4 3 2 2 4" xfId="30360" xr:uid="{00000000-0005-0000-0000-00009B760000}"/>
    <cellStyle name="Normal 2 6 4 3 2 2 5" xfId="30361" xr:uid="{00000000-0005-0000-0000-00009C760000}"/>
    <cellStyle name="Normal 2 6 4 3 2 2 6" xfId="30362" xr:uid="{00000000-0005-0000-0000-00009D760000}"/>
    <cellStyle name="Normal 2 6 4 3 2 3" xfId="30363" xr:uid="{00000000-0005-0000-0000-00009E760000}"/>
    <cellStyle name="Normal 2 6 4 3 2 3 2" xfId="30364" xr:uid="{00000000-0005-0000-0000-00009F760000}"/>
    <cellStyle name="Normal 2 6 4 3 2 3 2 2" xfId="30365" xr:uid="{00000000-0005-0000-0000-0000A0760000}"/>
    <cellStyle name="Normal 2 6 4 3 2 3 3" xfId="30366" xr:uid="{00000000-0005-0000-0000-0000A1760000}"/>
    <cellStyle name="Normal 2 6 4 3 2 3 4" xfId="30367" xr:uid="{00000000-0005-0000-0000-0000A2760000}"/>
    <cellStyle name="Normal 2 6 4 3 2 3 5" xfId="30368" xr:uid="{00000000-0005-0000-0000-0000A3760000}"/>
    <cellStyle name="Normal 2 6 4 3 2 4" xfId="30369" xr:uid="{00000000-0005-0000-0000-0000A4760000}"/>
    <cellStyle name="Normal 2 6 4 3 2 4 2" xfId="30370" xr:uid="{00000000-0005-0000-0000-0000A5760000}"/>
    <cellStyle name="Normal 2 6 4 3 2 4 3" xfId="30371" xr:uid="{00000000-0005-0000-0000-0000A6760000}"/>
    <cellStyle name="Normal 2 6 4 3 2 4 4" xfId="30372" xr:uid="{00000000-0005-0000-0000-0000A7760000}"/>
    <cellStyle name="Normal 2 6 4 3 2 5" xfId="30373" xr:uid="{00000000-0005-0000-0000-0000A8760000}"/>
    <cellStyle name="Normal 2 6 4 3 2 5 2" xfId="30374" xr:uid="{00000000-0005-0000-0000-0000A9760000}"/>
    <cellStyle name="Normal 2 6 4 3 2 6" xfId="30375" xr:uid="{00000000-0005-0000-0000-0000AA760000}"/>
    <cellStyle name="Normal 2 6 4 3 2 7" xfId="30376" xr:uid="{00000000-0005-0000-0000-0000AB760000}"/>
    <cellStyle name="Normal 2 6 4 3 2 8" xfId="30377" xr:uid="{00000000-0005-0000-0000-0000AC760000}"/>
    <cellStyle name="Normal 2 6 4 3 2 9" xfId="30378" xr:uid="{00000000-0005-0000-0000-0000AD760000}"/>
    <cellStyle name="Normal 2 6 4 3 3" xfId="30379" xr:uid="{00000000-0005-0000-0000-0000AE760000}"/>
    <cellStyle name="Normal 2 6 4 3 3 2" xfId="30380" xr:uid="{00000000-0005-0000-0000-0000AF760000}"/>
    <cellStyle name="Normal 2 6 4 3 3 2 2" xfId="30381" xr:uid="{00000000-0005-0000-0000-0000B0760000}"/>
    <cellStyle name="Normal 2 6 4 3 3 2 2 2" xfId="30382" xr:uid="{00000000-0005-0000-0000-0000B1760000}"/>
    <cellStyle name="Normal 2 6 4 3 3 2 2 3" xfId="30383" xr:uid="{00000000-0005-0000-0000-0000B2760000}"/>
    <cellStyle name="Normal 2 6 4 3 3 2 3" xfId="30384" xr:uid="{00000000-0005-0000-0000-0000B3760000}"/>
    <cellStyle name="Normal 2 6 4 3 3 2 4" xfId="30385" xr:uid="{00000000-0005-0000-0000-0000B4760000}"/>
    <cellStyle name="Normal 2 6 4 3 3 2 5" xfId="30386" xr:uid="{00000000-0005-0000-0000-0000B5760000}"/>
    <cellStyle name="Normal 2 6 4 3 3 2 6" xfId="30387" xr:uid="{00000000-0005-0000-0000-0000B6760000}"/>
    <cellStyle name="Normal 2 6 4 3 3 3" xfId="30388" xr:uid="{00000000-0005-0000-0000-0000B7760000}"/>
    <cellStyle name="Normal 2 6 4 3 3 3 2" xfId="30389" xr:uid="{00000000-0005-0000-0000-0000B8760000}"/>
    <cellStyle name="Normal 2 6 4 3 3 3 2 2" xfId="30390" xr:uid="{00000000-0005-0000-0000-0000B9760000}"/>
    <cellStyle name="Normal 2 6 4 3 3 3 3" xfId="30391" xr:uid="{00000000-0005-0000-0000-0000BA760000}"/>
    <cellStyle name="Normal 2 6 4 3 3 3 4" xfId="30392" xr:uid="{00000000-0005-0000-0000-0000BB760000}"/>
    <cellStyle name="Normal 2 6 4 3 3 3 5" xfId="30393" xr:uid="{00000000-0005-0000-0000-0000BC760000}"/>
    <cellStyle name="Normal 2 6 4 3 3 4" xfId="30394" xr:uid="{00000000-0005-0000-0000-0000BD760000}"/>
    <cellStyle name="Normal 2 6 4 3 3 4 2" xfId="30395" xr:uid="{00000000-0005-0000-0000-0000BE760000}"/>
    <cellStyle name="Normal 2 6 4 3 3 4 3" xfId="30396" xr:uid="{00000000-0005-0000-0000-0000BF760000}"/>
    <cellStyle name="Normal 2 6 4 3 3 4 4" xfId="30397" xr:uid="{00000000-0005-0000-0000-0000C0760000}"/>
    <cellStyle name="Normal 2 6 4 3 3 5" xfId="30398" xr:uid="{00000000-0005-0000-0000-0000C1760000}"/>
    <cellStyle name="Normal 2 6 4 3 3 5 2" xfId="30399" xr:uid="{00000000-0005-0000-0000-0000C2760000}"/>
    <cellStyle name="Normal 2 6 4 3 3 6" xfId="30400" xr:uid="{00000000-0005-0000-0000-0000C3760000}"/>
    <cellStyle name="Normal 2 6 4 3 3 7" xfId="30401" xr:uid="{00000000-0005-0000-0000-0000C4760000}"/>
    <cellStyle name="Normal 2 6 4 3 3 8" xfId="30402" xr:uid="{00000000-0005-0000-0000-0000C5760000}"/>
    <cellStyle name="Normal 2 6 4 3 3 9" xfId="30403" xr:uid="{00000000-0005-0000-0000-0000C6760000}"/>
    <cellStyle name="Normal 2 6 4 3 4" xfId="30404" xr:uid="{00000000-0005-0000-0000-0000C7760000}"/>
    <cellStyle name="Normal 2 6 4 3 4 2" xfId="30405" xr:uid="{00000000-0005-0000-0000-0000C8760000}"/>
    <cellStyle name="Normal 2 6 4 3 4 2 2" xfId="30406" xr:uid="{00000000-0005-0000-0000-0000C9760000}"/>
    <cellStyle name="Normal 2 6 4 3 4 2 3" xfId="30407" xr:uid="{00000000-0005-0000-0000-0000CA760000}"/>
    <cellStyle name="Normal 2 6 4 3 4 3" xfId="30408" xr:uid="{00000000-0005-0000-0000-0000CB760000}"/>
    <cellStyle name="Normal 2 6 4 3 4 4" xfId="30409" xr:uid="{00000000-0005-0000-0000-0000CC760000}"/>
    <cellStyle name="Normal 2 6 4 3 4 5" xfId="30410" xr:uid="{00000000-0005-0000-0000-0000CD760000}"/>
    <cellStyle name="Normal 2 6 4 3 4 6" xfId="30411" xr:uid="{00000000-0005-0000-0000-0000CE760000}"/>
    <cellStyle name="Normal 2 6 4 3 5" xfId="30412" xr:uid="{00000000-0005-0000-0000-0000CF760000}"/>
    <cellStyle name="Normal 2 6 4 3 5 2" xfId="30413" xr:uid="{00000000-0005-0000-0000-0000D0760000}"/>
    <cellStyle name="Normal 2 6 4 3 5 2 2" xfId="30414" xr:uid="{00000000-0005-0000-0000-0000D1760000}"/>
    <cellStyle name="Normal 2 6 4 3 5 3" xfId="30415" xr:uid="{00000000-0005-0000-0000-0000D2760000}"/>
    <cellStyle name="Normal 2 6 4 3 5 4" xfId="30416" xr:uid="{00000000-0005-0000-0000-0000D3760000}"/>
    <cellStyle name="Normal 2 6 4 3 5 5" xfId="30417" xr:uid="{00000000-0005-0000-0000-0000D4760000}"/>
    <cellStyle name="Normal 2 6 4 3 6" xfId="30418" xr:uid="{00000000-0005-0000-0000-0000D5760000}"/>
    <cellStyle name="Normal 2 6 4 3 6 2" xfId="30419" xr:uid="{00000000-0005-0000-0000-0000D6760000}"/>
    <cellStyle name="Normal 2 6 4 3 6 3" xfId="30420" xr:uid="{00000000-0005-0000-0000-0000D7760000}"/>
    <cellStyle name="Normal 2 6 4 3 6 4" xfId="30421" xr:uid="{00000000-0005-0000-0000-0000D8760000}"/>
    <cellStyle name="Normal 2 6 4 3 7" xfId="30422" xr:uid="{00000000-0005-0000-0000-0000D9760000}"/>
    <cellStyle name="Normal 2 6 4 3 7 2" xfId="30423" xr:uid="{00000000-0005-0000-0000-0000DA760000}"/>
    <cellStyle name="Normal 2 6 4 3 8" xfId="30424" xr:uid="{00000000-0005-0000-0000-0000DB760000}"/>
    <cellStyle name="Normal 2 6 4 3 9" xfId="30425" xr:uid="{00000000-0005-0000-0000-0000DC760000}"/>
    <cellStyle name="Normal 2 6 4 4" xfId="30426" xr:uid="{00000000-0005-0000-0000-0000DD760000}"/>
    <cellStyle name="Normal 2 6 4 4 10" xfId="30427" xr:uid="{00000000-0005-0000-0000-0000DE760000}"/>
    <cellStyle name="Normal 2 6 4 4 11" xfId="30428" xr:uid="{00000000-0005-0000-0000-0000DF760000}"/>
    <cellStyle name="Normal 2 6 4 4 2" xfId="30429" xr:uid="{00000000-0005-0000-0000-0000E0760000}"/>
    <cellStyle name="Normal 2 6 4 4 2 2" xfId="30430" xr:uid="{00000000-0005-0000-0000-0000E1760000}"/>
    <cellStyle name="Normal 2 6 4 4 2 2 2" xfId="30431" xr:uid="{00000000-0005-0000-0000-0000E2760000}"/>
    <cellStyle name="Normal 2 6 4 4 2 2 2 2" xfId="30432" xr:uid="{00000000-0005-0000-0000-0000E3760000}"/>
    <cellStyle name="Normal 2 6 4 4 2 2 2 3" xfId="30433" xr:uid="{00000000-0005-0000-0000-0000E4760000}"/>
    <cellStyle name="Normal 2 6 4 4 2 2 3" xfId="30434" xr:uid="{00000000-0005-0000-0000-0000E5760000}"/>
    <cellStyle name="Normal 2 6 4 4 2 2 4" xfId="30435" xr:uid="{00000000-0005-0000-0000-0000E6760000}"/>
    <cellStyle name="Normal 2 6 4 4 2 2 5" xfId="30436" xr:uid="{00000000-0005-0000-0000-0000E7760000}"/>
    <cellStyle name="Normal 2 6 4 4 2 2 6" xfId="30437" xr:uid="{00000000-0005-0000-0000-0000E8760000}"/>
    <cellStyle name="Normal 2 6 4 4 2 3" xfId="30438" xr:uid="{00000000-0005-0000-0000-0000E9760000}"/>
    <cellStyle name="Normal 2 6 4 4 2 3 2" xfId="30439" xr:uid="{00000000-0005-0000-0000-0000EA760000}"/>
    <cellStyle name="Normal 2 6 4 4 2 3 2 2" xfId="30440" xr:uid="{00000000-0005-0000-0000-0000EB760000}"/>
    <cellStyle name="Normal 2 6 4 4 2 3 3" xfId="30441" xr:uid="{00000000-0005-0000-0000-0000EC760000}"/>
    <cellStyle name="Normal 2 6 4 4 2 3 4" xfId="30442" xr:uid="{00000000-0005-0000-0000-0000ED760000}"/>
    <cellStyle name="Normal 2 6 4 4 2 3 5" xfId="30443" xr:uid="{00000000-0005-0000-0000-0000EE760000}"/>
    <cellStyle name="Normal 2 6 4 4 2 4" xfId="30444" xr:uid="{00000000-0005-0000-0000-0000EF760000}"/>
    <cellStyle name="Normal 2 6 4 4 2 4 2" xfId="30445" xr:uid="{00000000-0005-0000-0000-0000F0760000}"/>
    <cellStyle name="Normal 2 6 4 4 2 4 3" xfId="30446" xr:uid="{00000000-0005-0000-0000-0000F1760000}"/>
    <cellStyle name="Normal 2 6 4 4 2 4 4" xfId="30447" xr:uid="{00000000-0005-0000-0000-0000F2760000}"/>
    <cellStyle name="Normal 2 6 4 4 2 5" xfId="30448" xr:uid="{00000000-0005-0000-0000-0000F3760000}"/>
    <cellStyle name="Normal 2 6 4 4 2 5 2" xfId="30449" xr:uid="{00000000-0005-0000-0000-0000F4760000}"/>
    <cellStyle name="Normal 2 6 4 4 2 6" xfId="30450" xr:uid="{00000000-0005-0000-0000-0000F5760000}"/>
    <cellStyle name="Normal 2 6 4 4 2 7" xfId="30451" xr:uid="{00000000-0005-0000-0000-0000F6760000}"/>
    <cellStyle name="Normal 2 6 4 4 2 8" xfId="30452" xr:uid="{00000000-0005-0000-0000-0000F7760000}"/>
    <cellStyle name="Normal 2 6 4 4 2 9" xfId="30453" xr:uid="{00000000-0005-0000-0000-0000F8760000}"/>
    <cellStyle name="Normal 2 6 4 4 3" xfId="30454" xr:uid="{00000000-0005-0000-0000-0000F9760000}"/>
    <cellStyle name="Normal 2 6 4 4 3 2" xfId="30455" xr:uid="{00000000-0005-0000-0000-0000FA760000}"/>
    <cellStyle name="Normal 2 6 4 4 3 2 2" xfId="30456" xr:uid="{00000000-0005-0000-0000-0000FB760000}"/>
    <cellStyle name="Normal 2 6 4 4 3 2 2 2" xfId="30457" xr:uid="{00000000-0005-0000-0000-0000FC760000}"/>
    <cellStyle name="Normal 2 6 4 4 3 2 2 3" xfId="30458" xr:uid="{00000000-0005-0000-0000-0000FD760000}"/>
    <cellStyle name="Normal 2 6 4 4 3 2 3" xfId="30459" xr:uid="{00000000-0005-0000-0000-0000FE760000}"/>
    <cellStyle name="Normal 2 6 4 4 3 2 4" xfId="30460" xr:uid="{00000000-0005-0000-0000-0000FF760000}"/>
    <cellStyle name="Normal 2 6 4 4 3 2 5" xfId="30461" xr:uid="{00000000-0005-0000-0000-000000770000}"/>
    <cellStyle name="Normal 2 6 4 4 3 2 6" xfId="30462" xr:uid="{00000000-0005-0000-0000-000001770000}"/>
    <cellStyle name="Normal 2 6 4 4 3 3" xfId="30463" xr:uid="{00000000-0005-0000-0000-000002770000}"/>
    <cellStyle name="Normal 2 6 4 4 3 3 2" xfId="30464" xr:uid="{00000000-0005-0000-0000-000003770000}"/>
    <cellStyle name="Normal 2 6 4 4 3 3 2 2" xfId="30465" xr:uid="{00000000-0005-0000-0000-000004770000}"/>
    <cellStyle name="Normal 2 6 4 4 3 3 3" xfId="30466" xr:uid="{00000000-0005-0000-0000-000005770000}"/>
    <cellStyle name="Normal 2 6 4 4 3 3 4" xfId="30467" xr:uid="{00000000-0005-0000-0000-000006770000}"/>
    <cellStyle name="Normal 2 6 4 4 3 3 5" xfId="30468" xr:uid="{00000000-0005-0000-0000-000007770000}"/>
    <cellStyle name="Normal 2 6 4 4 3 4" xfId="30469" xr:uid="{00000000-0005-0000-0000-000008770000}"/>
    <cellStyle name="Normal 2 6 4 4 3 4 2" xfId="30470" xr:uid="{00000000-0005-0000-0000-000009770000}"/>
    <cellStyle name="Normal 2 6 4 4 3 4 3" xfId="30471" xr:uid="{00000000-0005-0000-0000-00000A770000}"/>
    <cellStyle name="Normal 2 6 4 4 3 4 4" xfId="30472" xr:uid="{00000000-0005-0000-0000-00000B770000}"/>
    <cellStyle name="Normal 2 6 4 4 3 5" xfId="30473" xr:uid="{00000000-0005-0000-0000-00000C770000}"/>
    <cellStyle name="Normal 2 6 4 4 3 5 2" xfId="30474" xr:uid="{00000000-0005-0000-0000-00000D770000}"/>
    <cellStyle name="Normal 2 6 4 4 3 6" xfId="30475" xr:uid="{00000000-0005-0000-0000-00000E770000}"/>
    <cellStyle name="Normal 2 6 4 4 3 7" xfId="30476" xr:uid="{00000000-0005-0000-0000-00000F770000}"/>
    <cellStyle name="Normal 2 6 4 4 3 8" xfId="30477" xr:uid="{00000000-0005-0000-0000-000010770000}"/>
    <cellStyle name="Normal 2 6 4 4 3 9" xfId="30478" xr:uid="{00000000-0005-0000-0000-000011770000}"/>
    <cellStyle name="Normal 2 6 4 4 4" xfId="30479" xr:uid="{00000000-0005-0000-0000-000012770000}"/>
    <cellStyle name="Normal 2 6 4 4 4 2" xfId="30480" xr:uid="{00000000-0005-0000-0000-000013770000}"/>
    <cellStyle name="Normal 2 6 4 4 4 2 2" xfId="30481" xr:uid="{00000000-0005-0000-0000-000014770000}"/>
    <cellStyle name="Normal 2 6 4 4 4 2 3" xfId="30482" xr:uid="{00000000-0005-0000-0000-000015770000}"/>
    <cellStyle name="Normal 2 6 4 4 4 3" xfId="30483" xr:uid="{00000000-0005-0000-0000-000016770000}"/>
    <cellStyle name="Normal 2 6 4 4 4 4" xfId="30484" xr:uid="{00000000-0005-0000-0000-000017770000}"/>
    <cellStyle name="Normal 2 6 4 4 4 5" xfId="30485" xr:uid="{00000000-0005-0000-0000-000018770000}"/>
    <cellStyle name="Normal 2 6 4 4 4 6" xfId="30486" xr:uid="{00000000-0005-0000-0000-000019770000}"/>
    <cellStyle name="Normal 2 6 4 4 5" xfId="30487" xr:uid="{00000000-0005-0000-0000-00001A770000}"/>
    <cellStyle name="Normal 2 6 4 4 5 2" xfId="30488" xr:uid="{00000000-0005-0000-0000-00001B770000}"/>
    <cellStyle name="Normal 2 6 4 4 5 2 2" xfId="30489" xr:uid="{00000000-0005-0000-0000-00001C770000}"/>
    <cellStyle name="Normal 2 6 4 4 5 3" xfId="30490" xr:uid="{00000000-0005-0000-0000-00001D770000}"/>
    <cellStyle name="Normal 2 6 4 4 5 4" xfId="30491" xr:uid="{00000000-0005-0000-0000-00001E770000}"/>
    <cellStyle name="Normal 2 6 4 4 5 5" xfId="30492" xr:uid="{00000000-0005-0000-0000-00001F770000}"/>
    <cellStyle name="Normal 2 6 4 4 6" xfId="30493" xr:uid="{00000000-0005-0000-0000-000020770000}"/>
    <cellStyle name="Normal 2 6 4 4 6 2" xfId="30494" xr:uid="{00000000-0005-0000-0000-000021770000}"/>
    <cellStyle name="Normal 2 6 4 4 6 3" xfId="30495" xr:uid="{00000000-0005-0000-0000-000022770000}"/>
    <cellStyle name="Normal 2 6 4 4 6 4" xfId="30496" xr:uid="{00000000-0005-0000-0000-000023770000}"/>
    <cellStyle name="Normal 2 6 4 4 7" xfId="30497" xr:uid="{00000000-0005-0000-0000-000024770000}"/>
    <cellStyle name="Normal 2 6 4 4 7 2" xfId="30498" xr:uid="{00000000-0005-0000-0000-000025770000}"/>
    <cellStyle name="Normal 2 6 4 4 8" xfId="30499" xr:uid="{00000000-0005-0000-0000-000026770000}"/>
    <cellStyle name="Normal 2 6 4 4 9" xfId="30500" xr:uid="{00000000-0005-0000-0000-000027770000}"/>
    <cellStyle name="Normal 2 6 4 5" xfId="30501" xr:uid="{00000000-0005-0000-0000-000028770000}"/>
    <cellStyle name="Normal 2 6 4 5 10" xfId="30502" xr:uid="{00000000-0005-0000-0000-000029770000}"/>
    <cellStyle name="Normal 2 6 4 5 11" xfId="30503" xr:uid="{00000000-0005-0000-0000-00002A770000}"/>
    <cellStyle name="Normal 2 6 4 5 2" xfId="30504" xr:uid="{00000000-0005-0000-0000-00002B770000}"/>
    <cellStyle name="Normal 2 6 4 5 2 2" xfId="30505" xr:uid="{00000000-0005-0000-0000-00002C770000}"/>
    <cellStyle name="Normal 2 6 4 5 2 2 2" xfId="30506" xr:uid="{00000000-0005-0000-0000-00002D770000}"/>
    <cellStyle name="Normal 2 6 4 5 2 2 2 2" xfId="30507" xr:uid="{00000000-0005-0000-0000-00002E770000}"/>
    <cellStyle name="Normal 2 6 4 5 2 2 2 3" xfId="30508" xr:uid="{00000000-0005-0000-0000-00002F770000}"/>
    <cellStyle name="Normal 2 6 4 5 2 2 3" xfId="30509" xr:uid="{00000000-0005-0000-0000-000030770000}"/>
    <cellStyle name="Normal 2 6 4 5 2 2 4" xfId="30510" xr:uid="{00000000-0005-0000-0000-000031770000}"/>
    <cellStyle name="Normal 2 6 4 5 2 2 5" xfId="30511" xr:uid="{00000000-0005-0000-0000-000032770000}"/>
    <cellStyle name="Normal 2 6 4 5 2 2 6" xfId="30512" xr:uid="{00000000-0005-0000-0000-000033770000}"/>
    <cellStyle name="Normal 2 6 4 5 2 3" xfId="30513" xr:uid="{00000000-0005-0000-0000-000034770000}"/>
    <cellStyle name="Normal 2 6 4 5 2 3 2" xfId="30514" xr:uid="{00000000-0005-0000-0000-000035770000}"/>
    <cellStyle name="Normal 2 6 4 5 2 3 2 2" xfId="30515" xr:uid="{00000000-0005-0000-0000-000036770000}"/>
    <cellStyle name="Normal 2 6 4 5 2 3 3" xfId="30516" xr:uid="{00000000-0005-0000-0000-000037770000}"/>
    <cellStyle name="Normal 2 6 4 5 2 3 4" xfId="30517" xr:uid="{00000000-0005-0000-0000-000038770000}"/>
    <cellStyle name="Normal 2 6 4 5 2 3 5" xfId="30518" xr:uid="{00000000-0005-0000-0000-000039770000}"/>
    <cellStyle name="Normal 2 6 4 5 2 4" xfId="30519" xr:uid="{00000000-0005-0000-0000-00003A770000}"/>
    <cellStyle name="Normal 2 6 4 5 2 4 2" xfId="30520" xr:uid="{00000000-0005-0000-0000-00003B770000}"/>
    <cellStyle name="Normal 2 6 4 5 2 4 3" xfId="30521" xr:uid="{00000000-0005-0000-0000-00003C770000}"/>
    <cellStyle name="Normal 2 6 4 5 2 4 4" xfId="30522" xr:uid="{00000000-0005-0000-0000-00003D770000}"/>
    <cellStyle name="Normal 2 6 4 5 2 5" xfId="30523" xr:uid="{00000000-0005-0000-0000-00003E770000}"/>
    <cellStyle name="Normal 2 6 4 5 2 5 2" xfId="30524" xr:uid="{00000000-0005-0000-0000-00003F770000}"/>
    <cellStyle name="Normal 2 6 4 5 2 6" xfId="30525" xr:uid="{00000000-0005-0000-0000-000040770000}"/>
    <cellStyle name="Normal 2 6 4 5 2 7" xfId="30526" xr:uid="{00000000-0005-0000-0000-000041770000}"/>
    <cellStyle name="Normal 2 6 4 5 2 8" xfId="30527" xr:uid="{00000000-0005-0000-0000-000042770000}"/>
    <cellStyle name="Normal 2 6 4 5 2 9" xfId="30528" xr:uid="{00000000-0005-0000-0000-000043770000}"/>
    <cellStyle name="Normal 2 6 4 5 3" xfId="30529" xr:uid="{00000000-0005-0000-0000-000044770000}"/>
    <cellStyle name="Normal 2 6 4 5 3 2" xfId="30530" xr:uid="{00000000-0005-0000-0000-000045770000}"/>
    <cellStyle name="Normal 2 6 4 5 3 2 2" xfId="30531" xr:uid="{00000000-0005-0000-0000-000046770000}"/>
    <cellStyle name="Normal 2 6 4 5 3 2 2 2" xfId="30532" xr:uid="{00000000-0005-0000-0000-000047770000}"/>
    <cellStyle name="Normal 2 6 4 5 3 2 2 3" xfId="30533" xr:uid="{00000000-0005-0000-0000-000048770000}"/>
    <cellStyle name="Normal 2 6 4 5 3 2 3" xfId="30534" xr:uid="{00000000-0005-0000-0000-000049770000}"/>
    <cellStyle name="Normal 2 6 4 5 3 2 4" xfId="30535" xr:uid="{00000000-0005-0000-0000-00004A770000}"/>
    <cellStyle name="Normal 2 6 4 5 3 2 5" xfId="30536" xr:uid="{00000000-0005-0000-0000-00004B770000}"/>
    <cellStyle name="Normal 2 6 4 5 3 2 6" xfId="30537" xr:uid="{00000000-0005-0000-0000-00004C770000}"/>
    <cellStyle name="Normal 2 6 4 5 3 3" xfId="30538" xr:uid="{00000000-0005-0000-0000-00004D770000}"/>
    <cellStyle name="Normal 2 6 4 5 3 3 2" xfId="30539" xr:uid="{00000000-0005-0000-0000-00004E770000}"/>
    <cellStyle name="Normal 2 6 4 5 3 3 2 2" xfId="30540" xr:uid="{00000000-0005-0000-0000-00004F770000}"/>
    <cellStyle name="Normal 2 6 4 5 3 3 3" xfId="30541" xr:uid="{00000000-0005-0000-0000-000050770000}"/>
    <cellStyle name="Normal 2 6 4 5 3 3 4" xfId="30542" xr:uid="{00000000-0005-0000-0000-000051770000}"/>
    <cellStyle name="Normal 2 6 4 5 3 3 5" xfId="30543" xr:uid="{00000000-0005-0000-0000-000052770000}"/>
    <cellStyle name="Normal 2 6 4 5 3 4" xfId="30544" xr:uid="{00000000-0005-0000-0000-000053770000}"/>
    <cellStyle name="Normal 2 6 4 5 3 4 2" xfId="30545" xr:uid="{00000000-0005-0000-0000-000054770000}"/>
    <cellStyle name="Normal 2 6 4 5 3 4 3" xfId="30546" xr:uid="{00000000-0005-0000-0000-000055770000}"/>
    <cellStyle name="Normal 2 6 4 5 3 4 4" xfId="30547" xr:uid="{00000000-0005-0000-0000-000056770000}"/>
    <cellStyle name="Normal 2 6 4 5 3 5" xfId="30548" xr:uid="{00000000-0005-0000-0000-000057770000}"/>
    <cellStyle name="Normal 2 6 4 5 3 5 2" xfId="30549" xr:uid="{00000000-0005-0000-0000-000058770000}"/>
    <cellStyle name="Normal 2 6 4 5 3 6" xfId="30550" xr:uid="{00000000-0005-0000-0000-000059770000}"/>
    <cellStyle name="Normal 2 6 4 5 3 7" xfId="30551" xr:uid="{00000000-0005-0000-0000-00005A770000}"/>
    <cellStyle name="Normal 2 6 4 5 3 8" xfId="30552" xr:uid="{00000000-0005-0000-0000-00005B770000}"/>
    <cellStyle name="Normal 2 6 4 5 3 9" xfId="30553" xr:uid="{00000000-0005-0000-0000-00005C770000}"/>
    <cellStyle name="Normal 2 6 4 5 4" xfId="30554" xr:uid="{00000000-0005-0000-0000-00005D770000}"/>
    <cellStyle name="Normal 2 6 4 5 4 2" xfId="30555" xr:uid="{00000000-0005-0000-0000-00005E770000}"/>
    <cellStyle name="Normal 2 6 4 5 4 2 2" xfId="30556" xr:uid="{00000000-0005-0000-0000-00005F770000}"/>
    <cellStyle name="Normal 2 6 4 5 4 2 3" xfId="30557" xr:uid="{00000000-0005-0000-0000-000060770000}"/>
    <cellStyle name="Normal 2 6 4 5 4 3" xfId="30558" xr:uid="{00000000-0005-0000-0000-000061770000}"/>
    <cellStyle name="Normal 2 6 4 5 4 4" xfId="30559" xr:uid="{00000000-0005-0000-0000-000062770000}"/>
    <cellStyle name="Normal 2 6 4 5 4 5" xfId="30560" xr:uid="{00000000-0005-0000-0000-000063770000}"/>
    <cellStyle name="Normal 2 6 4 5 4 6" xfId="30561" xr:uid="{00000000-0005-0000-0000-000064770000}"/>
    <cellStyle name="Normal 2 6 4 5 5" xfId="30562" xr:uid="{00000000-0005-0000-0000-000065770000}"/>
    <cellStyle name="Normal 2 6 4 5 5 2" xfId="30563" xr:uid="{00000000-0005-0000-0000-000066770000}"/>
    <cellStyle name="Normal 2 6 4 5 5 2 2" xfId="30564" xr:uid="{00000000-0005-0000-0000-000067770000}"/>
    <cellStyle name="Normal 2 6 4 5 5 3" xfId="30565" xr:uid="{00000000-0005-0000-0000-000068770000}"/>
    <cellStyle name="Normal 2 6 4 5 5 4" xfId="30566" xr:uid="{00000000-0005-0000-0000-000069770000}"/>
    <cellStyle name="Normal 2 6 4 5 5 5" xfId="30567" xr:uid="{00000000-0005-0000-0000-00006A770000}"/>
    <cellStyle name="Normal 2 6 4 5 6" xfId="30568" xr:uid="{00000000-0005-0000-0000-00006B770000}"/>
    <cellStyle name="Normal 2 6 4 5 6 2" xfId="30569" xr:uid="{00000000-0005-0000-0000-00006C770000}"/>
    <cellStyle name="Normal 2 6 4 5 6 3" xfId="30570" xr:uid="{00000000-0005-0000-0000-00006D770000}"/>
    <cellStyle name="Normal 2 6 4 5 6 4" xfId="30571" xr:uid="{00000000-0005-0000-0000-00006E770000}"/>
    <cellStyle name="Normal 2 6 4 5 7" xfId="30572" xr:uid="{00000000-0005-0000-0000-00006F770000}"/>
    <cellStyle name="Normal 2 6 4 5 7 2" xfId="30573" xr:uid="{00000000-0005-0000-0000-000070770000}"/>
    <cellStyle name="Normal 2 6 4 5 8" xfId="30574" xr:uid="{00000000-0005-0000-0000-000071770000}"/>
    <cellStyle name="Normal 2 6 4 5 9" xfId="30575" xr:uid="{00000000-0005-0000-0000-000072770000}"/>
    <cellStyle name="Normal 2 6 4 6" xfId="30576" xr:uid="{00000000-0005-0000-0000-000073770000}"/>
    <cellStyle name="Normal 2 6 4 6 10" xfId="30577" xr:uid="{00000000-0005-0000-0000-000074770000}"/>
    <cellStyle name="Normal 2 6 4 6 11" xfId="30578" xr:uid="{00000000-0005-0000-0000-000075770000}"/>
    <cellStyle name="Normal 2 6 4 6 2" xfId="30579" xr:uid="{00000000-0005-0000-0000-000076770000}"/>
    <cellStyle name="Normal 2 6 4 6 2 2" xfId="30580" xr:uid="{00000000-0005-0000-0000-000077770000}"/>
    <cellStyle name="Normal 2 6 4 6 2 2 2" xfId="30581" xr:uid="{00000000-0005-0000-0000-000078770000}"/>
    <cellStyle name="Normal 2 6 4 6 2 2 2 2" xfId="30582" xr:uid="{00000000-0005-0000-0000-000079770000}"/>
    <cellStyle name="Normal 2 6 4 6 2 2 2 3" xfId="30583" xr:uid="{00000000-0005-0000-0000-00007A770000}"/>
    <cellStyle name="Normal 2 6 4 6 2 2 3" xfId="30584" xr:uid="{00000000-0005-0000-0000-00007B770000}"/>
    <cellStyle name="Normal 2 6 4 6 2 2 4" xfId="30585" xr:uid="{00000000-0005-0000-0000-00007C770000}"/>
    <cellStyle name="Normal 2 6 4 6 2 2 5" xfId="30586" xr:uid="{00000000-0005-0000-0000-00007D770000}"/>
    <cellStyle name="Normal 2 6 4 6 2 2 6" xfId="30587" xr:uid="{00000000-0005-0000-0000-00007E770000}"/>
    <cellStyle name="Normal 2 6 4 6 2 3" xfId="30588" xr:uid="{00000000-0005-0000-0000-00007F770000}"/>
    <cellStyle name="Normal 2 6 4 6 2 3 2" xfId="30589" xr:uid="{00000000-0005-0000-0000-000080770000}"/>
    <cellStyle name="Normal 2 6 4 6 2 3 2 2" xfId="30590" xr:uid="{00000000-0005-0000-0000-000081770000}"/>
    <cellStyle name="Normal 2 6 4 6 2 3 3" xfId="30591" xr:uid="{00000000-0005-0000-0000-000082770000}"/>
    <cellStyle name="Normal 2 6 4 6 2 3 4" xfId="30592" xr:uid="{00000000-0005-0000-0000-000083770000}"/>
    <cellStyle name="Normal 2 6 4 6 2 3 5" xfId="30593" xr:uid="{00000000-0005-0000-0000-000084770000}"/>
    <cellStyle name="Normal 2 6 4 6 2 4" xfId="30594" xr:uid="{00000000-0005-0000-0000-000085770000}"/>
    <cellStyle name="Normal 2 6 4 6 2 4 2" xfId="30595" xr:uid="{00000000-0005-0000-0000-000086770000}"/>
    <cellStyle name="Normal 2 6 4 6 2 4 3" xfId="30596" xr:uid="{00000000-0005-0000-0000-000087770000}"/>
    <cellStyle name="Normal 2 6 4 6 2 4 4" xfId="30597" xr:uid="{00000000-0005-0000-0000-000088770000}"/>
    <cellStyle name="Normal 2 6 4 6 2 5" xfId="30598" xr:uid="{00000000-0005-0000-0000-000089770000}"/>
    <cellStyle name="Normal 2 6 4 6 2 5 2" xfId="30599" xr:uid="{00000000-0005-0000-0000-00008A770000}"/>
    <cellStyle name="Normal 2 6 4 6 2 6" xfId="30600" xr:uid="{00000000-0005-0000-0000-00008B770000}"/>
    <cellStyle name="Normal 2 6 4 6 2 7" xfId="30601" xr:uid="{00000000-0005-0000-0000-00008C770000}"/>
    <cellStyle name="Normal 2 6 4 6 2 8" xfId="30602" xr:uid="{00000000-0005-0000-0000-00008D770000}"/>
    <cellStyle name="Normal 2 6 4 6 2 9" xfId="30603" xr:uid="{00000000-0005-0000-0000-00008E770000}"/>
    <cellStyle name="Normal 2 6 4 6 3" xfId="30604" xr:uid="{00000000-0005-0000-0000-00008F770000}"/>
    <cellStyle name="Normal 2 6 4 6 3 2" xfId="30605" xr:uid="{00000000-0005-0000-0000-000090770000}"/>
    <cellStyle name="Normal 2 6 4 6 3 2 2" xfId="30606" xr:uid="{00000000-0005-0000-0000-000091770000}"/>
    <cellStyle name="Normal 2 6 4 6 3 2 2 2" xfId="30607" xr:uid="{00000000-0005-0000-0000-000092770000}"/>
    <cellStyle name="Normal 2 6 4 6 3 2 2 3" xfId="30608" xr:uid="{00000000-0005-0000-0000-000093770000}"/>
    <cellStyle name="Normal 2 6 4 6 3 2 3" xfId="30609" xr:uid="{00000000-0005-0000-0000-000094770000}"/>
    <cellStyle name="Normal 2 6 4 6 3 2 4" xfId="30610" xr:uid="{00000000-0005-0000-0000-000095770000}"/>
    <cellStyle name="Normal 2 6 4 6 3 2 5" xfId="30611" xr:uid="{00000000-0005-0000-0000-000096770000}"/>
    <cellStyle name="Normal 2 6 4 6 3 2 6" xfId="30612" xr:uid="{00000000-0005-0000-0000-000097770000}"/>
    <cellStyle name="Normal 2 6 4 6 3 3" xfId="30613" xr:uid="{00000000-0005-0000-0000-000098770000}"/>
    <cellStyle name="Normal 2 6 4 6 3 3 2" xfId="30614" xr:uid="{00000000-0005-0000-0000-000099770000}"/>
    <cellStyle name="Normal 2 6 4 6 3 3 2 2" xfId="30615" xr:uid="{00000000-0005-0000-0000-00009A770000}"/>
    <cellStyle name="Normal 2 6 4 6 3 3 3" xfId="30616" xr:uid="{00000000-0005-0000-0000-00009B770000}"/>
    <cellStyle name="Normal 2 6 4 6 3 3 4" xfId="30617" xr:uid="{00000000-0005-0000-0000-00009C770000}"/>
    <cellStyle name="Normal 2 6 4 6 3 3 5" xfId="30618" xr:uid="{00000000-0005-0000-0000-00009D770000}"/>
    <cellStyle name="Normal 2 6 4 6 3 4" xfId="30619" xr:uid="{00000000-0005-0000-0000-00009E770000}"/>
    <cellStyle name="Normal 2 6 4 6 3 4 2" xfId="30620" xr:uid="{00000000-0005-0000-0000-00009F770000}"/>
    <cellStyle name="Normal 2 6 4 6 3 4 3" xfId="30621" xr:uid="{00000000-0005-0000-0000-0000A0770000}"/>
    <cellStyle name="Normal 2 6 4 6 3 4 4" xfId="30622" xr:uid="{00000000-0005-0000-0000-0000A1770000}"/>
    <cellStyle name="Normal 2 6 4 6 3 5" xfId="30623" xr:uid="{00000000-0005-0000-0000-0000A2770000}"/>
    <cellStyle name="Normal 2 6 4 6 3 5 2" xfId="30624" xr:uid="{00000000-0005-0000-0000-0000A3770000}"/>
    <cellStyle name="Normal 2 6 4 6 3 6" xfId="30625" xr:uid="{00000000-0005-0000-0000-0000A4770000}"/>
    <cellStyle name="Normal 2 6 4 6 3 7" xfId="30626" xr:uid="{00000000-0005-0000-0000-0000A5770000}"/>
    <cellStyle name="Normal 2 6 4 6 3 8" xfId="30627" xr:uid="{00000000-0005-0000-0000-0000A6770000}"/>
    <cellStyle name="Normal 2 6 4 6 3 9" xfId="30628" xr:uid="{00000000-0005-0000-0000-0000A7770000}"/>
    <cellStyle name="Normal 2 6 4 6 4" xfId="30629" xr:uid="{00000000-0005-0000-0000-0000A8770000}"/>
    <cellStyle name="Normal 2 6 4 6 4 2" xfId="30630" xr:uid="{00000000-0005-0000-0000-0000A9770000}"/>
    <cellStyle name="Normal 2 6 4 6 4 2 2" xfId="30631" xr:uid="{00000000-0005-0000-0000-0000AA770000}"/>
    <cellStyle name="Normal 2 6 4 6 4 2 3" xfId="30632" xr:uid="{00000000-0005-0000-0000-0000AB770000}"/>
    <cellStyle name="Normal 2 6 4 6 4 3" xfId="30633" xr:uid="{00000000-0005-0000-0000-0000AC770000}"/>
    <cellStyle name="Normal 2 6 4 6 4 4" xfId="30634" xr:uid="{00000000-0005-0000-0000-0000AD770000}"/>
    <cellStyle name="Normal 2 6 4 6 4 5" xfId="30635" xr:uid="{00000000-0005-0000-0000-0000AE770000}"/>
    <cellStyle name="Normal 2 6 4 6 4 6" xfId="30636" xr:uid="{00000000-0005-0000-0000-0000AF770000}"/>
    <cellStyle name="Normal 2 6 4 6 5" xfId="30637" xr:uid="{00000000-0005-0000-0000-0000B0770000}"/>
    <cellStyle name="Normal 2 6 4 6 5 2" xfId="30638" xr:uid="{00000000-0005-0000-0000-0000B1770000}"/>
    <cellStyle name="Normal 2 6 4 6 5 2 2" xfId="30639" xr:uid="{00000000-0005-0000-0000-0000B2770000}"/>
    <cellStyle name="Normal 2 6 4 6 5 3" xfId="30640" xr:uid="{00000000-0005-0000-0000-0000B3770000}"/>
    <cellStyle name="Normal 2 6 4 6 5 4" xfId="30641" xr:uid="{00000000-0005-0000-0000-0000B4770000}"/>
    <cellStyle name="Normal 2 6 4 6 5 5" xfId="30642" xr:uid="{00000000-0005-0000-0000-0000B5770000}"/>
    <cellStyle name="Normal 2 6 4 6 6" xfId="30643" xr:uid="{00000000-0005-0000-0000-0000B6770000}"/>
    <cellStyle name="Normal 2 6 4 6 6 2" xfId="30644" xr:uid="{00000000-0005-0000-0000-0000B7770000}"/>
    <cellStyle name="Normal 2 6 4 6 6 3" xfId="30645" xr:uid="{00000000-0005-0000-0000-0000B8770000}"/>
    <cellStyle name="Normal 2 6 4 6 6 4" xfId="30646" xr:uid="{00000000-0005-0000-0000-0000B9770000}"/>
    <cellStyle name="Normal 2 6 4 6 7" xfId="30647" xr:uid="{00000000-0005-0000-0000-0000BA770000}"/>
    <cellStyle name="Normal 2 6 4 6 7 2" xfId="30648" xr:uid="{00000000-0005-0000-0000-0000BB770000}"/>
    <cellStyle name="Normal 2 6 4 6 8" xfId="30649" xr:uid="{00000000-0005-0000-0000-0000BC770000}"/>
    <cellStyle name="Normal 2 6 4 6 9" xfId="30650" xr:uid="{00000000-0005-0000-0000-0000BD770000}"/>
    <cellStyle name="Normal 2 6 4 7" xfId="30651" xr:uid="{00000000-0005-0000-0000-0000BE770000}"/>
    <cellStyle name="Normal 2 6 4 7 10" xfId="30652" xr:uid="{00000000-0005-0000-0000-0000BF770000}"/>
    <cellStyle name="Normal 2 6 4 7 11" xfId="30653" xr:uid="{00000000-0005-0000-0000-0000C0770000}"/>
    <cellStyle name="Normal 2 6 4 7 2" xfId="30654" xr:uid="{00000000-0005-0000-0000-0000C1770000}"/>
    <cellStyle name="Normal 2 6 4 7 2 2" xfId="30655" xr:uid="{00000000-0005-0000-0000-0000C2770000}"/>
    <cellStyle name="Normal 2 6 4 7 2 2 2" xfId="30656" xr:uid="{00000000-0005-0000-0000-0000C3770000}"/>
    <cellStyle name="Normal 2 6 4 7 2 2 2 2" xfId="30657" xr:uid="{00000000-0005-0000-0000-0000C4770000}"/>
    <cellStyle name="Normal 2 6 4 7 2 2 2 3" xfId="30658" xr:uid="{00000000-0005-0000-0000-0000C5770000}"/>
    <cellStyle name="Normal 2 6 4 7 2 2 3" xfId="30659" xr:uid="{00000000-0005-0000-0000-0000C6770000}"/>
    <cellStyle name="Normal 2 6 4 7 2 2 4" xfId="30660" xr:uid="{00000000-0005-0000-0000-0000C7770000}"/>
    <cellStyle name="Normal 2 6 4 7 2 2 5" xfId="30661" xr:uid="{00000000-0005-0000-0000-0000C8770000}"/>
    <cellStyle name="Normal 2 6 4 7 2 2 6" xfId="30662" xr:uid="{00000000-0005-0000-0000-0000C9770000}"/>
    <cellStyle name="Normal 2 6 4 7 2 3" xfId="30663" xr:uid="{00000000-0005-0000-0000-0000CA770000}"/>
    <cellStyle name="Normal 2 6 4 7 2 3 2" xfId="30664" xr:uid="{00000000-0005-0000-0000-0000CB770000}"/>
    <cellStyle name="Normal 2 6 4 7 2 3 2 2" xfId="30665" xr:uid="{00000000-0005-0000-0000-0000CC770000}"/>
    <cellStyle name="Normal 2 6 4 7 2 3 3" xfId="30666" xr:uid="{00000000-0005-0000-0000-0000CD770000}"/>
    <cellStyle name="Normal 2 6 4 7 2 3 4" xfId="30667" xr:uid="{00000000-0005-0000-0000-0000CE770000}"/>
    <cellStyle name="Normal 2 6 4 7 2 3 5" xfId="30668" xr:uid="{00000000-0005-0000-0000-0000CF770000}"/>
    <cellStyle name="Normal 2 6 4 7 2 4" xfId="30669" xr:uid="{00000000-0005-0000-0000-0000D0770000}"/>
    <cellStyle name="Normal 2 6 4 7 2 4 2" xfId="30670" xr:uid="{00000000-0005-0000-0000-0000D1770000}"/>
    <cellStyle name="Normal 2 6 4 7 2 4 3" xfId="30671" xr:uid="{00000000-0005-0000-0000-0000D2770000}"/>
    <cellStyle name="Normal 2 6 4 7 2 4 4" xfId="30672" xr:uid="{00000000-0005-0000-0000-0000D3770000}"/>
    <cellStyle name="Normal 2 6 4 7 2 5" xfId="30673" xr:uid="{00000000-0005-0000-0000-0000D4770000}"/>
    <cellStyle name="Normal 2 6 4 7 2 5 2" xfId="30674" xr:uid="{00000000-0005-0000-0000-0000D5770000}"/>
    <cellStyle name="Normal 2 6 4 7 2 6" xfId="30675" xr:uid="{00000000-0005-0000-0000-0000D6770000}"/>
    <cellStyle name="Normal 2 6 4 7 2 7" xfId="30676" xr:uid="{00000000-0005-0000-0000-0000D7770000}"/>
    <cellStyle name="Normal 2 6 4 7 2 8" xfId="30677" xr:uid="{00000000-0005-0000-0000-0000D8770000}"/>
    <cellStyle name="Normal 2 6 4 7 2 9" xfId="30678" xr:uid="{00000000-0005-0000-0000-0000D9770000}"/>
    <cellStyle name="Normal 2 6 4 7 3" xfId="30679" xr:uid="{00000000-0005-0000-0000-0000DA770000}"/>
    <cellStyle name="Normal 2 6 4 7 3 2" xfId="30680" xr:uid="{00000000-0005-0000-0000-0000DB770000}"/>
    <cellStyle name="Normal 2 6 4 7 3 2 2" xfId="30681" xr:uid="{00000000-0005-0000-0000-0000DC770000}"/>
    <cellStyle name="Normal 2 6 4 7 3 2 2 2" xfId="30682" xr:uid="{00000000-0005-0000-0000-0000DD770000}"/>
    <cellStyle name="Normal 2 6 4 7 3 2 2 3" xfId="30683" xr:uid="{00000000-0005-0000-0000-0000DE770000}"/>
    <cellStyle name="Normal 2 6 4 7 3 2 3" xfId="30684" xr:uid="{00000000-0005-0000-0000-0000DF770000}"/>
    <cellStyle name="Normal 2 6 4 7 3 2 4" xfId="30685" xr:uid="{00000000-0005-0000-0000-0000E0770000}"/>
    <cellStyle name="Normal 2 6 4 7 3 2 5" xfId="30686" xr:uid="{00000000-0005-0000-0000-0000E1770000}"/>
    <cellStyle name="Normal 2 6 4 7 3 2 6" xfId="30687" xr:uid="{00000000-0005-0000-0000-0000E2770000}"/>
    <cellStyle name="Normal 2 6 4 7 3 3" xfId="30688" xr:uid="{00000000-0005-0000-0000-0000E3770000}"/>
    <cellStyle name="Normal 2 6 4 7 3 3 2" xfId="30689" xr:uid="{00000000-0005-0000-0000-0000E4770000}"/>
    <cellStyle name="Normal 2 6 4 7 3 3 2 2" xfId="30690" xr:uid="{00000000-0005-0000-0000-0000E5770000}"/>
    <cellStyle name="Normal 2 6 4 7 3 3 3" xfId="30691" xr:uid="{00000000-0005-0000-0000-0000E6770000}"/>
    <cellStyle name="Normal 2 6 4 7 3 3 4" xfId="30692" xr:uid="{00000000-0005-0000-0000-0000E7770000}"/>
    <cellStyle name="Normal 2 6 4 7 3 3 5" xfId="30693" xr:uid="{00000000-0005-0000-0000-0000E8770000}"/>
    <cellStyle name="Normal 2 6 4 7 3 4" xfId="30694" xr:uid="{00000000-0005-0000-0000-0000E9770000}"/>
    <cellStyle name="Normal 2 6 4 7 3 4 2" xfId="30695" xr:uid="{00000000-0005-0000-0000-0000EA770000}"/>
    <cellStyle name="Normal 2 6 4 7 3 4 3" xfId="30696" xr:uid="{00000000-0005-0000-0000-0000EB770000}"/>
    <cellStyle name="Normal 2 6 4 7 3 4 4" xfId="30697" xr:uid="{00000000-0005-0000-0000-0000EC770000}"/>
    <cellStyle name="Normal 2 6 4 7 3 5" xfId="30698" xr:uid="{00000000-0005-0000-0000-0000ED770000}"/>
    <cellStyle name="Normal 2 6 4 7 3 5 2" xfId="30699" xr:uid="{00000000-0005-0000-0000-0000EE770000}"/>
    <cellStyle name="Normal 2 6 4 7 3 6" xfId="30700" xr:uid="{00000000-0005-0000-0000-0000EF770000}"/>
    <cellStyle name="Normal 2 6 4 7 3 7" xfId="30701" xr:uid="{00000000-0005-0000-0000-0000F0770000}"/>
    <cellStyle name="Normal 2 6 4 7 3 8" xfId="30702" xr:uid="{00000000-0005-0000-0000-0000F1770000}"/>
    <cellStyle name="Normal 2 6 4 7 3 9" xfId="30703" xr:uid="{00000000-0005-0000-0000-0000F2770000}"/>
    <cellStyle name="Normal 2 6 4 7 4" xfId="30704" xr:uid="{00000000-0005-0000-0000-0000F3770000}"/>
    <cellStyle name="Normal 2 6 4 7 4 2" xfId="30705" xr:uid="{00000000-0005-0000-0000-0000F4770000}"/>
    <cellStyle name="Normal 2 6 4 7 4 2 2" xfId="30706" xr:uid="{00000000-0005-0000-0000-0000F5770000}"/>
    <cellStyle name="Normal 2 6 4 7 4 2 3" xfId="30707" xr:uid="{00000000-0005-0000-0000-0000F6770000}"/>
    <cellStyle name="Normal 2 6 4 7 4 3" xfId="30708" xr:uid="{00000000-0005-0000-0000-0000F7770000}"/>
    <cellStyle name="Normal 2 6 4 7 4 4" xfId="30709" xr:uid="{00000000-0005-0000-0000-0000F8770000}"/>
    <cellStyle name="Normal 2 6 4 7 4 5" xfId="30710" xr:uid="{00000000-0005-0000-0000-0000F9770000}"/>
    <cellStyle name="Normal 2 6 4 7 4 6" xfId="30711" xr:uid="{00000000-0005-0000-0000-0000FA770000}"/>
    <cellStyle name="Normal 2 6 4 7 5" xfId="30712" xr:uid="{00000000-0005-0000-0000-0000FB770000}"/>
    <cellStyle name="Normal 2 6 4 7 5 2" xfId="30713" xr:uid="{00000000-0005-0000-0000-0000FC770000}"/>
    <cellStyle name="Normal 2 6 4 7 5 2 2" xfId="30714" xr:uid="{00000000-0005-0000-0000-0000FD770000}"/>
    <cellStyle name="Normal 2 6 4 7 5 3" xfId="30715" xr:uid="{00000000-0005-0000-0000-0000FE770000}"/>
    <cellStyle name="Normal 2 6 4 7 5 4" xfId="30716" xr:uid="{00000000-0005-0000-0000-0000FF770000}"/>
    <cellStyle name="Normal 2 6 4 7 5 5" xfId="30717" xr:uid="{00000000-0005-0000-0000-000000780000}"/>
    <cellStyle name="Normal 2 6 4 7 6" xfId="30718" xr:uid="{00000000-0005-0000-0000-000001780000}"/>
    <cellStyle name="Normal 2 6 4 7 6 2" xfId="30719" xr:uid="{00000000-0005-0000-0000-000002780000}"/>
    <cellStyle name="Normal 2 6 4 7 6 3" xfId="30720" xr:uid="{00000000-0005-0000-0000-000003780000}"/>
    <cellStyle name="Normal 2 6 4 7 6 4" xfId="30721" xr:uid="{00000000-0005-0000-0000-000004780000}"/>
    <cellStyle name="Normal 2 6 4 7 7" xfId="30722" xr:uid="{00000000-0005-0000-0000-000005780000}"/>
    <cellStyle name="Normal 2 6 4 7 7 2" xfId="30723" xr:uid="{00000000-0005-0000-0000-000006780000}"/>
    <cellStyle name="Normal 2 6 4 7 8" xfId="30724" xr:uid="{00000000-0005-0000-0000-000007780000}"/>
    <cellStyle name="Normal 2 6 4 7 9" xfId="30725" xr:uid="{00000000-0005-0000-0000-000008780000}"/>
    <cellStyle name="Normal 2 6 4 8" xfId="30726" xr:uid="{00000000-0005-0000-0000-000009780000}"/>
    <cellStyle name="Normal 2 6 4 8 10" xfId="30727" xr:uid="{00000000-0005-0000-0000-00000A780000}"/>
    <cellStyle name="Normal 2 6 4 8 2" xfId="30728" xr:uid="{00000000-0005-0000-0000-00000B780000}"/>
    <cellStyle name="Normal 2 6 4 8 2 2" xfId="30729" xr:uid="{00000000-0005-0000-0000-00000C780000}"/>
    <cellStyle name="Normal 2 6 4 8 2 2 2" xfId="30730" xr:uid="{00000000-0005-0000-0000-00000D780000}"/>
    <cellStyle name="Normal 2 6 4 8 2 2 3" xfId="30731" xr:uid="{00000000-0005-0000-0000-00000E780000}"/>
    <cellStyle name="Normal 2 6 4 8 2 3" xfId="30732" xr:uid="{00000000-0005-0000-0000-00000F780000}"/>
    <cellStyle name="Normal 2 6 4 8 2 4" xfId="30733" xr:uid="{00000000-0005-0000-0000-000010780000}"/>
    <cellStyle name="Normal 2 6 4 8 2 5" xfId="30734" xr:uid="{00000000-0005-0000-0000-000011780000}"/>
    <cellStyle name="Normal 2 6 4 8 2 6" xfId="30735" xr:uid="{00000000-0005-0000-0000-000012780000}"/>
    <cellStyle name="Normal 2 6 4 8 3" xfId="30736" xr:uid="{00000000-0005-0000-0000-000013780000}"/>
    <cellStyle name="Normal 2 6 4 8 3 2" xfId="30737" xr:uid="{00000000-0005-0000-0000-000014780000}"/>
    <cellStyle name="Normal 2 6 4 8 3 2 2" xfId="30738" xr:uid="{00000000-0005-0000-0000-000015780000}"/>
    <cellStyle name="Normal 2 6 4 8 3 2 3" xfId="30739" xr:uid="{00000000-0005-0000-0000-000016780000}"/>
    <cellStyle name="Normal 2 6 4 8 3 3" xfId="30740" xr:uid="{00000000-0005-0000-0000-000017780000}"/>
    <cellStyle name="Normal 2 6 4 8 3 4" xfId="30741" xr:uid="{00000000-0005-0000-0000-000018780000}"/>
    <cellStyle name="Normal 2 6 4 8 3 5" xfId="30742" xr:uid="{00000000-0005-0000-0000-000019780000}"/>
    <cellStyle name="Normal 2 6 4 8 3 6" xfId="30743" xr:uid="{00000000-0005-0000-0000-00001A780000}"/>
    <cellStyle name="Normal 2 6 4 8 4" xfId="30744" xr:uid="{00000000-0005-0000-0000-00001B780000}"/>
    <cellStyle name="Normal 2 6 4 8 4 2" xfId="30745" xr:uid="{00000000-0005-0000-0000-00001C780000}"/>
    <cellStyle name="Normal 2 6 4 8 4 2 2" xfId="30746" xr:uid="{00000000-0005-0000-0000-00001D780000}"/>
    <cellStyle name="Normal 2 6 4 8 4 3" xfId="30747" xr:uid="{00000000-0005-0000-0000-00001E780000}"/>
    <cellStyle name="Normal 2 6 4 8 4 4" xfId="30748" xr:uid="{00000000-0005-0000-0000-00001F780000}"/>
    <cellStyle name="Normal 2 6 4 8 4 5" xfId="30749" xr:uid="{00000000-0005-0000-0000-000020780000}"/>
    <cellStyle name="Normal 2 6 4 8 5" xfId="30750" xr:uid="{00000000-0005-0000-0000-000021780000}"/>
    <cellStyle name="Normal 2 6 4 8 5 2" xfId="30751" xr:uid="{00000000-0005-0000-0000-000022780000}"/>
    <cellStyle name="Normal 2 6 4 8 5 3" xfId="30752" xr:uid="{00000000-0005-0000-0000-000023780000}"/>
    <cellStyle name="Normal 2 6 4 8 5 4" xfId="30753" xr:uid="{00000000-0005-0000-0000-000024780000}"/>
    <cellStyle name="Normal 2 6 4 8 6" xfId="30754" xr:uid="{00000000-0005-0000-0000-000025780000}"/>
    <cellStyle name="Normal 2 6 4 8 6 2" xfId="30755" xr:uid="{00000000-0005-0000-0000-000026780000}"/>
    <cellStyle name="Normal 2 6 4 8 7" xfId="30756" xr:uid="{00000000-0005-0000-0000-000027780000}"/>
    <cellStyle name="Normal 2 6 4 8 8" xfId="30757" xr:uid="{00000000-0005-0000-0000-000028780000}"/>
    <cellStyle name="Normal 2 6 4 8 9" xfId="30758" xr:uid="{00000000-0005-0000-0000-000029780000}"/>
    <cellStyle name="Normal 2 6 4 9" xfId="30759" xr:uid="{00000000-0005-0000-0000-00002A780000}"/>
    <cellStyle name="Normal 2 6 4 9 10" xfId="30760" xr:uid="{00000000-0005-0000-0000-00002B780000}"/>
    <cellStyle name="Normal 2 6 4 9 2" xfId="30761" xr:uid="{00000000-0005-0000-0000-00002C780000}"/>
    <cellStyle name="Normal 2 6 4 9 2 2" xfId="30762" xr:uid="{00000000-0005-0000-0000-00002D780000}"/>
    <cellStyle name="Normal 2 6 4 9 2 2 2" xfId="30763" xr:uid="{00000000-0005-0000-0000-00002E780000}"/>
    <cellStyle name="Normal 2 6 4 9 2 2 3" xfId="30764" xr:uid="{00000000-0005-0000-0000-00002F780000}"/>
    <cellStyle name="Normal 2 6 4 9 2 3" xfId="30765" xr:uid="{00000000-0005-0000-0000-000030780000}"/>
    <cellStyle name="Normal 2 6 4 9 2 4" xfId="30766" xr:uid="{00000000-0005-0000-0000-000031780000}"/>
    <cellStyle name="Normal 2 6 4 9 2 5" xfId="30767" xr:uid="{00000000-0005-0000-0000-000032780000}"/>
    <cellStyle name="Normal 2 6 4 9 2 6" xfId="30768" xr:uid="{00000000-0005-0000-0000-000033780000}"/>
    <cellStyle name="Normal 2 6 4 9 3" xfId="30769" xr:uid="{00000000-0005-0000-0000-000034780000}"/>
    <cellStyle name="Normal 2 6 4 9 3 2" xfId="30770" xr:uid="{00000000-0005-0000-0000-000035780000}"/>
    <cellStyle name="Normal 2 6 4 9 3 2 2" xfId="30771" xr:uid="{00000000-0005-0000-0000-000036780000}"/>
    <cellStyle name="Normal 2 6 4 9 3 2 3" xfId="30772" xr:uid="{00000000-0005-0000-0000-000037780000}"/>
    <cellStyle name="Normal 2 6 4 9 3 3" xfId="30773" xr:uid="{00000000-0005-0000-0000-000038780000}"/>
    <cellStyle name="Normal 2 6 4 9 3 4" xfId="30774" xr:uid="{00000000-0005-0000-0000-000039780000}"/>
    <cellStyle name="Normal 2 6 4 9 3 5" xfId="30775" xr:uid="{00000000-0005-0000-0000-00003A780000}"/>
    <cellStyle name="Normal 2 6 4 9 3 6" xfId="30776" xr:uid="{00000000-0005-0000-0000-00003B780000}"/>
    <cellStyle name="Normal 2 6 4 9 4" xfId="30777" xr:uid="{00000000-0005-0000-0000-00003C780000}"/>
    <cellStyle name="Normal 2 6 4 9 4 2" xfId="30778" xr:uid="{00000000-0005-0000-0000-00003D780000}"/>
    <cellStyle name="Normal 2 6 4 9 4 2 2" xfId="30779" xr:uid="{00000000-0005-0000-0000-00003E780000}"/>
    <cellStyle name="Normal 2 6 4 9 4 3" xfId="30780" xr:uid="{00000000-0005-0000-0000-00003F780000}"/>
    <cellStyle name="Normal 2 6 4 9 4 4" xfId="30781" xr:uid="{00000000-0005-0000-0000-000040780000}"/>
    <cellStyle name="Normal 2 6 4 9 4 5" xfId="30782" xr:uid="{00000000-0005-0000-0000-000041780000}"/>
    <cellStyle name="Normal 2 6 4 9 5" xfId="30783" xr:uid="{00000000-0005-0000-0000-000042780000}"/>
    <cellStyle name="Normal 2 6 4 9 5 2" xfId="30784" xr:uid="{00000000-0005-0000-0000-000043780000}"/>
    <cellStyle name="Normal 2 6 4 9 5 3" xfId="30785" xr:uid="{00000000-0005-0000-0000-000044780000}"/>
    <cellStyle name="Normal 2 6 4 9 5 4" xfId="30786" xr:uid="{00000000-0005-0000-0000-000045780000}"/>
    <cellStyle name="Normal 2 6 4 9 6" xfId="30787" xr:uid="{00000000-0005-0000-0000-000046780000}"/>
    <cellStyle name="Normal 2 6 4 9 6 2" xfId="30788" xr:uid="{00000000-0005-0000-0000-000047780000}"/>
    <cellStyle name="Normal 2 6 4 9 7" xfId="30789" xr:uid="{00000000-0005-0000-0000-000048780000}"/>
    <cellStyle name="Normal 2 6 4 9 8" xfId="30790" xr:uid="{00000000-0005-0000-0000-000049780000}"/>
    <cellStyle name="Normal 2 6 4 9 9" xfId="30791" xr:uid="{00000000-0005-0000-0000-00004A780000}"/>
    <cellStyle name="Normal 2 6 5" xfId="30792" xr:uid="{00000000-0005-0000-0000-00004B780000}"/>
    <cellStyle name="Normal 2 6 5 10" xfId="30793" xr:uid="{00000000-0005-0000-0000-00004C780000}"/>
    <cellStyle name="Normal 2 6 5 11" xfId="30794" xr:uid="{00000000-0005-0000-0000-00004D780000}"/>
    <cellStyle name="Normal 2 6 5 2" xfId="30795" xr:uid="{00000000-0005-0000-0000-00004E780000}"/>
    <cellStyle name="Normal 2 6 5 2 2" xfId="30796" xr:uid="{00000000-0005-0000-0000-00004F780000}"/>
    <cellStyle name="Normal 2 6 5 2 2 2" xfId="30797" xr:uid="{00000000-0005-0000-0000-000050780000}"/>
    <cellStyle name="Normal 2 6 5 2 2 2 2" xfId="30798" xr:uid="{00000000-0005-0000-0000-000051780000}"/>
    <cellStyle name="Normal 2 6 5 2 2 2 3" xfId="30799" xr:uid="{00000000-0005-0000-0000-000052780000}"/>
    <cellStyle name="Normal 2 6 5 2 2 3" xfId="30800" xr:uid="{00000000-0005-0000-0000-000053780000}"/>
    <cellStyle name="Normal 2 6 5 2 2 4" xfId="30801" xr:uid="{00000000-0005-0000-0000-000054780000}"/>
    <cellStyle name="Normal 2 6 5 2 2 5" xfId="30802" xr:uid="{00000000-0005-0000-0000-000055780000}"/>
    <cellStyle name="Normal 2 6 5 2 2 6" xfId="30803" xr:uid="{00000000-0005-0000-0000-000056780000}"/>
    <cellStyle name="Normal 2 6 5 2 3" xfId="30804" xr:uid="{00000000-0005-0000-0000-000057780000}"/>
    <cellStyle name="Normal 2 6 5 2 3 2" xfId="30805" xr:uid="{00000000-0005-0000-0000-000058780000}"/>
    <cellStyle name="Normal 2 6 5 2 3 2 2" xfId="30806" xr:uid="{00000000-0005-0000-0000-000059780000}"/>
    <cellStyle name="Normal 2 6 5 2 3 3" xfId="30807" xr:uid="{00000000-0005-0000-0000-00005A780000}"/>
    <cellStyle name="Normal 2 6 5 2 3 4" xfId="30808" xr:uid="{00000000-0005-0000-0000-00005B780000}"/>
    <cellStyle name="Normal 2 6 5 2 3 5" xfId="30809" xr:uid="{00000000-0005-0000-0000-00005C780000}"/>
    <cellStyle name="Normal 2 6 5 2 4" xfId="30810" xr:uid="{00000000-0005-0000-0000-00005D780000}"/>
    <cellStyle name="Normal 2 6 5 2 4 2" xfId="30811" xr:uid="{00000000-0005-0000-0000-00005E780000}"/>
    <cellStyle name="Normal 2 6 5 2 4 3" xfId="30812" xr:uid="{00000000-0005-0000-0000-00005F780000}"/>
    <cellStyle name="Normal 2 6 5 2 4 4" xfId="30813" xr:uid="{00000000-0005-0000-0000-000060780000}"/>
    <cellStyle name="Normal 2 6 5 2 5" xfId="30814" xr:uid="{00000000-0005-0000-0000-000061780000}"/>
    <cellStyle name="Normal 2 6 5 2 5 2" xfId="30815" xr:uid="{00000000-0005-0000-0000-000062780000}"/>
    <cellStyle name="Normal 2 6 5 2 6" xfId="30816" xr:uid="{00000000-0005-0000-0000-000063780000}"/>
    <cellStyle name="Normal 2 6 5 2 7" xfId="30817" xr:uid="{00000000-0005-0000-0000-000064780000}"/>
    <cellStyle name="Normal 2 6 5 2 8" xfId="30818" xr:uid="{00000000-0005-0000-0000-000065780000}"/>
    <cellStyle name="Normal 2 6 5 2 9" xfId="30819" xr:uid="{00000000-0005-0000-0000-000066780000}"/>
    <cellStyle name="Normal 2 6 5 3" xfId="30820" xr:uid="{00000000-0005-0000-0000-000067780000}"/>
    <cellStyle name="Normal 2 6 5 3 2" xfId="30821" xr:uid="{00000000-0005-0000-0000-000068780000}"/>
    <cellStyle name="Normal 2 6 5 3 2 2" xfId="30822" xr:uid="{00000000-0005-0000-0000-000069780000}"/>
    <cellStyle name="Normal 2 6 5 3 2 2 2" xfId="30823" xr:uid="{00000000-0005-0000-0000-00006A780000}"/>
    <cellStyle name="Normal 2 6 5 3 2 2 3" xfId="30824" xr:uid="{00000000-0005-0000-0000-00006B780000}"/>
    <cellStyle name="Normal 2 6 5 3 2 3" xfId="30825" xr:uid="{00000000-0005-0000-0000-00006C780000}"/>
    <cellStyle name="Normal 2 6 5 3 2 4" xfId="30826" xr:uid="{00000000-0005-0000-0000-00006D780000}"/>
    <cellStyle name="Normal 2 6 5 3 2 5" xfId="30827" xr:uid="{00000000-0005-0000-0000-00006E780000}"/>
    <cellStyle name="Normal 2 6 5 3 2 6" xfId="30828" xr:uid="{00000000-0005-0000-0000-00006F780000}"/>
    <cellStyle name="Normal 2 6 5 3 3" xfId="30829" xr:uid="{00000000-0005-0000-0000-000070780000}"/>
    <cellStyle name="Normal 2 6 5 3 3 2" xfId="30830" xr:uid="{00000000-0005-0000-0000-000071780000}"/>
    <cellStyle name="Normal 2 6 5 3 3 2 2" xfId="30831" xr:uid="{00000000-0005-0000-0000-000072780000}"/>
    <cellStyle name="Normal 2 6 5 3 3 3" xfId="30832" xr:uid="{00000000-0005-0000-0000-000073780000}"/>
    <cellStyle name="Normal 2 6 5 3 3 4" xfId="30833" xr:uid="{00000000-0005-0000-0000-000074780000}"/>
    <cellStyle name="Normal 2 6 5 3 3 5" xfId="30834" xr:uid="{00000000-0005-0000-0000-000075780000}"/>
    <cellStyle name="Normal 2 6 5 3 4" xfId="30835" xr:uid="{00000000-0005-0000-0000-000076780000}"/>
    <cellStyle name="Normal 2 6 5 3 4 2" xfId="30836" xr:uid="{00000000-0005-0000-0000-000077780000}"/>
    <cellStyle name="Normal 2 6 5 3 4 3" xfId="30837" xr:uid="{00000000-0005-0000-0000-000078780000}"/>
    <cellStyle name="Normal 2 6 5 3 4 4" xfId="30838" xr:uid="{00000000-0005-0000-0000-000079780000}"/>
    <cellStyle name="Normal 2 6 5 3 5" xfId="30839" xr:uid="{00000000-0005-0000-0000-00007A780000}"/>
    <cellStyle name="Normal 2 6 5 3 5 2" xfId="30840" xr:uid="{00000000-0005-0000-0000-00007B780000}"/>
    <cellStyle name="Normal 2 6 5 3 6" xfId="30841" xr:uid="{00000000-0005-0000-0000-00007C780000}"/>
    <cellStyle name="Normal 2 6 5 3 7" xfId="30842" xr:uid="{00000000-0005-0000-0000-00007D780000}"/>
    <cellStyle name="Normal 2 6 5 3 8" xfId="30843" xr:uid="{00000000-0005-0000-0000-00007E780000}"/>
    <cellStyle name="Normal 2 6 5 3 9" xfId="30844" xr:uid="{00000000-0005-0000-0000-00007F780000}"/>
    <cellStyle name="Normal 2 6 5 4" xfId="30845" xr:uid="{00000000-0005-0000-0000-000080780000}"/>
    <cellStyle name="Normal 2 6 5 4 2" xfId="30846" xr:uid="{00000000-0005-0000-0000-000081780000}"/>
    <cellStyle name="Normal 2 6 5 4 2 2" xfId="30847" xr:uid="{00000000-0005-0000-0000-000082780000}"/>
    <cellStyle name="Normal 2 6 5 4 2 3" xfId="30848" xr:uid="{00000000-0005-0000-0000-000083780000}"/>
    <cellStyle name="Normal 2 6 5 4 3" xfId="30849" xr:uid="{00000000-0005-0000-0000-000084780000}"/>
    <cellStyle name="Normal 2 6 5 4 4" xfId="30850" xr:uid="{00000000-0005-0000-0000-000085780000}"/>
    <cellStyle name="Normal 2 6 5 4 5" xfId="30851" xr:uid="{00000000-0005-0000-0000-000086780000}"/>
    <cellStyle name="Normal 2 6 5 4 6" xfId="30852" xr:uid="{00000000-0005-0000-0000-000087780000}"/>
    <cellStyle name="Normal 2 6 5 5" xfId="30853" xr:uid="{00000000-0005-0000-0000-000088780000}"/>
    <cellStyle name="Normal 2 6 5 5 2" xfId="30854" xr:uid="{00000000-0005-0000-0000-000089780000}"/>
    <cellStyle name="Normal 2 6 5 5 2 2" xfId="30855" xr:uid="{00000000-0005-0000-0000-00008A780000}"/>
    <cellStyle name="Normal 2 6 5 5 3" xfId="30856" xr:uid="{00000000-0005-0000-0000-00008B780000}"/>
    <cellStyle name="Normal 2 6 5 5 4" xfId="30857" xr:uid="{00000000-0005-0000-0000-00008C780000}"/>
    <cellStyle name="Normal 2 6 5 5 5" xfId="30858" xr:uid="{00000000-0005-0000-0000-00008D780000}"/>
    <cellStyle name="Normal 2 6 5 6" xfId="30859" xr:uid="{00000000-0005-0000-0000-00008E780000}"/>
    <cellStyle name="Normal 2 6 5 6 2" xfId="30860" xr:uid="{00000000-0005-0000-0000-00008F780000}"/>
    <cellStyle name="Normal 2 6 5 6 3" xfId="30861" xr:uid="{00000000-0005-0000-0000-000090780000}"/>
    <cellStyle name="Normal 2 6 5 6 4" xfId="30862" xr:uid="{00000000-0005-0000-0000-000091780000}"/>
    <cellStyle name="Normal 2 6 5 7" xfId="30863" xr:uid="{00000000-0005-0000-0000-000092780000}"/>
    <cellStyle name="Normal 2 6 5 7 2" xfId="30864" xr:uid="{00000000-0005-0000-0000-000093780000}"/>
    <cellStyle name="Normal 2 6 5 8" xfId="30865" xr:uid="{00000000-0005-0000-0000-000094780000}"/>
    <cellStyle name="Normal 2 6 5 9" xfId="30866" xr:uid="{00000000-0005-0000-0000-000095780000}"/>
    <cellStyle name="Normal 2 6 6" xfId="30867" xr:uid="{00000000-0005-0000-0000-000096780000}"/>
    <cellStyle name="Normal 2 6 6 10" xfId="30868" xr:uid="{00000000-0005-0000-0000-000097780000}"/>
    <cellStyle name="Normal 2 6 6 11" xfId="30869" xr:uid="{00000000-0005-0000-0000-000098780000}"/>
    <cellStyle name="Normal 2 6 6 2" xfId="30870" xr:uid="{00000000-0005-0000-0000-000099780000}"/>
    <cellStyle name="Normal 2 6 6 2 2" xfId="30871" xr:uid="{00000000-0005-0000-0000-00009A780000}"/>
    <cellStyle name="Normal 2 6 6 2 2 2" xfId="30872" xr:uid="{00000000-0005-0000-0000-00009B780000}"/>
    <cellStyle name="Normal 2 6 6 2 2 2 2" xfId="30873" xr:uid="{00000000-0005-0000-0000-00009C780000}"/>
    <cellStyle name="Normal 2 6 6 2 2 2 3" xfId="30874" xr:uid="{00000000-0005-0000-0000-00009D780000}"/>
    <cellStyle name="Normal 2 6 6 2 2 3" xfId="30875" xr:uid="{00000000-0005-0000-0000-00009E780000}"/>
    <cellStyle name="Normal 2 6 6 2 2 4" xfId="30876" xr:uid="{00000000-0005-0000-0000-00009F780000}"/>
    <cellStyle name="Normal 2 6 6 2 2 5" xfId="30877" xr:uid="{00000000-0005-0000-0000-0000A0780000}"/>
    <cellStyle name="Normal 2 6 6 2 2 6" xfId="30878" xr:uid="{00000000-0005-0000-0000-0000A1780000}"/>
    <cellStyle name="Normal 2 6 6 2 3" xfId="30879" xr:uid="{00000000-0005-0000-0000-0000A2780000}"/>
    <cellStyle name="Normal 2 6 6 2 3 2" xfId="30880" xr:uid="{00000000-0005-0000-0000-0000A3780000}"/>
    <cellStyle name="Normal 2 6 6 2 3 2 2" xfId="30881" xr:uid="{00000000-0005-0000-0000-0000A4780000}"/>
    <cellStyle name="Normal 2 6 6 2 3 3" xfId="30882" xr:uid="{00000000-0005-0000-0000-0000A5780000}"/>
    <cellStyle name="Normal 2 6 6 2 3 4" xfId="30883" xr:uid="{00000000-0005-0000-0000-0000A6780000}"/>
    <cellStyle name="Normal 2 6 6 2 3 5" xfId="30884" xr:uid="{00000000-0005-0000-0000-0000A7780000}"/>
    <cellStyle name="Normal 2 6 6 2 4" xfId="30885" xr:uid="{00000000-0005-0000-0000-0000A8780000}"/>
    <cellStyle name="Normal 2 6 6 2 4 2" xfId="30886" xr:uid="{00000000-0005-0000-0000-0000A9780000}"/>
    <cellStyle name="Normal 2 6 6 2 4 3" xfId="30887" xr:uid="{00000000-0005-0000-0000-0000AA780000}"/>
    <cellStyle name="Normal 2 6 6 2 4 4" xfId="30888" xr:uid="{00000000-0005-0000-0000-0000AB780000}"/>
    <cellStyle name="Normal 2 6 6 2 5" xfId="30889" xr:uid="{00000000-0005-0000-0000-0000AC780000}"/>
    <cellStyle name="Normal 2 6 6 2 5 2" xfId="30890" xr:uid="{00000000-0005-0000-0000-0000AD780000}"/>
    <cellStyle name="Normal 2 6 6 2 6" xfId="30891" xr:uid="{00000000-0005-0000-0000-0000AE780000}"/>
    <cellStyle name="Normal 2 6 6 2 7" xfId="30892" xr:uid="{00000000-0005-0000-0000-0000AF780000}"/>
    <cellStyle name="Normal 2 6 6 2 8" xfId="30893" xr:uid="{00000000-0005-0000-0000-0000B0780000}"/>
    <cellStyle name="Normal 2 6 6 2 9" xfId="30894" xr:uid="{00000000-0005-0000-0000-0000B1780000}"/>
    <cellStyle name="Normal 2 6 6 3" xfId="30895" xr:uid="{00000000-0005-0000-0000-0000B2780000}"/>
    <cellStyle name="Normal 2 6 6 3 2" xfId="30896" xr:uid="{00000000-0005-0000-0000-0000B3780000}"/>
    <cellStyle name="Normal 2 6 6 3 2 2" xfId="30897" xr:uid="{00000000-0005-0000-0000-0000B4780000}"/>
    <cellStyle name="Normal 2 6 6 3 2 2 2" xfId="30898" xr:uid="{00000000-0005-0000-0000-0000B5780000}"/>
    <cellStyle name="Normal 2 6 6 3 2 2 3" xfId="30899" xr:uid="{00000000-0005-0000-0000-0000B6780000}"/>
    <cellStyle name="Normal 2 6 6 3 2 3" xfId="30900" xr:uid="{00000000-0005-0000-0000-0000B7780000}"/>
    <cellStyle name="Normal 2 6 6 3 2 4" xfId="30901" xr:uid="{00000000-0005-0000-0000-0000B8780000}"/>
    <cellStyle name="Normal 2 6 6 3 2 5" xfId="30902" xr:uid="{00000000-0005-0000-0000-0000B9780000}"/>
    <cellStyle name="Normal 2 6 6 3 2 6" xfId="30903" xr:uid="{00000000-0005-0000-0000-0000BA780000}"/>
    <cellStyle name="Normal 2 6 6 3 3" xfId="30904" xr:uid="{00000000-0005-0000-0000-0000BB780000}"/>
    <cellStyle name="Normal 2 6 6 3 3 2" xfId="30905" xr:uid="{00000000-0005-0000-0000-0000BC780000}"/>
    <cellStyle name="Normal 2 6 6 3 3 2 2" xfId="30906" xr:uid="{00000000-0005-0000-0000-0000BD780000}"/>
    <cellStyle name="Normal 2 6 6 3 3 3" xfId="30907" xr:uid="{00000000-0005-0000-0000-0000BE780000}"/>
    <cellStyle name="Normal 2 6 6 3 3 4" xfId="30908" xr:uid="{00000000-0005-0000-0000-0000BF780000}"/>
    <cellStyle name="Normal 2 6 6 3 3 5" xfId="30909" xr:uid="{00000000-0005-0000-0000-0000C0780000}"/>
    <cellStyle name="Normal 2 6 6 3 4" xfId="30910" xr:uid="{00000000-0005-0000-0000-0000C1780000}"/>
    <cellStyle name="Normal 2 6 6 3 4 2" xfId="30911" xr:uid="{00000000-0005-0000-0000-0000C2780000}"/>
    <cellStyle name="Normal 2 6 6 3 4 3" xfId="30912" xr:uid="{00000000-0005-0000-0000-0000C3780000}"/>
    <cellStyle name="Normal 2 6 6 3 4 4" xfId="30913" xr:uid="{00000000-0005-0000-0000-0000C4780000}"/>
    <cellStyle name="Normal 2 6 6 3 5" xfId="30914" xr:uid="{00000000-0005-0000-0000-0000C5780000}"/>
    <cellStyle name="Normal 2 6 6 3 5 2" xfId="30915" xr:uid="{00000000-0005-0000-0000-0000C6780000}"/>
    <cellStyle name="Normal 2 6 6 3 6" xfId="30916" xr:uid="{00000000-0005-0000-0000-0000C7780000}"/>
    <cellStyle name="Normal 2 6 6 3 7" xfId="30917" xr:uid="{00000000-0005-0000-0000-0000C8780000}"/>
    <cellStyle name="Normal 2 6 6 3 8" xfId="30918" xr:uid="{00000000-0005-0000-0000-0000C9780000}"/>
    <cellStyle name="Normal 2 6 6 3 9" xfId="30919" xr:uid="{00000000-0005-0000-0000-0000CA780000}"/>
    <cellStyle name="Normal 2 6 6 4" xfId="30920" xr:uid="{00000000-0005-0000-0000-0000CB780000}"/>
    <cellStyle name="Normal 2 6 6 4 2" xfId="30921" xr:uid="{00000000-0005-0000-0000-0000CC780000}"/>
    <cellStyle name="Normal 2 6 6 4 2 2" xfId="30922" xr:uid="{00000000-0005-0000-0000-0000CD780000}"/>
    <cellStyle name="Normal 2 6 6 4 2 3" xfId="30923" xr:uid="{00000000-0005-0000-0000-0000CE780000}"/>
    <cellStyle name="Normal 2 6 6 4 3" xfId="30924" xr:uid="{00000000-0005-0000-0000-0000CF780000}"/>
    <cellStyle name="Normal 2 6 6 4 4" xfId="30925" xr:uid="{00000000-0005-0000-0000-0000D0780000}"/>
    <cellStyle name="Normal 2 6 6 4 5" xfId="30926" xr:uid="{00000000-0005-0000-0000-0000D1780000}"/>
    <cellStyle name="Normal 2 6 6 4 6" xfId="30927" xr:uid="{00000000-0005-0000-0000-0000D2780000}"/>
    <cellStyle name="Normal 2 6 6 5" xfId="30928" xr:uid="{00000000-0005-0000-0000-0000D3780000}"/>
    <cellStyle name="Normal 2 6 6 5 2" xfId="30929" xr:uid="{00000000-0005-0000-0000-0000D4780000}"/>
    <cellStyle name="Normal 2 6 6 5 2 2" xfId="30930" xr:uid="{00000000-0005-0000-0000-0000D5780000}"/>
    <cellStyle name="Normal 2 6 6 5 3" xfId="30931" xr:uid="{00000000-0005-0000-0000-0000D6780000}"/>
    <cellStyle name="Normal 2 6 6 5 4" xfId="30932" xr:uid="{00000000-0005-0000-0000-0000D7780000}"/>
    <cellStyle name="Normal 2 6 6 5 5" xfId="30933" xr:uid="{00000000-0005-0000-0000-0000D8780000}"/>
    <cellStyle name="Normal 2 6 6 6" xfId="30934" xr:uid="{00000000-0005-0000-0000-0000D9780000}"/>
    <cellStyle name="Normal 2 6 6 6 2" xfId="30935" xr:uid="{00000000-0005-0000-0000-0000DA780000}"/>
    <cellStyle name="Normal 2 6 6 6 3" xfId="30936" xr:uid="{00000000-0005-0000-0000-0000DB780000}"/>
    <cellStyle name="Normal 2 6 6 6 4" xfId="30937" xr:uid="{00000000-0005-0000-0000-0000DC780000}"/>
    <cellStyle name="Normal 2 6 6 7" xfId="30938" xr:uid="{00000000-0005-0000-0000-0000DD780000}"/>
    <cellStyle name="Normal 2 6 6 7 2" xfId="30939" xr:uid="{00000000-0005-0000-0000-0000DE780000}"/>
    <cellStyle name="Normal 2 6 6 8" xfId="30940" xr:uid="{00000000-0005-0000-0000-0000DF780000}"/>
    <cellStyle name="Normal 2 6 6 9" xfId="30941" xr:uid="{00000000-0005-0000-0000-0000E0780000}"/>
    <cellStyle name="Normal 2 6 7" xfId="30942" xr:uid="{00000000-0005-0000-0000-0000E1780000}"/>
    <cellStyle name="Normal 2 6 7 10" xfId="30943" xr:uid="{00000000-0005-0000-0000-0000E2780000}"/>
    <cellStyle name="Normal 2 6 7 11" xfId="30944" xr:uid="{00000000-0005-0000-0000-0000E3780000}"/>
    <cellStyle name="Normal 2 6 7 2" xfId="30945" xr:uid="{00000000-0005-0000-0000-0000E4780000}"/>
    <cellStyle name="Normal 2 6 7 2 2" xfId="30946" xr:uid="{00000000-0005-0000-0000-0000E5780000}"/>
    <cellStyle name="Normal 2 6 7 2 2 2" xfId="30947" xr:uid="{00000000-0005-0000-0000-0000E6780000}"/>
    <cellStyle name="Normal 2 6 7 2 2 2 2" xfId="30948" xr:uid="{00000000-0005-0000-0000-0000E7780000}"/>
    <cellStyle name="Normal 2 6 7 2 2 2 3" xfId="30949" xr:uid="{00000000-0005-0000-0000-0000E8780000}"/>
    <cellStyle name="Normal 2 6 7 2 2 3" xfId="30950" xr:uid="{00000000-0005-0000-0000-0000E9780000}"/>
    <cellStyle name="Normal 2 6 7 2 2 4" xfId="30951" xr:uid="{00000000-0005-0000-0000-0000EA780000}"/>
    <cellStyle name="Normal 2 6 7 2 2 5" xfId="30952" xr:uid="{00000000-0005-0000-0000-0000EB780000}"/>
    <cellStyle name="Normal 2 6 7 2 2 6" xfId="30953" xr:uid="{00000000-0005-0000-0000-0000EC780000}"/>
    <cellStyle name="Normal 2 6 7 2 3" xfId="30954" xr:uid="{00000000-0005-0000-0000-0000ED780000}"/>
    <cellStyle name="Normal 2 6 7 2 3 2" xfId="30955" xr:uid="{00000000-0005-0000-0000-0000EE780000}"/>
    <cellStyle name="Normal 2 6 7 2 3 2 2" xfId="30956" xr:uid="{00000000-0005-0000-0000-0000EF780000}"/>
    <cellStyle name="Normal 2 6 7 2 3 3" xfId="30957" xr:uid="{00000000-0005-0000-0000-0000F0780000}"/>
    <cellStyle name="Normal 2 6 7 2 3 4" xfId="30958" xr:uid="{00000000-0005-0000-0000-0000F1780000}"/>
    <cellStyle name="Normal 2 6 7 2 3 5" xfId="30959" xr:uid="{00000000-0005-0000-0000-0000F2780000}"/>
    <cellStyle name="Normal 2 6 7 2 4" xfId="30960" xr:uid="{00000000-0005-0000-0000-0000F3780000}"/>
    <cellStyle name="Normal 2 6 7 2 4 2" xfId="30961" xr:uid="{00000000-0005-0000-0000-0000F4780000}"/>
    <cellStyle name="Normal 2 6 7 2 4 3" xfId="30962" xr:uid="{00000000-0005-0000-0000-0000F5780000}"/>
    <cellStyle name="Normal 2 6 7 2 4 4" xfId="30963" xr:uid="{00000000-0005-0000-0000-0000F6780000}"/>
    <cellStyle name="Normal 2 6 7 2 5" xfId="30964" xr:uid="{00000000-0005-0000-0000-0000F7780000}"/>
    <cellStyle name="Normal 2 6 7 2 5 2" xfId="30965" xr:uid="{00000000-0005-0000-0000-0000F8780000}"/>
    <cellStyle name="Normal 2 6 7 2 6" xfId="30966" xr:uid="{00000000-0005-0000-0000-0000F9780000}"/>
    <cellStyle name="Normal 2 6 7 2 7" xfId="30967" xr:uid="{00000000-0005-0000-0000-0000FA780000}"/>
    <cellStyle name="Normal 2 6 7 2 8" xfId="30968" xr:uid="{00000000-0005-0000-0000-0000FB780000}"/>
    <cellStyle name="Normal 2 6 7 2 9" xfId="30969" xr:uid="{00000000-0005-0000-0000-0000FC780000}"/>
    <cellStyle name="Normal 2 6 7 3" xfId="30970" xr:uid="{00000000-0005-0000-0000-0000FD780000}"/>
    <cellStyle name="Normal 2 6 7 3 2" xfId="30971" xr:uid="{00000000-0005-0000-0000-0000FE780000}"/>
    <cellStyle name="Normal 2 6 7 3 2 2" xfId="30972" xr:uid="{00000000-0005-0000-0000-0000FF780000}"/>
    <cellStyle name="Normal 2 6 7 3 2 2 2" xfId="30973" xr:uid="{00000000-0005-0000-0000-000000790000}"/>
    <cellStyle name="Normal 2 6 7 3 2 2 3" xfId="30974" xr:uid="{00000000-0005-0000-0000-000001790000}"/>
    <cellStyle name="Normal 2 6 7 3 2 3" xfId="30975" xr:uid="{00000000-0005-0000-0000-000002790000}"/>
    <cellStyle name="Normal 2 6 7 3 2 4" xfId="30976" xr:uid="{00000000-0005-0000-0000-000003790000}"/>
    <cellStyle name="Normal 2 6 7 3 2 5" xfId="30977" xr:uid="{00000000-0005-0000-0000-000004790000}"/>
    <cellStyle name="Normal 2 6 7 3 2 6" xfId="30978" xr:uid="{00000000-0005-0000-0000-000005790000}"/>
    <cellStyle name="Normal 2 6 7 3 3" xfId="30979" xr:uid="{00000000-0005-0000-0000-000006790000}"/>
    <cellStyle name="Normal 2 6 7 3 3 2" xfId="30980" xr:uid="{00000000-0005-0000-0000-000007790000}"/>
    <cellStyle name="Normal 2 6 7 3 3 2 2" xfId="30981" xr:uid="{00000000-0005-0000-0000-000008790000}"/>
    <cellStyle name="Normal 2 6 7 3 3 3" xfId="30982" xr:uid="{00000000-0005-0000-0000-000009790000}"/>
    <cellStyle name="Normal 2 6 7 3 3 4" xfId="30983" xr:uid="{00000000-0005-0000-0000-00000A790000}"/>
    <cellStyle name="Normal 2 6 7 3 3 5" xfId="30984" xr:uid="{00000000-0005-0000-0000-00000B790000}"/>
    <cellStyle name="Normal 2 6 7 3 4" xfId="30985" xr:uid="{00000000-0005-0000-0000-00000C790000}"/>
    <cellStyle name="Normal 2 6 7 3 4 2" xfId="30986" xr:uid="{00000000-0005-0000-0000-00000D790000}"/>
    <cellStyle name="Normal 2 6 7 3 4 3" xfId="30987" xr:uid="{00000000-0005-0000-0000-00000E790000}"/>
    <cellStyle name="Normal 2 6 7 3 4 4" xfId="30988" xr:uid="{00000000-0005-0000-0000-00000F790000}"/>
    <cellStyle name="Normal 2 6 7 3 5" xfId="30989" xr:uid="{00000000-0005-0000-0000-000010790000}"/>
    <cellStyle name="Normal 2 6 7 3 5 2" xfId="30990" xr:uid="{00000000-0005-0000-0000-000011790000}"/>
    <cellStyle name="Normal 2 6 7 3 6" xfId="30991" xr:uid="{00000000-0005-0000-0000-000012790000}"/>
    <cellStyle name="Normal 2 6 7 3 7" xfId="30992" xr:uid="{00000000-0005-0000-0000-000013790000}"/>
    <cellStyle name="Normal 2 6 7 3 8" xfId="30993" xr:uid="{00000000-0005-0000-0000-000014790000}"/>
    <cellStyle name="Normal 2 6 7 3 9" xfId="30994" xr:uid="{00000000-0005-0000-0000-000015790000}"/>
    <cellStyle name="Normal 2 6 7 4" xfId="30995" xr:uid="{00000000-0005-0000-0000-000016790000}"/>
    <cellStyle name="Normal 2 6 7 4 2" xfId="30996" xr:uid="{00000000-0005-0000-0000-000017790000}"/>
    <cellStyle name="Normal 2 6 7 4 2 2" xfId="30997" xr:uid="{00000000-0005-0000-0000-000018790000}"/>
    <cellStyle name="Normal 2 6 7 4 2 3" xfId="30998" xr:uid="{00000000-0005-0000-0000-000019790000}"/>
    <cellStyle name="Normal 2 6 7 4 3" xfId="30999" xr:uid="{00000000-0005-0000-0000-00001A790000}"/>
    <cellStyle name="Normal 2 6 7 4 4" xfId="31000" xr:uid="{00000000-0005-0000-0000-00001B790000}"/>
    <cellStyle name="Normal 2 6 7 4 5" xfId="31001" xr:uid="{00000000-0005-0000-0000-00001C790000}"/>
    <cellStyle name="Normal 2 6 7 4 6" xfId="31002" xr:uid="{00000000-0005-0000-0000-00001D790000}"/>
    <cellStyle name="Normal 2 6 7 5" xfId="31003" xr:uid="{00000000-0005-0000-0000-00001E790000}"/>
    <cellStyle name="Normal 2 6 7 5 2" xfId="31004" xr:uid="{00000000-0005-0000-0000-00001F790000}"/>
    <cellStyle name="Normal 2 6 7 5 2 2" xfId="31005" xr:uid="{00000000-0005-0000-0000-000020790000}"/>
    <cellStyle name="Normal 2 6 7 5 3" xfId="31006" xr:uid="{00000000-0005-0000-0000-000021790000}"/>
    <cellStyle name="Normal 2 6 7 5 4" xfId="31007" xr:uid="{00000000-0005-0000-0000-000022790000}"/>
    <cellStyle name="Normal 2 6 7 5 5" xfId="31008" xr:uid="{00000000-0005-0000-0000-000023790000}"/>
    <cellStyle name="Normal 2 6 7 6" xfId="31009" xr:uid="{00000000-0005-0000-0000-000024790000}"/>
    <cellStyle name="Normal 2 6 7 6 2" xfId="31010" xr:uid="{00000000-0005-0000-0000-000025790000}"/>
    <cellStyle name="Normal 2 6 7 6 3" xfId="31011" xr:uid="{00000000-0005-0000-0000-000026790000}"/>
    <cellStyle name="Normal 2 6 7 6 4" xfId="31012" xr:uid="{00000000-0005-0000-0000-000027790000}"/>
    <cellStyle name="Normal 2 6 7 7" xfId="31013" xr:uid="{00000000-0005-0000-0000-000028790000}"/>
    <cellStyle name="Normal 2 6 7 7 2" xfId="31014" xr:uid="{00000000-0005-0000-0000-000029790000}"/>
    <cellStyle name="Normal 2 6 7 8" xfId="31015" xr:uid="{00000000-0005-0000-0000-00002A790000}"/>
    <cellStyle name="Normal 2 6 7 9" xfId="31016" xr:uid="{00000000-0005-0000-0000-00002B790000}"/>
    <cellStyle name="Normal 2 6 8" xfId="31017" xr:uid="{00000000-0005-0000-0000-00002C790000}"/>
    <cellStyle name="Normal 2 6 8 10" xfId="31018" xr:uid="{00000000-0005-0000-0000-00002D790000}"/>
    <cellStyle name="Normal 2 6 8 11" xfId="31019" xr:uid="{00000000-0005-0000-0000-00002E790000}"/>
    <cellStyle name="Normal 2 6 8 2" xfId="31020" xr:uid="{00000000-0005-0000-0000-00002F790000}"/>
    <cellStyle name="Normal 2 6 8 2 2" xfId="31021" xr:uid="{00000000-0005-0000-0000-000030790000}"/>
    <cellStyle name="Normal 2 6 8 2 2 2" xfId="31022" xr:uid="{00000000-0005-0000-0000-000031790000}"/>
    <cellStyle name="Normal 2 6 8 2 2 2 2" xfId="31023" xr:uid="{00000000-0005-0000-0000-000032790000}"/>
    <cellStyle name="Normal 2 6 8 2 2 2 3" xfId="31024" xr:uid="{00000000-0005-0000-0000-000033790000}"/>
    <cellStyle name="Normal 2 6 8 2 2 3" xfId="31025" xr:uid="{00000000-0005-0000-0000-000034790000}"/>
    <cellStyle name="Normal 2 6 8 2 2 4" xfId="31026" xr:uid="{00000000-0005-0000-0000-000035790000}"/>
    <cellStyle name="Normal 2 6 8 2 2 5" xfId="31027" xr:uid="{00000000-0005-0000-0000-000036790000}"/>
    <cellStyle name="Normal 2 6 8 2 2 6" xfId="31028" xr:uid="{00000000-0005-0000-0000-000037790000}"/>
    <cellStyle name="Normal 2 6 8 2 3" xfId="31029" xr:uid="{00000000-0005-0000-0000-000038790000}"/>
    <cellStyle name="Normal 2 6 8 2 3 2" xfId="31030" xr:uid="{00000000-0005-0000-0000-000039790000}"/>
    <cellStyle name="Normal 2 6 8 2 3 2 2" xfId="31031" xr:uid="{00000000-0005-0000-0000-00003A790000}"/>
    <cellStyle name="Normal 2 6 8 2 3 3" xfId="31032" xr:uid="{00000000-0005-0000-0000-00003B790000}"/>
    <cellStyle name="Normal 2 6 8 2 3 4" xfId="31033" xr:uid="{00000000-0005-0000-0000-00003C790000}"/>
    <cellStyle name="Normal 2 6 8 2 3 5" xfId="31034" xr:uid="{00000000-0005-0000-0000-00003D790000}"/>
    <cellStyle name="Normal 2 6 8 2 4" xfId="31035" xr:uid="{00000000-0005-0000-0000-00003E790000}"/>
    <cellStyle name="Normal 2 6 8 2 4 2" xfId="31036" xr:uid="{00000000-0005-0000-0000-00003F790000}"/>
    <cellStyle name="Normal 2 6 8 2 4 3" xfId="31037" xr:uid="{00000000-0005-0000-0000-000040790000}"/>
    <cellStyle name="Normal 2 6 8 2 4 4" xfId="31038" xr:uid="{00000000-0005-0000-0000-000041790000}"/>
    <cellStyle name="Normal 2 6 8 2 5" xfId="31039" xr:uid="{00000000-0005-0000-0000-000042790000}"/>
    <cellStyle name="Normal 2 6 8 2 5 2" xfId="31040" xr:uid="{00000000-0005-0000-0000-000043790000}"/>
    <cellStyle name="Normal 2 6 8 2 6" xfId="31041" xr:uid="{00000000-0005-0000-0000-000044790000}"/>
    <cellStyle name="Normal 2 6 8 2 7" xfId="31042" xr:uid="{00000000-0005-0000-0000-000045790000}"/>
    <cellStyle name="Normal 2 6 8 2 8" xfId="31043" xr:uid="{00000000-0005-0000-0000-000046790000}"/>
    <cellStyle name="Normal 2 6 8 2 9" xfId="31044" xr:uid="{00000000-0005-0000-0000-000047790000}"/>
    <cellStyle name="Normal 2 6 8 3" xfId="31045" xr:uid="{00000000-0005-0000-0000-000048790000}"/>
    <cellStyle name="Normal 2 6 8 3 2" xfId="31046" xr:uid="{00000000-0005-0000-0000-000049790000}"/>
    <cellStyle name="Normal 2 6 8 3 2 2" xfId="31047" xr:uid="{00000000-0005-0000-0000-00004A790000}"/>
    <cellStyle name="Normal 2 6 8 3 2 2 2" xfId="31048" xr:uid="{00000000-0005-0000-0000-00004B790000}"/>
    <cellStyle name="Normal 2 6 8 3 2 2 3" xfId="31049" xr:uid="{00000000-0005-0000-0000-00004C790000}"/>
    <cellStyle name="Normal 2 6 8 3 2 3" xfId="31050" xr:uid="{00000000-0005-0000-0000-00004D790000}"/>
    <cellStyle name="Normal 2 6 8 3 2 4" xfId="31051" xr:uid="{00000000-0005-0000-0000-00004E790000}"/>
    <cellStyle name="Normal 2 6 8 3 2 5" xfId="31052" xr:uid="{00000000-0005-0000-0000-00004F790000}"/>
    <cellStyle name="Normal 2 6 8 3 2 6" xfId="31053" xr:uid="{00000000-0005-0000-0000-000050790000}"/>
    <cellStyle name="Normal 2 6 8 3 3" xfId="31054" xr:uid="{00000000-0005-0000-0000-000051790000}"/>
    <cellStyle name="Normal 2 6 8 3 3 2" xfId="31055" xr:uid="{00000000-0005-0000-0000-000052790000}"/>
    <cellStyle name="Normal 2 6 8 3 3 2 2" xfId="31056" xr:uid="{00000000-0005-0000-0000-000053790000}"/>
    <cellStyle name="Normal 2 6 8 3 3 3" xfId="31057" xr:uid="{00000000-0005-0000-0000-000054790000}"/>
    <cellStyle name="Normal 2 6 8 3 3 4" xfId="31058" xr:uid="{00000000-0005-0000-0000-000055790000}"/>
    <cellStyle name="Normal 2 6 8 3 3 5" xfId="31059" xr:uid="{00000000-0005-0000-0000-000056790000}"/>
    <cellStyle name="Normal 2 6 8 3 4" xfId="31060" xr:uid="{00000000-0005-0000-0000-000057790000}"/>
    <cellStyle name="Normal 2 6 8 3 4 2" xfId="31061" xr:uid="{00000000-0005-0000-0000-000058790000}"/>
    <cellStyle name="Normal 2 6 8 3 4 3" xfId="31062" xr:uid="{00000000-0005-0000-0000-000059790000}"/>
    <cellStyle name="Normal 2 6 8 3 4 4" xfId="31063" xr:uid="{00000000-0005-0000-0000-00005A790000}"/>
    <cellStyle name="Normal 2 6 8 3 5" xfId="31064" xr:uid="{00000000-0005-0000-0000-00005B790000}"/>
    <cellStyle name="Normal 2 6 8 3 5 2" xfId="31065" xr:uid="{00000000-0005-0000-0000-00005C790000}"/>
    <cellStyle name="Normal 2 6 8 3 6" xfId="31066" xr:uid="{00000000-0005-0000-0000-00005D790000}"/>
    <cellStyle name="Normal 2 6 8 3 7" xfId="31067" xr:uid="{00000000-0005-0000-0000-00005E790000}"/>
    <cellStyle name="Normal 2 6 8 3 8" xfId="31068" xr:uid="{00000000-0005-0000-0000-00005F790000}"/>
    <cellStyle name="Normal 2 6 8 3 9" xfId="31069" xr:uid="{00000000-0005-0000-0000-000060790000}"/>
    <cellStyle name="Normal 2 6 8 4" xfId="31070" xr:uid="{00000000-0005-0000-0000-000061790000}"/>
    <cellStyle name="Normal 2 6 8 4 2" xfId="31071" xr:uid="{00000000-0005-0000-0000-000062790000}"/>
    <cellStyle name="Normal 2 6 8 4 2 2" xfId="31072" xr:uid="{00000000-0005-0000-0000-000063790000}"/>
    <cellStyle name="Normal 2 6 8 4 2 3" xfId="31073" xr:uid="{00000000-0005-0000-0000-000064790000}"/>
    <cellStyle name="Normal 2 6 8 4 3" xfId="31074" xr:uid="{00000000-0005-0000-0000-000065790000}"/>
    <cellStyle name="Normal 2 6 8 4 4" xfId="31075" xr:uid="{00000000-0005-0000-0000-000066790000}"/>
    <cellStyle name="Normal 2 6 8 4 5" xfId="31076" xr:uid="{00000000-0005-0000-0000-000067790000}"/>
    <cellStyle name="Normal 2 6 8 4 6" xfId="31077" xr:uid="{00000000-0005-0000-0000-000068790000}"/>
    <cellStyle name="Normal 2 6 8 5" xfId="31078" xr:uid="{00000000-0005-0000-0000-000069790000}"/>
    <cellStyle name="Normal 2 6 8 5 2" xfId="31079" xr:uid="{00000000-0005-0000-0000-00006A790000}"/>
    <cellStyle name="Normal 2 6 8 5 2 2" xfId="31080" xr:uid="{00000000-0005-0000-0000-00006B790000}"/>
    <cellStyle name="Normal 2 6 8 5 3" xfId="31081" xr:uid="{00000000-0005-0000-0000-00006C790000}"/>
    <cellStyle name="Normal 2 6 8 5 4" xfId="31082" xr:uid="{00000000-0005-0000-0000-00006D790000}"/>
    <cellStyle name="Normal 2 6 8 5 5" xfId="31083" xr:uid="{00000000-0005-0000-0000-00006E790000}"/>
    <cellStyle name="Normal 2 6 8 6" xfId="31084" xr:uid="{00000000-0005-0000-0000-00006F790000}"/>
    <cellStyle name="Normal 2 6 8 6 2" xfId="31085" xr:uid="{00000000-0005-0000-0000-000070790000}"/>
    <cellStyle name="Normal 2 6 8 6 3" xfId="31086" xr:uid="{00000000-0005-0000-0000-000071790000}"/>
    <cellStyle name="Normal 2 6 8 6 4" xfId="31087" xr:uid="{00000000-0005-0000-0000-000072790000}"/>
    <cellStyle name="Normal 2 6 8 7" xfId="31088" xr:uid="{00000000-0005-0000-0000-000073790000}"/>
    <cellStyle name="Normal 2 6 8 7 2" xfId="31089" xr:uid="{00000000-0005-0000-0000-000074790000}"/>
    <cellStyle name="Normal 2 6 8 8" xfId="31090" xr:uid="{00000000-0005-0000-0000-000075790000}"/>
    <cellStyle name="Normal 2 6 8 9" xfId="31091" xr:uid="{00000000-0005-0000-0000-000076790000}"/>
    <cellStyle name="Normal 2 6 9" xfId="31092" xr:uid="{00000000-0005-0000-0000-000077790000}"/>
    <cellStyle name="Normal 2 6 9 10" xfId="31093" xr:uid="{00000000-0005-0000-0000-000078790000}"/>
    <cellStyle name="Normal 2 6 9 11" xfId="31094" xr:uid="{00000000-0005-0000-0000-000079790000}"/>
    <cellStyle name="Normal 2 6 9 2" xfId="31095" xr:uid="{00000000-0005-0000-0000-00007A790000}"/>
    <cellStyle name="Normal 2 6 9 2 2" xfId="31096" xr:uid="{00000000-0005-0000-0000-00007B790000}"/>
    <cellStyle name="Normal 2 6 9 2 2 2" xfId="31097" xr:uid="{00000000-0005-0000-0000-00007C790000}"/>
    <cellStyle name="Normal 2 6 9 2 2 2 2" xfId="31098" xr:uid="{00000000-0005-0000-0000-00007D790000}"/>
    <cellStyle name="Normal 2 6 9 2 2 2 3" xfId="31099" xr:uid="{00000000-0005-0000-0000-00007E790000}"/>
    <cellStyle name="Normal 2 6 9 2 2 3" xfId="31100" xr:uid="{00000000-0005-0000-0000-00007F790000}"/>
    <cellStyle name="Normal 2 6 9 2 2 4" xfId="31101" xr:uid="{00000000-0005-0000-0000-000080790000}"/>
    <cellStyle name="Normal 2 6 9 2 2 5" xfId="31102" xr:uid="{00000000-0005-0000-0000-000081790000}"/>
    <cellStyle name="Normal 2 6 9 2 2 6" xfId="31103" xr:uid="{00000000-0005-0000-0000-000082790000}"/>
    <cellStyle name="Normal 2 6 9 2 3" xfId="31104" xr:uid="{00000000-0005-0000-0000-000083790000}"/>
    <cellStyle name="Normal 2 6 9 2 3 2" xfId="31105" xr:uid="{00000000-0005-0000-0000-000084790000}"/>
    <cellStyle name="Normal 2 6 9 2 3 2 2" xfId="31106" xr:uid="{00000000-0005-0000-0000-000085790000}"/>
    <cellStyle name="Normal 2 6 9 2 3 3" xfId="31107" xr:uid="{00000000-0005-0000-0000-000086790000}"/>
    <cellStyle name="Normal 2 6 9 2 3 4" xfId="31108" xr:uid="{00000000-0005-0000-0000-000087790000}"/>
    <cellStyle name="Normal 2 6 9 2 3 5" xfId="31109" xr:uid="{00000000-0005-0000-0000-000088790000}"/>
    <cellStyle name="Normal 2 6 9 2 4" xfId="31110" xr:uid="{00000000-0005-0000-0000-000089790000}"/>
    <cellStyle name="Normal 2 6 9 2 4 2" xfId="31111" xr:uid="{00000000-0005-0000-0000-00008A790000}"/>
    <cellStyle name="Normal 2 6 9 2 4 3" xfId="31112" xr:uid="{00000000-0005-0000-0000-00008B790000}"/>
    <cellStyle name="Normal 2 6 9 2 4 4" xfId="31113" xr:uid="{00000000-0005-0000-0000-00008C790000}"/>
    <cellStyle name="Normal 2 6 9 2 5" xfId="31114" xr:uid="{00000000-0005-0000-0000-00008D790000}"/>
    <cellStyle name="Normal 2 6 9 2 5 2" xfId="31115" xr:uid="{00000000-0005-0000-0000-00008E790000}"/>
    <cellStyle name="Normal 2 6 9 2 6" xfId="31116" xr:uid="{00000000-0005-0000-0000-00008F790000}"/>
    <cellStyle name="Normal 2 6 9 2 7" xfId="31117" xr:uid="{00000000-0005-0000-0000-000090790000}"/>
    <cellStyle name="Normal 2 6 9 2 8" xfId="31118" xr:uid="{00000000-0005-0000-0000-000091790000}"/>
    <cellStyle name="Normal 2 6 9 2 9" xfId="31119" xr:uid="{00000000-0005-0000-0000-000092790000}"/>
    <cellStyle name="Normal 2 6 9 3" xfId="31120" xr:uid="{00000000-0005-0000-0000-000093790000}"/>
    <cellStyle name="Normal 2 6 9 3 2" xfId="31121" xr:uid="{00000000-0005-0000-0000-000094790000}"/>
    <cellStyle name="Normal 2 6 9 3 2 2" xfId="31122" xr:uid="{00000000-0005-0000-0000-000095790000}"/>
    <cellStyle name="Normal 2 6 9 3 2 2 2" xfId="31123" xr:uid="{00000000-0005-0000-0000-000096790000}"/>
    <cellStyle name="Normal 2 6 9 3 2 2 3" xfId="31124" xr:uid="{00000000-0005-0000-0000-000097790000}"/>
    <cellStyle name="Normal 2 6 9 3 2 3" xfId="31125" xr:uid="{00000000-0005-0000-0000-000098790000}"/>
    <cellStyle name="Normal 2 6 9 3 2 4" xfId="31126" xr:uid="{00000000-0005-0000-0000-000099790000}"/>
    <cellStyle name="Normal 2 6 9 3 2 5" xfId="31127" xr:uid="{00000000-0005-0000-0000-00009A790000}"/>
    <cellStyle name="Normal 2 6 9 3 2 6" xfId="31128" xr:uid="{00000000-0005-0000-0000-00009B790000}"/>
    <cellStyle name="Normal 2 6 9 3 3" xfId="31129" xr:uid="{00000000-0005-0000-0000-00009C790000}"/>
    <cellStyle name="Normal 2 6 9 3 3 2" xfId="31130" xr:uid="{00000000-0005-0000-0000-00009D790000}"/>
    <cellStyle name="Normal 2 6 9 3 3 2 2" xfId="31131" xr:uid="{00000000-0005-0000-0000-00009E790000}"/>
    <cellStyle name="Normal 2 6 9 3 3 3" xfId="31132" xr:uid="{00000000-0005-0000-0000-00009F790000}"/>
    <cellStyle name="Normal 2 6 9 3 3 4" xfId="31133" xr:uid="{00000000-0005-0000-0000-0000A0790000}"/>
    <cellStyle name="Normal 2 6 9 3 3 5" xfId="31134" xr:uid="{00000000-0005-0000-0000-0000A1790000}"/>
    <cellStyle name="Normal 2 6 9 3 4" xfId="31135" xr:uid="{00000000-0005-0000-0000-0000A2790000}"/>
    <cellStyle name="Normal 2 6 9 3 4 2" xfId="31136" xr:uid="{00000000-0005-0000-0000-0000A3790000}"/>
    <cellStyle name="Normal 2 6 9 3 4 3" xfId="31137" xr:uid="{00000000-0005-0000-0000-0000A4790000}"/>
    <cellStyle name="Normal 2 6 9 3 4 4" xfId="31138" xr:uid="{00000000-0005-0000-0000-0000A5790000}"/>
    <cellStyle name="Normal 2 6 9 3 5" xfId="31139" xr:uid="{00000000-0005-0000-0000-0000A6790000}"/>
    <cellStyle name="Normal 2 6 9 3 5 2" xfId="31140" xr:uid="{00000000-0005-0000-0000-0000A7790000}"/>
    <cellStyle name="Normal 2 6 9 3 6" xfId="31141" xr:uid="{00000000-0005-0000-0000-0000A8790000}"/>
    <cellStyle name="Normal 2 6 9 3 7" xfId="31142" xr:uid="{00000000-0005-0000-0000-0000A9790000}"/>
    <cellStyle name="Normal 2 6 9 3 8" xfId="31143" xr:uid="{00000000-0005-0000-0000-0000AA790000}"/>
    <cellStyle name="Normal 2 6 9 3 9" xfId="31144" xr:uid="{00000000-0005-0000-0000-0000AB790000}"/>
    <cellStyle name="Normal 2 6 9 4" xfId="31145" xr:uid="{00000000-0005-0000-0000-0000AC790000}"/>
    <cellStyle name="Normal 2 6 9 4 2" xfId="31146" xr:uid="{00000000-0005-0000-0000-0000AD790000}"/>
    <cellStyle name="Normal 2 6 9 4 2 2" xfId="31147" xr:uid="{00000000-0005-0000-0000-0000AE790000}"/>
    <cellStyle name="Normal 2 6 9 4 2 3" xfId="31148" xr:uid="{00000000-0005-0000-0000-0000AF790000}"/>
    <cellStyle name="Normal 2 6 9 4 3" xfId="31149" xr:uid="{00000000-0005-0000-0000-0000B0790000}"/>
    <cellStyle name="Normal 2 6 9 4 4" xfId="31150" xr:uid="{00000000-0005-0000-0000-0000B1790000}"/>
    <cellStyle name="Normal 2 6 9 4 5" xfId="31151" xr:uid="{00000000-0005-0000-0000-0000B2790000}"/>
    <cellStyle name="Normal 2 6 9 4 6" xfId="31152" xr:uid="{00000000-0005-0000-0000-0000B3790000}"/>
    <cellStyle name="Normal 2 6 9 5" xfId="31153" xr:uid="{00000000-0005-0000-0000-0000B4790000}"/>
    <cellStyle name="Normal 2 6 9 5 2" xfId="31154" xr:uid="{00000000-0005-0000-0000-0000B5790000}"/>
    <cellStyle name="Normal 2 6 9 5 2 2" xfId="31155" xr:uid="{00000000-0005-0000-0000-0000B6790000}"/>
    <cellStyle name="Normal 2 6 9 5 3" xfId="31156" xr:uid="{00000000-0005-0000-0000-0000B7790000}"/>
    <cellStyle name="Normal 2 6 9 5 4" xfId="31157" xr:uid="{00000000-0005-0000-0000-0000B8790000}"/>
    <cellStyle name="Normal 2 6 9 5 5" xfId="31158" xr:uid="{00000000-0005-0000-0000-0000B9790000}"/>
    <cellStyle name="Normal 2 6 9 6" xfId="31159" xr:uid="{00000000-0005-0000-0000-0000BA790000}"/>
    <cellStyle name="Normal 2 6 9 6 2" xfId="31160" xr:uid="{00000000-0005-0000-0000-0000BB790000}"/>
    <cellStyle name="Normal 2 6 9 6 3" xfId="31161" xr:uid="{00000000-0005-0000-0000-0000BC790000}"/>
    <cellStyle name="Normal 2 6 9 6 4" xfId="31162" xr:uid="{00000000-0005-0000-0000-0000BD790000}"/>
    <cellStyle name="Normal 2 6 9 7" xfId="31163" xr:uid="{00000000-0005-0000-0000-0000BE790000}"/>
    <cellStyle name="Normal 2 6 9 7 2" xfId="31164" xr:uid="{00000000-0005-0000-0000-0000BF790000}"/>
    <cellStyle name="Normal 2 6 9 8" xfId="31165" xr:uid="{00000000-0005-0000-0000-0000C0790000}"/>
    <cellStyle name="Normal 2 6 9 9" xfId="31166" xr:uid="{00000000-0005-0000-0000-0000C1790000}"/>
    <cellStyle name="Normal 2 60" xfId="31167" xr:uid="{00000000-0005-0000-0000-0000C2790000}"/>
    <cellStyle name="Normal 2 60 10" xfId="31168" xr:uid="{00000000-0005-0000-0000-0000C3790000}"/>
    <cellStyle name="Normal 2 60 2" xfId="31169" xr:uid="{00000000-0005-0000-0000-0000C4790000}"/>
    <cellStyle name="Normal 2 60 2 2" xfId="31170" xr:uid="{00000000-0005-0000-0000-0000C5790000}"/>
    <cellStyle name="Normal 2 60 2 2 2" xfId="31171" xr:uid="{00000000-0005-0000-0000-0000C6790000}"/>
    <cellStyle name="Normal 2 60 2 2 3" xfId="31172" xr:uid="{00000000-0005-0000-0000-0000C7790000}"/>
    <cellStyle name="Normal 2 60 2 3" xfId="31173" xr:uid="{00000000-0005-0000-0000-0000C8790000}"/>
    <cellStyle name="Normal 2 60 2 4" xfId="31174" xr:uid="{00000000-0005-0000-0000-0000C9790000}"/>
    <cellStyle name="Normal 2 60 2 5" xfId="31175" xr:uid="{00000000-0005-0000-0000-0000CA790000}"/>
    <cellStyle name="Normal 2 60 2 6" xfId="31176" xr:uid="{00000000-0005-0000-0000-0000CB790000}"/>
    <cellStyle name="Normal 2 60 3" xfId="31177" xr:uid="{00000000-0005-0000-0000-0000CC790000}"/>
    <cellStyle name="Normal 2 60 3 2" xfId="31178" xr:uid="{00000000-0005-0000-0000-0000CD790000}"/>
    <cellStyle name="Normal 2 60 3 2 2" xfId="31179" xr:uid="{00000000-0005-0000-0000-0000CE790000}"/>
    <cellStyle name="Normal 2 60 3 2 3" xfId="31180" xr:uid="{00000000-0005-0000-0000-0000CF790000}"/>
    <cellStyle name="Normal 2 60 3 3" xfId="31181" xr:uid="{00000000-0005-0000-0000-0000D0790000}"/>
    <cellStyle name="Normal 2 60 3 4" xfId="31182" xr:uid="{00000000-0005-0000-0000-0000D1790000}"/>
    <cellStyle name="Normal 2 60 3 5" xfId="31183" xr:uid="{00000000-0005-0000-0000-0000D2790000}"/>
    <cellStyle name="Normal 2 60 3 6" xfId="31184" xr:uid="{00000000-0005-0000-0000-0000D3790000}"/>
    <cellStyle name="Normal 2 60 4" xfId="31185" xr:uid="{00000000-0005-0000-0000-0000D4790000}"/>
    <cellStyle name="Normal 2 60 4 2" xfId="31186" xr:uid="{00000000-0005-0000-0000-0000D5790000}"/>
    <cellStyle name="Normal 2 60 4 2 2" xfId="31187" xr:uid="{00000000-0005-0000-0000-0000D6790000}"/>
    <cellStyle name="Normal 2 60 4 3" xfId="31188" xr:uid="{00000000-0005-0000-0000-0000D7790000}"/>
    <cellStyle name="Normal 2 60 4 4" xfId="31189" xr:uid="{00000000-0005-0000-0000-0000D8790000}"/>
    <cellStyle name="Normal 2 60 4 5" xfId="31190" xr:uid="{00000000-0005-0000-0000-0000D9790000}"/>
    <cellStyle name="Normal 2 60 5" xfId="31191" xr:uid="{00000000-0005-0000-0000-0000DA790000}"/>
    <cellStyle name="Normal 2 60 5 2" xfId="31192" xr:uid="{00000000-0005-0000-0000-0000DB790000}"/>
    <cellStyle name="Normal 2 60 5 3" xfId="31193" xr:uid="{00000000-0005-0000-0000-0000DC790000}"/>
    <cellStyle name="Normal 2 60 5 4" xfId="31194" xr:uid="{00000000-0005-0000-0000-0000DD790000}"/>
    <cellStyle name="Normal 2 60 6" xfId="31195" xr:uid="{00000000-0005-0000-0000-0000DE790000}"/>
    <cellStyle name="Normal 2 60 6 2" xfId="31196" xr:uid="{00000000-0005-0000-0000-0000DF790000}"/>
    <cellStyle name="Normal 2 60 7" xfId="31197" xr:uid="{00000000-0005-0000-0000-0000E0790000}"/>
    <cellStyle name="Normal 2 60 8" xfId="31198" xr:uid="{00000000-0005-0000-0000-0000E1790000}"/>
    <cellStyle name="Normal 2 60 9" xfId="31199" xr:uid="{00000000-0005-0000-0000-0000E2790000}"/>
    <cellStyle name="Normal 2 61" xfId="31200" xr:uid="{00000000-0005-0000-0000-0000E3790000}"/>
    <cellStyle name="Normal 2 61 2" xfId="31201" xr:uid="{00000000-0005-0000-0000-0000E4790000}"/>
    <cellStyle name="Normal 2 61 2 2" xfId="31202" xr:uid="{00000000-0005-0000-0000-0000E5790000}"/>
    <cellStyle name="Normal 2 61 2 2 2" xfId="31203" xr:uid="{00000000-0005-0000-0000-0000E6790000}"/>
    <cellStyle name="Normal 2 61 2 2 3" xfId="31204" xr:uid="{00000000-0005-0000-0000-0000E7790000}"/>
    <cellStyle name="Normal 2 61 2 3" xfId="31205" xr:uid="{00000000-0005-0000-0000-0000E8790000}"/>
    <cellStyle name="Normal 2 61 2 4" xfId="31206" xr:uid="{00000000-0005-0000-0000-0000E9790000}"/>
    <cellStyle name="Normal 2 61 2 5" xfId="31207" xr:uid="{00000000-0005-0000-0000-0000EA790000}"/>
    <cellStyle name="Normal 2 61 2 6" xfId="31208" xr:uid="{00000000-0005-0000-0000-0000EB790000}"/>
    <cellStyle name="Normal 2 61 3" xfId="31209" xr:uid="{00000000-0005-0000-0000-0000EC790000}"/>
    <cellStyle name="Normal 2 61 3 2" xfId="31210" xr:uid="{00000000-0005-0000-0000-0000ED790000}"/>
    <cellStyle name="Normal 2 61 3 2 2" xfId="31211" xr:uid="{00000000-0005-0000-0000-0000EE790000}"/>
    <cellStyle name="Normal 2 61 3 3" xfId="31212" xr:uid="{00000000-0005-0000-0000-0000EF790000}"/>
    <cellStyle name="Normal 2 61 3 4" xfId="31213" xr:uid="{00000000-0005-0000-0000-0000F0790000}"/>
    <cellStyle name="Normal 2 61 3 5" xfId="31214" xr:uid="{00000000-0005-0000-0000-0000F1790000}"/>
    <cellStyle name="Normal 2 61 4" xfId="31215" xr:uid="{00000000-0005-0000-0000-0000F2790000}"/>
    <cellStyle name="Normal 2 61 4 2" xfId="31216" xr:uid="{00000000-0005-0000-0000-0000F3790000}"/>
    <cellStyle name="Normal 2 61 4 3" xfId="31217" xr:uid="{00000000-0005-0000-0000-0000F4790000}"/>
    <cellStyle name="Normal 2 61 4 4" xfId="31218" xr:uid="{00000000-0005-0000-0000-0000F5790000}"/>
    <cellStyle name="Normal 2 61 5" xfId="31219" xr:uid="{00000000-0005-0000-0000-0000F6790000}"/>
    <cellStyle name="Normal 2 61 5 2" xfId="31220" xr:uid="{00000000-0005-0000-0000-0000F7790000}"/>
    <cellStyle name="Normal 2 61 6" xfId="31221" xr:uid="{00000000-0005-0000-0000-0000F8790000}"/>
    <cellStyle name="Normal 2 61 7" xfId="31222" xr:uid="{00000000-0005-0000-0000-0000F9790000}"/>
    <cellStyle name="Normal 2 61 8" xfId="31223" xr:uid="{00000000-0005-0000-0000-0000FA790000}"/>
    <cellStyle name="Normal 2 61 9" xfId="31224" xr:uid="{00000000-0005-0000-0000-0000FB790000}"/>
    <cellStyle name="Normal 2 62" xfId="31225" xr:uid="{00000000-0005-0000-0000-0000FC790000}"/>
    <cellStyle name="Normal 2 62 2" xfId="31226" xr:uid="{00000000-0005-0000-0000-0000FD790000}"/>
    <cellStyle name="Normal 2 62 2 2" xfId="31227" xr:uid="{00000000-0005-0000-0000-0000FE790000}"/>
    <cellStyle name="Normal 2 62 2 2 2" xfId="31228" xr:uid="{00000000-0005-0000-0000-0000FF790000}"/>
    <cellStyle name="Normal 2 62 2 3" xfId="31229" xr:uid="{00000000-0005-0000-0000-0000007A0000}"/>
    <cellStyle name="Normal 2 62 2 4" xfId="31230" xr:uid="{00000000-0005-0000-0000-0000017A0000}"/>
    <cellStyle name="Normal 2 62 2 5" xfId="31231" xr:uid="{00000000-0005-0000-0000-0000027A0000}"/>
    <cellStyle name="Normal 2 62 3" xfId="31232" xr:uid="{00000000-0005-0000-0000-0000037A0000}"/>
    <cellStyle name="Normal 2 62 3 2" xfId="31233" xr:uid="{00000000-0005-0000-0000-0000047A0000}"/>
    <cellStyle name="Normal 2 62 3 3" xfId="31234" xr:uid="{00000000-0005-0000-0000-0000057A0000}"/>
    <cellStyle name="Normal 2 62 3 4" xfId="31235" xr:uid="{00000000-0005-0000-0000-0000067A0000}"/>
    <cellStyle name="Normal 2 62 4" xfId="31236" xr:uid="{00000000-0005-0000-0000-0000077A0000}"/>
    <cellStyle name="Normal 2 62 4 2" xfId="31237" xr:uid="{00000000-0005-0000-0000-0000087A0000}"/>
    <cellStyle name="Normal 2 62 5" xfId="31238" xr:uid="{00000000-0005-0000-0000-0000097A0000}"/>
    <cellStyle name="Normal 2 62 6" xfId="31239" xr:uid="{00000000-0005-0000-0000-00000A7A0000}"/>
    <cellStyle name="Normal 2 62 7" xfId="31240" xr:uid="{00000000-0005-0000-0000-00000B7A0000}"/>
    <cellStyle name="Normal 2 62 8" xfId="31241" xr:uid="{00000000-0005-0000-0000-00000C7A0000}"/>
    <cellStyle name="Normal 2 63" xfId="31242" xr:uid="{00000000-0005-0000-0000-00000D7A0000}"/>
    <cellStyle name="Normal 2 63 2" xfId="31243" xr:uid="{00000000-0005-0000-0000-00000E7A0000}"/>
    <cellStyle name="Normal 2 63 2 2" xfId="31244" xr:uid="{00000000-0005-0000-0000-00000F7A0000}"/>
    <cellStyle name="Normal 2 63 2 3" xfId="31245" xr:uid="{00000000-0005-0000-0000-0000107A0000}"/>
    <cellStyle name="Normal 2 63 2 4" xfId="31246" xr:uid="{00000000-0005-0000-0000-0000117A0000}"/>
    <cellStyle name="Normal 2 63 3" xfId="31247" xr:uid="{00000000-0005-0000-0000-0000127A0000}"/>
    <cellStyle name="Normal 2 63 3 2" xfId="31248" xr:uid="{00000000-0005-0000-0000-0000137A0000}"/>
    <cellStyle name="Normal 2 63 4" xfId="31249" xr:uid="{00000000-0005-0000-0000-0000147A0000}"/>
    <cellStyle name="Normal 2 63 5" xfId="31250" xr:uid="{00000000-0005-0000-0000-0000157A0000}"/>
    <cellStyle name="Normal 2 63 6" xfId="31251" xr:uid="{00000000-0005-0000-0000-0000167A0000}"/>
    <cellStyle name="Normal 2 63 7" xfId="31252" xr:uid="{00000000-0005-0000-0000-0000177A0000}"/>
    <cellStyle name="Normal 2 64" xfId="31253" xr:uid="{00000000-0005-0000-0000-0000187A0000}"/>
    <cellStyle name="Normal 2 64 2" xfId="31254" xr:uid="{00000000-0005-0000-0000-0000197A0000}"/>
    <cellStyle name="Normal 2 64 2 2" xfId="31255" xr:uid="{00000000-0005-0000-0000-00001A7A0000}"/>
    <cellStyle name="Normal 2 64 3" xfId="31256" xr:uid="{00000000-0005-0000-0000-00001B7A0000}"/>
    <cellStyle name="Normal 2 64 4" xfId="31257" xr:uid="{00000000-0005-0000-0000-00001C7A0000}"/>
    <cellStyle name="Normal 2 64 5" xfId="31258" xr:uid="{00000000-0005-0000-0000-00001D7A0000}"/>
    <cellStyle name="Normal 2 65" xfId="31259" xr:uid="{00000000-0005-0000-0000-00001E7A0000}"/>
    <cellStyle name="Normal 2 65 2" xfId="31260" xr:uid="{00000000-0005-0000-0000-00001F7A0000}"/>
    <cellStyle name="Normal 2 65 3" xfId="31261" xr:uid="{00000000-0005-0000-0000-0000207A0000}"/>
    <cellStyle name="Normal 2 65 4" xfId="31262" xr:uid="{00000000-0005-0000-0000-0000217A0000}"/>
    <cellStyle name="Normal 2 66" xfId="31263" xr:uid="{00000000-0005-0000-0000-0000227A0000}"/>
    <cellStyle name="Normal 2 66 2" xfId="31264" xr:uid="{00000000-0005-0000-0000-0000237A0000}"/>
    <cellStyle name="Normal 2 67" xfId="31265" xr:uid="{00000000-0005-0000-0000-0000247A0000}"/>
    <cellStyle name="Normal 2 68" xfId="31266" xr:uid="{00000000-0005-0000-0000-0000257A0000}"/>
    <cellStyle name="Normal 2 69" xfId="31267" xr:uid="{00000000-0005-0000-0000-0000267A0000}"/>
    <cellStyle name="Normal 2 7" xfId="31268" xr:uid="{00000000-0005-0000-0000-0000277A0000}"/>
    <cellStyle name="Normal 2 7 10" xfId="31269" xr:uid="{00000000-0005-0000-0000-0000287A0000}"/>
    <cellStyle name="Normal 2 7 10 10" xfId="31270" xr:uid="{00000000-0005-0000-0000-0000297A0000}"/>
    <cellStyle name="Normal 2 7 10 11" xfId="31271" xr:uid="{00000000-0005-0000-0000-00002A7A0000}"/>
    <cellStyle name="Normal 2 7 10 2" xfId="31272" xr:uid="{00000000-0005-0000-0000-00002B7A0000}"/>
    <cellStyle name="Normal 2 7 10 2 2" xfId="31273" xr:uid="{00000000-0005-0000-0000-00002C7A0000}"/>
    <cellStyle name="Normal 2 7 10 2 2 2" xfId="31274" xr:uid="{00000000-0005-0000-0000-00002D7A0000}"/>
    <cellStyle name="Normal 2 7 10 2 2 2 2" xfId="31275" xr:uid="{00000000-0005-0000-0000-00002E7A0000}"/>
    <cellStyle name="Normal 2 7 10 2 2 2 3" xfId="31276" xr:uid="{00000000-0005-0000-0000-00002F7A0000}"/>
    <cellStyle name="Normal 2 7 10 2 2 3" xfId="31277" xr:uid="{00000000-0005-0000-0000-0000307A0000}"/>
    <cellStyle name="Normal 2 7 10 2 2 4" xfId="31278" xr:uid="{00000000-0005-0000-0000-0000317A0000}"/>
    <cellStyle name="Normal 2 7 10 2 2 5" xfId="31279" xr:uid="{00000000-0005-0000-0000-0000327A0000}"/>
    <cellStyle name="Normal 2 7 10 2 2 6" xfId="31280" xr:uid="{00000000-0005-0000-0000-0000337A0000}"/>
    <cellStyle name="Normal 2 7 10 2 3" xfId="31281" xr:uid="{00000000-0005-0000-0000-0000347A0000}"/>
    <cellStyle name="Normal 2 7 10 2 3 2" xfId="31282" xr:uid="{00000000-0005-0000-0000-0000357A0000}"/>
    <cellStyle name="Normal 2 7 10 2 3 2 2" xfId="31283" xr:uid="{00000000-0005-0000-0000-0000367A0000}"/>
    <cellStyle name="Normal 2 7 10 2 3 3" xfId="31284" xr:uid="{00000000-0005-0000-0000-0000377A0000}"/>
    <cellStyle name="Normal 2 7 10 2 3 4" xfId="31285" xr:uid="{00000000-0005-0000-0000-0000387A0000}"/>
    <cellStyle name="Normal 2 7 10 2 3 5" xfId="31286" xr:uid="{00000000-0005-0000-0000-0000397A0000}"/>
    <cellStyle name="Normal 2 7 10 2 4" xfId="31287" xr:uid="{00000000-0005-0000-0000-00003A7A0000}"/>
    <cellStyle name="Normal 2 7 10 2 4 2" xfId="31288" xr:uid="{00000000-0005-0000-0000-00003B7A0000}"/>
    <cellStyle name="Normal 2 7 10 2 4 3" xfId="31289" xr:uid="{00000000-0005-0000-0000-00003C7A0000}"/>
    <cellStyle name="Normal 2 7 10 2 4 4" xfId="31290" xr:uid="{00000000-0005-0000-0000-00003D7A0000}"/>
    <cellStyle name="Normal 2 7 10 2 5" xfId="31291" xr:uid="{00000000-0005-0000-0000-00003E7A0000}"/>
    <cellStyle name="Normal 2 7 10 2 5 2" xfId="31292" xr:uid="{00000000-0005-0000-0000-00003F7A0000}"/>
    <cellStyle name="Normal 2 7 10 2 6" xfId="31293" xr:uid="{00000000-0005-0000-0000-0000407A0000}"/>
    <cellStyle name="Normal 2 7 10 2 7" xfId="31294" xr:uid="{00000000-0005-0000-0000-0000417A0000}"/>
    <cellStyle name="Normal 2 7 10 2 8" xfId="31295" xr:uid="{00000000-0005-0000-0000-0000427A0000}"/>
    <cellStyle name="Normal 2 7 10 2 9" xfId="31296" xr:uid="{00000000-0005-0000-0000-0000437A0000}"/>
    <cellStyle name="Normal 2 7 10 3" xfId="31297" xr:uid="{00000000-0005-0000-0000-0000447A0000}"/>
    <cellStyle name="Normal 2 7 10 3 2" xfId="31298" xr:uid="{00000000-0005-0000-0000-0000457A0000}"/>
    <cellStyle name="Normal 2 7 10 3 2 2" xfId="31299" xr:uid="{00000000-0005-0000-0000-0000467A0000}"/>
    <cellStyle name="Normal 2 7 10 3 2 2 2" xfId="31300" xr:uid="{00000000-0005-0000-0000-0000477A0000}"/>
    <cellStyle name="Normal 2 7 10 3 2 2 3" xfId="31301" xr:uid="{00000000-0005-0000-0000-0000487A0000}"/>
    <cellStyle name="Normal 2 7 10 3 2 3" xfId="31302" xr:uid="{00000000-0005-0000-0000-0000497A0000}"/>
    <cellStyle name="Normal 2 7 10 3 2 4" xfId="31303" xr:uid="{00000000-0005-0000-0000-00004A7A0000}"/>
    <cellStyle name="Normal 2 7 10 3 2 5" xfId="31304" xr:uid="{00000000-0005-0000-0000-00004B7A0000}"/>
    <cellStyle name="Normal 2 7 10 3 2 6" xfId="31305" xr:uid="{00000000-0005-0000-0000-00004C7A0000}"/>
    <cellStyle name="Normal 2 7 10 3 3" xfId="31306" xr:uid="{00000000-0005-0000-0000-00004D7A0000}"/>
    <cellStyle name="Normal 2 7 10 3 3 2" xfId="31307" xr:uid="{00000000-0005-0000-0000-00004E7A0000}"/>
    <cellStyle name="Normal 2 7 10 3 3 2 2" xfId="31308" xr:uid="{00000000-0005-0000-0000-00004F7A0000}"/>
    <cellStyle name="Normal 2 7 10 3 3 3" xfId="31309" xr:uid="{00000000-0005-0000-0000-0000507A0000}"/>
    <cellStyle name="Normal 2 7 10 3 3 4" xfId="31310" xr:uid="{00000000-0005-0000-0000-0000517A0000}"/>
    <cellStyle name="Normal 2 7 10 3 3 5" xfId="31311" xr:uid="{00000000-0005-0000-0000-0000527A0000}"/>
    <cellStyle name="Normal 2 7 10 3 4" xfId="31312" xr:uid="{00000000-0005-0000-0000-0000537A0000}"/>
    <cellStyle name="Normal 2 7 10 3 4 2" xfId="31313" xr:uid="{00000000-0005-0000-0000-0000547A0000}"/>
    <cellStyle name="Normal 2 7 10 3 4 3" xfId="31314" xr:uid="{00000000-0005-0000-0000-0000557A0000}"/>
    <cellStyle name="Normal 2 7 10 3 4 4" xfId="31315" xr:uid="{00000000-0005-0000-0000-0000567A0000}"/>
    <cellStyle name="Normal 2 7 10 3 5" xfId="31316" xr:uid="{00000000-0005-0000-0000-0000577A0000}"/>
    <cellStyle name="Normal 2 7 10 3 5 2" xfId="31317" xr:uid="{00000000-0005-0000-0000-0000587A0000}"/>
    <cellStyle name="Normal 2 7 10 3 6" xfId="31318" xr:uid="{00000000-0005-0000-0000-0000597A0000}"/>
    <cellStyle name="Normal 2 7 10 3 7" xfId="31319" xr:uid="{00000000-0005-0000-0000-00005A7A0000}"/>
    <cellStyle name="Normal 2 7 10 3 8" xfId="31320" xr:uid="{00000000-0005-0000-0000-00005B7A0000}"/>
    <cellStyle name="Normal 2 7 10 3 9" xfId="31321" xr:uid="{00000000-0005-0000-0000-00005C7A0000}"/>
    <cellStyle name="Normal 2 7 10 4" xfId="31322" xr:uid="{00000000-0005-0000-0000-00005D7A0000}"/>
    <cellStyle name="Normal 2 7 10 4 2" xfId="31323" xr:uid="{00000000-0005-0000-0000-00005E7A0000}"/>
    <cellStyle name="Normal 2 7 10 4 2 2" xfId="31324" xr:uid="{00000000-0005-0000-0000-00005F7A0000}"/>
    <cellStyle name="Normal 2 7 10 4 2 3" xfId="31325" xr:uid="{00000000-0005-0000-0000-0000607A0000}"/>
    <cellStyle name="Normal 2 7 10 4 3" xfId="31326" xr:uid="{00000000-0005-0000-0000-0000617A0000}"/>
    <cellStyle name="Normal 2 7 10 4 4" xfId="31327" xr:uid="{00000000-0005-0000-0000-0000627A0000}"/>
    <cellStyle name="Normal 2 7 10 4 5" xfId="31328" xr:uid="{00000000-0005-0000-0000-0000637A0000}"/>
    <cellStyle name="Normal 2 7 10 4 6" xfId="31329" xr:uid="{00000000-0005-0000-0000-0000647A0000}"/>
    <cellStyle name="Normal 2 7 10 5" xfId="31330" xr:uid="{00000000-0005-0000-0000-0000657A0000}"/>
    <cellStyle name="Normal 2 7 10 5 2" xfId="31331" xr:uid="{00000000-0005-0000-0000-0000667A0000}"/>
    <cellStyle name="Normal 2 7 10 5 2 2" xfId="31332" xr:uid="{00000000-0005-0000-0000-0000677A0000}"/>
    <cellStyle name="Normal 2 7 10 5 3" xfId="31333" xr:uid="{00000000-0005-0000-0000-0000687A0000}"/>
    <cellStyle name="Normal 2 7 10 5 4" xfId="31334" xr:uid="{00000000-0005-0000-0000-0000697A0000}"/>
    <cellStyle name="Normal 2 7 10 5 5" xfId="31335" xr:uid="{00000000-0005-0000-0000-00006A7A0000}"/>
    <cellStyle name="Normal 2 7 10 6" xfId="31336" xr:uid="{00000000-0005-0000-0000-00006B7A0000}"/>
    <cellStyle name="Normal 2 7 10 6 2" xfId="31337" xr:uid="{00000000-0005-0000-0000-00006C7A0000}"/>
    <cellStyle name="Normal 2 7 10 6 3" xfId="31338" xr:uid="{00000000-0005-0000-0000-00006D7A0000}"/>
    <cellStyle name="Normal 2 7 10 6 4" xfId="31339" xr:uid="{00000000-0005-0000-0000-00006E7A0000}"/>
    <cellStyle name="Normal 2 7 10 7" xfId="31340" xr:uid="{00000000-0005-0000-0000-00006F7A0000}"/>
    <cellStyle name="Normal 2 7 10 7 2" xfId="31341" xr:uid="{00000000-0005-0000-0000-0000707A0000}"/>
    <cellStyle name="Normal 2 7 10 8" xfId="31342" xr:uid="{00000000-0005-0000-0000-0000717A0000}"/>
    <cellStyle name="Normal 2 7 10 9" xfId="31343" xr:uid="{00000000-0005-0000-0000-0000727A0000}"/>
    <cellStyle name="Normal 2 7 11" xfId="31344" xr:uid="{00000000-0005-0000-0000-0000737A0000}"/>
    <cellStyle name="Normal 2 7 11 10" xfId="31345" xr:uid="{00000000-0005-0000-0000-0000747A0000}"/>
    <cellStyle name="Normal 2 7 11 2" xfId="31346" xr:uid="{00000000-0005-0000-0000-0000757A0000}"/>
    <cellStyle name="Normal 2 7 11 2 2" xfId="31347" xr:uid="{00000000-0005-0000-0000-0000767A0000}"/>
    <cellStyle name="Normal 2 7 11 2 2 2" xfId="31348" xr:uid="{00000000-0005-0000-0000-0000777A0000}"/>
    <cellStyle name="Normal 2 7 11 2 2 3" xfId="31349" xr:uid="{00000000-0005-0000-0000-0000787A0000}"/>
    <cellStyle name="Normal 2 7 11 2 3" xfId="31350" xr:uid="{00000000-0005-0000-0000-0000797A0000}"/>
    <cellStyle name="Normal 2 7 11 2 4" xfId="31351" xr:uid="{00000000-0005-0000-0000-00007A7A0000}"/>
    <cellStyle name="Normal 2 7 11 2 5" xfId="31352" xr:uid="{00000000-0005-0000-0000-00007B7A0000}"/>
    <cellStyle name="Normal 2 7 11 2 6" xfId="31353" xr:uid="{00000000-0005-0000-0000-00007C7A0000}"/>
    <cellStyle name="Normal 2 7 11 3" xfId="31354" xr:uid="{00000000-0005-0000-0000-00007D7A0000}"/>
    <cellStyle name="Normal 2 7 11 3 2" xfId="31355" xr:uid="{00000000-0005-0000-0000-00007E7A0000}"/>
    <cellStyle name="Normal 2 7 11 3 2 2" xfId="31356" xr:uid="{00000000-0005-0000-0000-00007F7A0000}"/>
    <cellStyle name="Normal 2 7 11 3 2 3" xfId="31357" xr:uid="{00000000-0005-0000-0000-0000807A0000}"/>
    <cellStyle name="Normal 2 7 11 3 3" xfId="31358" xr:uid="{00000000-0005-0000-0000-0000817A0000}"/>
    <cellStyle name="Normal 2 7 11 3 4" xfId="31359" xr:uid="{00000000-0005-0000-0000-0000827A0000}"/>
    <cellStyle name="Normal 2 7 11 3 5" xfId="31360" xr:uid="{00000000-0005-0000-0000-0000837A0000}"/>
    <cellStyle name="Normal 2 7 11 3 6" xfId="31361" xr:uid="{00000000-0005-0000-0000-0000847A0000}"/>
    <cellStyle name="Normal 2 7 11 4" xfId="31362" xr:uid="{00000000-0005-0000-0000-0000857A0000}"/>
    <cellStyle name="Normal 2 7 11 4 2" xfId="31363" xr:uid="{00000000-0005-0000-0000-0000867A0000}"/>
    <cellStyle name="Normal 2 7 11 4 2 2" xfId="31364" xr:uid="{00000000-0005-0000-0000-0000877A0000}"/>
    <cellStyle name="Normal 2 7 11 4 3" xfId="31365" xr:uid="{00000000-0005-0000-0000-0000887A0000}"/>
    <cellStyle name="Normal 2 7 11 4 4" xfId="31366" xr:uid="{00000000-0005-0000-0000-0000897A0000}"/>
    <cellStyle name="Normal 2 7 11 4 5" xfId="31367" xr:uid="{00000000-0005-0000-0000-00008A7A0000}"/>
    <cellStyle name="Normal 2 7 11 5" xfId="31368" xr:uid="{00000000-0005-0000-0000-00008B7A0000}"/>
    <cellStyle name="Normal 2 7 11 5 2" xfId="31369" xr:uid="{00000000-0005-0000-0000-00008C7A0000}"/>
    <cellStyle name="Normal 2 7 11 5 3" xfId="31370" xr:uid="{00000000-0005-0000-0000-00008D7A0000}"/>
    <cellStyle name="Normal 2 7 11 5 4" xfId="31371" xr:uid="{00000000-0005-0000-0000-00008E7A0000}"/>
    <cellStyle name="Normal 2 7 11 6" xfId="31372" xr:uid="{00000000-0005-0000-0000-00008F7A0000}"/>
    <cellStyle name="Normal 2 7 11 6 2" xfId="31373" xr:uid="{00000000-0005-0000-0000-0000907A0000}"/>
    <cellStyle name="Normal 2 7 11 7" xfId="31374" xr:uid="{00000000-0005-0000-0000-0000917A0000}"/>
    <cellStyle name="Normal 2 7 11 8" xfId="31375" xr:uid="{00000000-0005-0000-0000-0000927A0000}"/>
    <cellStyle name="Normal 2 7 11 9" xfId="31376" xr:uid="{00000000-0005-0000-0000-0000937A0000}"/>
    <cellStyle name="Normal 2 7 12" xfId="31377" xr:uid="{00000000-0005-0000-0000-0000947A0000}"/>
    <cellStyle name="Normal 2 7 12 10" xfId="31378" xr:uid="{00000000-0005-0000-0000-0000957A0000}"/>
    <cellStyle name="Normal 2 7 12 2" xfId="31379" xr:uid="{00000000-0005-0000-0000-0000967A0000}"/>
    <cellStyle name="Normal 2 7 12 2 2" xfId="31380" xr:uid="{00000000-0005-0000-0000-0000977A0000}"/>
    <cellStyle name="Normal 2 7 12 2 2 2" xfId="31381" xr:uid="{00000000-0005-0000-0000-0000987A0000}"/>
    <cellStyle name="Normal 2 7 12 2 2 3" xfId="31382" xr:uid="{00000000-0005-0000-0000-0000997A0000}"/>
    <cellStyle name="Normal 2 7 12 2 3" xfId="31383" xr:uid="{00000000-0005-0000-0000-00009A7A0000}"/>
    <cellStyle name="Normal 2 7 12 2 4" xfId="31384" xr:uid="{00000000-0005-0000-0000-00009B7A0000}"/>
    <cellStyle name="Normal 2 7 12 2 5" xfId="31385" xr:uid="{00000000-0005-0000-0000-00009C7A0000}"/>
    <cellStyle name="Normal 2 7 12 2 6" xfId="31386" xr:uid="{00000000-0005-0000-0000-00009D7A0000}"/>
    <cellStyle name="Normal 2 7 12 3" xfId="31387" xr:uid="{00000000-0005-0000-0000-00009E7A0000}"/>
    <cellStyle name="Normal 2 7 12 3 2" xfId="31388" xr:uid="{00000000-0005-0000-0000-00009F7A0000}"/>
    <cellStyle name="Normal 2 7 12 3 2 2" xfId="31389" xr:uid="{00000000-0005-0000-0000-0000A07A0000}"/>
    <cellStyle name="Normal 2 7 12 3 2 3" xfId="31390" xr:uid="{00000000-0005-0000-0000-0000A17A0000}"/>
    <cellStyle name="Normal 2 7 12 3 3" xfId="31391" xr:uid="{00000000-0005-0000-0000-0000A27A0000}"/>
    <cellStyle name="Normal 2 7 12 3 4" xfId="31392" xr:uid="{00000000-0005-0000-0000-0000A37A0000}"/>
    <cellStyle name="Normal 2 7 12 3 5" xfId="31393" xr:uid="{00000000-0005-0000-0000-0000A47A0000}"/>
    <cellStyle name="Normal 2 7 12 3 6" xfId="31394" xr:uid="{00000000-0005-0000-0000-0000A57A0000}"/>
    <cellStyle name="Normal 2 7 12 4" xfId="31395" xr:uid="{00000000-0005-0000-0000-0000A67A0000}"/>
    <cellStyle name="Normal 2 7 12 4 2" xfId="31396" xr:uid="{00000000-0005-0000-0000-0000A77A0000}"/>
    <cellStyle name="Normal 2 7 12 4 2 2" xfId="31397" xr:uid="{00000000-0005-0000-0000-0000A87A0000}"/>
    <cellStyle name="Normal 2 7 12 4 3" xfId="31398" xr:uid="{00000000-0005-0000-0000-0000A97A0000}"/>
    <cellStyle name="Normal 2 7 12 4 4" xfId="31399" xr:uid="{00000000-0005-0000-0000-0000AA7A0000}"/>
    <cellStyle name="Normal 2 7 12 4 5" xfId="31400" xr:uid="{00000000-0005-0000-0000-0000AB7A0000}"/>
    <cellStyle name="Normal 2 7 12 5" xfId="31401" xr:uid="{00000000-0005-0000-0000-0000AC7A0000}"/>
    <cellStyle name="Normal 2 7 12 5 2" xfId="31402" xr:uid="{00000000-0005-0000-0000-0000AD7A0000}"/>
    <cellStyle name="Normal 2 7 12 5 3" xfId="31403" xr:uid="{00000000-0005-0000-0000-0000AE7A0000}"/>
    <cellStyle name="Normal 2 7 12 5 4" xfId="31404" xr:uid="{00000000-0005-0000-0000-0000AF7A0000}"/>
    <cellStyle name="Normal 2 7 12 6" xfId="31405" xr:uid="{00000000-0005-0000-0000-0000B07A0000}"/>
    <cellStyle name="Normal 2 7 12 6 2" xfId="31406" xr:uid="{00000000-0005-0000-0000-0000B17A0000}"/>
    <cellStyle name="Normal 2 7 12 7" xfId="31407" xr:uid="{00000000-0005-0000-0000-0000B27A0000}"/>
    <cellStyle name="Normal 2 7 12 8" xfId="31408" xr:uid="{00000000-0005-0000-0000-0000B37A0000}"/>
    <cellStyle name="Normal 2 7 12 9" xfId="31409" xr:uid="{00000000-0005-0000-0000-0000B47A0000}"/>
    <cellStyle name="Normal 2 7 13" xfId="31410" xr:uid="{00000000-0005-0000-0000-0000B57A0000}"/>
    <cellStyle name="Normal 2 7 13 10" xfId="31411" xr:uid="{00000000-0005-0000-0000-0000B67A0000}"/>
    <cellStyle name="Normal 2 7 13 2" xfId="31412" xr:uid="{00000000-0005-0000-0000-0000B77A0000}"/>
    <cellStyle name="Normal 2 7 13 2 2" xfId="31413" xr:uid="{00000000-0005-0000-0000-0000B87A0000}"/>
    <cellStyle name="Normal 2 7 13 2 2 2" xfId="31414" xr:uid="{00000000-0005-0000-0000-0000B97A0000}"/>
    <cellStyle name="Normal 2 7 13 2 2 3" xfId="31415" xr:uid="{00000000-0005-0000-0000-0000BA7A0000}"/>
    <cellStyle name="Normal 2 7 13 2 3" xfId="31416" xr:uid="{00000000-0005-0000-0000-0000BB7A0000}"/>
    <cellStyle name="Normal 2 7 13 2 4" xfId="31417" xr:uid="{00000000-0005-0000-0000-0000BC7A0000}"/>
    <cellStyle name="Normal 2 7 13 2 5" xfId="31418" xr:uid="{00000000-0005-0000-0000-0000BD7A0000}"/>
    <cellStyle name="Normal 2 7 13 2 6" xfId="31419" xr:uid="{00000000-0005-0000-0000-0000BE7A0000}"/>
    <cellStyle name="Normal 2 7 13 3" xfId="31420" xr:uid="{00000000-0005-0000-0000-0000BF7A0000}"/>
    <cellStyle name="Normal 2 7 13 3 2" xfId="31421" xr:uid="{00000000-0005-0000-0000-0000C07A0000}"/>
    <cellStyle name="Normal 2 7 13 3 2 2" xfId="31422" xr:uid="{00000000-0005-0000-0000-0000C17A0000}"/>
    <cellStyle name="Normal 2 7 13 3 2 3" xfId="31423" xr:uid="{00000000-0005-0000-0000-0000C27A0000}"/>
    <cellStyle name="Normal 2 7 13 3 3" xfId="31424" xr:uid="{00000000-0005-0000-0000-0000C37A0000}"/>
    <cellStyle name="Normal 2 7 13 3 4" xfId="31425" xr:uid="{00000000-0005-0000-0000-0000C47A0000}"/>
    <cellStyle name="Normal 2 7 13 3 5" xfId="31426" xr:uid="{00000000-0005-0000-0000-0000C57A0000}"/>
    <cellStyle name="Normal 2 7 13 3 6" xfId="31427" xr:uid="{00000000-0005-0000-0000-0000C67A0000}"/>
    <cellStyle name="Normal 2 7 13 4" xfId="31428" xr:uid="{00000000-0005-0000-0000-0000C77A0000}"/>
    <cellStyle name="Normal 2 7 13 4 2" xfId="31429" xr:uid="{00000000-0005-0000-0000-0000C87A0000}"/>
    <cellStyle name="Normal 2 7 13 4 2 2" xfId="31430" xr:uid="{00000000-0005-0000-0000-0000C97A0000}"/>
    <cellStyle name="Normal 2 7 13 4 3" xfId="31431" xr:uid="{00000000-0005-0000-0000-0000CA7A0000}"/>
    <cellStyle name="Normal 2 7 13 4 4" xfId="31432" xr:uid="{00000000-0005-0000-0000-0000CB7A0000}"/>
    <cellStyle name="Normal 2 7 13 4 5" xfId="31433" xr:uid="{00000000-0005-0000-0000-0000CC7A0000}"/>
    <cellStyle name="Normal 2 7 13 5" xfId="31434" xr:uid="{00000000-0005-0000-0000-0000CD7A0000}"/>
    <cellStyle name="Normal 2 7 13 5 2" xfId="31435" xr:uid="{00000000-0005-0000-0000-0000CE7A0000}"/>
    <cellStyle name="Normal 2 7 13 5 3" xfId="31436" xr:uid="{00000000-0005-0000-0000-0000CF7A0000}"/>
    <cellStyle name="Normal 2 7 13 5 4" xfId="31437" xr:uid="{00000000-0005-0000-0000-0000D07A0000}"/>
    <cellStyle name="Normal 2 7 13 6" xfId="31438" xr:uid="{00000000-0005-0000-0000-0000D17A0000}"/>
    <cellStyle name="Normal 2 7 13 6 2" xfId="31439" xr:uid="{00000000-0005-0000-0000-0000D27A0000}"/>
    <cellStyle name="Normal 2 7 13 7" xfId="31440" xr:uid="{00000000-0005-0000-0000-0000D37A0000}"/>
    <cellStyle name="Normal 2 7 13 8" xfId="31441" xr:uid="{00000000-0005-0000-0000-0000D47A0000}"/>
    <cellStyle name="Normal 2 7 13 9" xfId="31442" xr:uid="{00000000-0005-0000-0000-0000D57A0000}"/>
    <cellStyle name="Normal 2 7 14" xfId="31443" xr:uid="{00000000-0005-0000-0000-0000D67A0000}"/>
    <cellStyle name="Normal 2 7 14 10" xfId="31444" xr:uid="{00000000-0005-0000-0000-0000D77A0000}"/>
    <cellStyle name="Normal 2 7 14 2" xfId="31445" xr:uid="{00000000-0005-0000-0000-0000D87A0000}"/>
    <cellStyle name="Normal 2 7 14 2 2" xfId="31446" xr:uid="{00000000-0005-0000-0000-0000D97A0000}"/>
    <cellStyle name="Normal 2 7 14 2 2 2" xfId="31447" xr:uid="{00000000-0005-0000-0000-0000DA7A0000}"/>
    <cellStyle name="Normal 2 7 14 2 2 3" xfId="31448" xr:uid="{00000000-0005-0000-0000-0000DB7A0000}"/>
    <cellStyle name="Normal 2 7 14 2 3" xfId="31449" xr:uid="{00000000-0005-0000-0000-0000DC7A0000}"/>
    <cellStyle name="Normal 2 7 14 2 4" xfId="31450" xr:uid="{00000000-0005-0000-0000-0000DD7A0000}"/>
    <cellStyle name="Normal 2 7 14 2 5" xfId="31451" xr:uid="{00000000-0005-0000-0000-0000DE7A0000}"/>
    <cellStyle name="Normal 2 7 14 2 6" xfId="31452" xr:uid="{00000000-0005-0000-0000-0000DF7A0000}"/>
    <cellStyle name="Normal 2 7 14 3" xfId="31453" xr:uid="{00000000-0005-0000-0000-0000E07A0000}"/>
    <cellStyle name="Normal 2 7 14 3 2" xfId="31454" xr:uid="{00000000-0005-0000-0000-0000E17A0000}"/>
    <cellStyle name="Normal 2 7 14 3 2 2" xfId="31455" xr:uid="{00000000-0005-0000-0000-0000E27A0000}"/>
    <cellStyle name="Normal 2 7 14 3 2 3" xfId="31456" xr:uid="{00000000-0005-0000-0000-0000E37A0000}"/>
    <cellStyle name="Normal 2 7 14 3 3" xfId="31457" xr:uid="{00000000-0005-0000-0000-0000E47A0000}"/>
    <cellStyle name="Normal 2 7 14 3 4" xfId="31458" xr:uid="{00000000-0005-0000-0000-0000E57A0000}"/>
    <cellStyle name="Normal 2 7 14 3 5" xfId="31459" xr:uid="{00000000-0005-0000-0000-0000E67A0000}"/>
    <cellStyle name="Normal 2 7 14 3 6" xfId="31460" xr:uid="{00000000-0005-0000-0000-0000E77A0000}"/>
    <cellStyle name="Normal 2 7 14 4" xfId="31461" xr:uid="{00000000-0005-0000-0000-0000E87A0000}"/>
    <cellStyle name="Normal 2 7 14 4 2" xfId="31462" xr:uid="{00000000-0005-0000-0000-0000E97A0000}"/>
    <cellStyle name="Normal 2 7 14 4 2 2" xfId="31463" xr:uid="{00000000-0005-0000-0000-0000EA7A0000}"/>
    <cellStyle name="Normal 2 7 14 4 3" xfId="31464" xr:uid="{00000000-0005-0000-0000-0000EB7A0000}"/>
    <cellStyle name="Normal 2 7 14 4 4" xfId="31465" xr:uid="{00000000-0005-0000-0000-0000EC7A0000}"/>
    <cellStyle name="Normal 2 7 14 4 5" xfId="31466" xr:uid="{00000000-0005-0000-0000-0000ED7A0000}"/>
    <cellStyle name="Normal 2 7 14 5" xfId="31467" xr:uid="{00000000-0005-0000-0000-0000EE7A0000}"/>
    <cellStyle name="Normal 2 7 14 5 2" xfId="31468" xr:uid="{00000000-0005-0000-0000-0000EF7A0000}"/>
    <cellStyle name="Normal 2 7 14 5 3" xfId="31469" xr:uid="{00000000-0005-0000-0000-0000F07A0000}"/>
    <cellStyle name="Normal 2 7 14 5 4" xfId="31470" xr:uid="{00000000-0005-0000-0000-0000F17A0000}"/>
    <cellStyle name="Normal 2 7 14 6" xfId="31471" xr:uid="{00000000-0005-0000-0000-0000F27A0000}"/>
    <cellStyle name="Normal 2 7 14 6 2" xfId="31472" xr:uid="{00000000-0005-0000-0000-0000F37A0000}"/>
    <cellStyle name="Normal 2 7 14 7" xfId="31473" xr:uid="{00000000-0005-0000-0000-0000F47A0000}"/>
    <cellStyle name="Normal 2 7 14 8" xfId="31474" xr:uid="{00000000-0005-0000-0000-0000F57A0000}"/>
    <cellStyle name="Normal 2 7 14 9" xfId="31475" xr:uid="{00000000-0005-0000-0000-0000F67A0000}"/>
    <cellStyle name="Normal 2 7 15" xfId="31476" xr:uid="{00000000-0005-0000-0000-0000F77A0000}"/>
    <cellStyle name="Normal 2 7 15 10" xfId="31477" xr:uid="{00000000-0005-0000-0000-0000F87A0000}"/>
    <cellStyle name="Normal 2 7 15 2" xfId="31478" xr:uid="{00000000-0005-0000-0000-0000F97A0000}"/>
    <cellStyle name="Normal 2 7 15 2 2" xfId="31479" xr:uid="{00000000-0005-0000-0000-0000FA7A0000}"/>
    <cellStyle name="Normal 2 7 15 2 2 2" xfId="31480" xr:uid="{00000000-0005-0000-0000-0000FB7A0000}"/>
    <cellStyle name="Normal 2 7 15 2 2 3" xfId="31481" xr:uid="{00000000-0005-0000-0000-0000FC7A0000}"/>
    <cellStyle name="Normal 2 7 15 2 3" xfId="31482" xr:uid="{00000000-0005-0000-0000-0000FD7A0000}"/>
    <cellStyle name="Normal 2 7 15 2 4" xfId="31483" xr:uid="{00000000-0005-0000-0000-0000FE7A0000}"/>
    <cellStyle name="Normal 2 7 15 2 5" xfId="31484" xr:uid="{00000000-0005-0000-0000-0000FF7A0000}"/>
    <cellStyle name="Normal 2 7 15 2 6" xfId="31485" xr:uid="{00000000-0005-0000-0000-0000007B0000}"/>
    <cellStyle name="Normal 2 7 15 3" xfId="31486" xr:uid="{00000000-0005-0000-0000-0000017B0000}"/>
    <cellStyle name="Normal 2 7 15 3 2" xfId="31487" xr:uid="{00000000-0005-0000-0000-0000027B0000}"/>
    <cellStyle name="Normal 2 7 15 3 2 2" xfId="31488" xr:uid="{00000000-0005-0000-0000-0000037B0000}"/>
    <cellStyle name="Normal 2 7 15 3 2 3" xfId="31489" xr:uid="{00000000-0005-0000-0000-0000047B0000}"/>
    <cellStyle name="Normal 2 7 15 3 3" xfId="31490" xr:uid="{00000000-0005-0000-0000-0000057B0000}"/>
    <cellStyle name="Normal 2 7 15 3 4" xfId="31491" xr:uid="{00000000-0005-0000-0000-0000067B0000}"/>
    <cellStyle name="Normal 2 7 15 3 5" xfId="31492" xr:uid="{00000000-0005-0000-0000-0000077B0000}"/>
    <cellStyle name="Normal 2 7 15 3 6" xfId="31493" xr:uid="{00000000-0005-0000-0000-0000087B0000}"/>
    <cellStyle name="Normal 2 7 15 4" xfId="31494" xr:uid="{00000000-0005-0000-0000-0000097B0000}"/>
    <cellStyle name="Normal 2 7 15 4 2" xfId="31495" xr:uid="{00000000-0005-0000-0000-00000A7B0000}"/>
    <cellStyle name="Normal 2 7 15 4 2 2" xfId="31496" xr:uid="{00000000-0005-0000-0000-00000B7B0000}"/>
    <cellStyle name="Normal 2 7 15 4 3" xfId="31497" xr:uid="{00000000-0005-0000-0000-00000C7B0000}"/>
    <cellStyle name="Normal 2 7 15 4 4" xfId="31498" xr:uid="{00000000-0005-0000-0000-00000D7B0000}"/>
    <cellStyle name="Normal 2 7 15 4 5" xfId="31499" xr:uid="{00000000-0005-0000-0000-00000E7B0000}"/>
    <cellStyle name="Normal 2 7 15 5" xfId="31500" xr:uid="{00000000-0005-0000-0000-00000F7B0000}"/>
    <cellStyle name="Normal 2 7 15 5 2" xfId="31501" xr:uid="{00000000-0005-0000-0000-0000107B0000}"/>
    <cellStyle name="Normal 2 7 15 5 3" xfId="31502" xr:uid="{00000000-0005-0000-0000-0000117B0000}"/>
    <cellStyle name="Normal 2 7 15 5 4" xfId="31503" xr:uid="{00000000-0005-0000-0000-0000127B0000}"/>
    <cellStyle name="Normal 2 7 15 6" xfId="31504" xr:uid="{00000000-0005-0000-0000-0000137B0000}"/>
    <cellStyle name="Normal 2 7 15 6 2" xfId="31505" xr:uid="{00000000-0005-0000-0000-0000147B0000}"/>
    <cellStyle name="Normal 2 7 15 7" xfId="31506" xr:uid="{00000000-0005-0000-0000-0000157B0000}"/>
    <cellStyle name="Normal 2 7 15 8" xfId="31507" xr:uid="{00000000-0005-0000-0000-0000167B0000}"/>
    <cellStyle name="Normal 2 7 15 9" xfId="31508" xr:uid="{00000000-0005-0000-0000-0000177B0000}"/>
    <cellStyle name="Normal 2 7 16" xfId="31509" xr:uid="{00000000-0005-0000-0000-0000187B0000}"/>
    <cellStyle name="Normal 2 7 16 10" xfId="31510" xr:uid="{00000000-0005-0000-0000-0000197B0000}"/>
    <cellStyle name="Normal 2 7 16 2" xfId="31511" xr:uid="{00000000-0005-0000-0000-00001A7B0000}"/>
    <cellStyle name="Normal 2 7 16 2 2" xfId="31512" xr:uid="{00000000-0005-0000-0000-00001B7B0000}"/>
    <cellStyle name="Normal 2 7 16 2 2 2" xfId="31513" xr:uid="{00000000-0005-0000-0000-00001C7B0000}"/>
    <cellStyle name="Normal 2 7 16 2 2 3" xfId="31514" xr:uid="{00000000-0005-0000-0000-00001D7B0000}"/>
    <cellStyle name="Normal 2 7 16 2 3" xfId="31515" xr:uid="{00000000-0005-0000-0000-00001E7B0000}"/>
    <cellStyle name="Normal 2 7 16 2 4" xfId="31516" xr:uid="{00000000-0005-0000-0000-00001F7B0000}"/>
    <cellStyle name="Normal 2 7 16 2 5" xfId="31517" xr:uid="{00000000-0005-0000-0000-0000207B0000}"/>
    <cellStyle name="Normal 2 7 16 2 6" xfId="31518" xr:uid="{00000000-0005-0000-0000-0000217B0000}"/>
    <cellStyle name="Normal 2 7 16 3" xfId="31519" xr:uid="{00000000-0005-0000-0000-0000227B0000}"/>
    <cellStyle name="Normal 2 7 16 3 2" xfId="31520" xr:uid="{00000000-0005-0000-0000-0000237B0000}"/>
    <cellStyle name="Normal 2 7 16 3 2 2" xfId="31521" xr:uid="{00000000-0005-0000-0000-0000247B0000}"/>
    <cellStyle name="Normal 2 7 16 3 2 3" xfId="31522" xr:uid="{00000000-0005-0000-0000-0000257B0000}"/>
    <cellStyle name="Normal 2 7 16 3 3" xfId="31523" xr:uid="{00000000-0005-0000-0000-0000267B0000}"/>
    <cellStyle name="Normal 2 7 16 3 4" xfId="31524" xr:uid="{00000000-0005-0000-0000-0000277B0000}"/>
    <cellStyle name="Normal 2 7 16 3 5" xfId="31525" xr:uid="{00000000-0005-0000-0000-0000287B0000}"/>
    <cellStyle name="Normal 2 7 16 3 6" xfId="31526" xr:uid="{00000000-0005-0000-0000-0000297B0000}"/>
    <cellStyle name="Normal 2 7 16 4" xfId="31527" xr:uid="{00000000-0005-0000-0000-00002A7B0000}"/>
    <cellStyle name="Normal 2 7 16 4 2" xfId="31528" xr:uid="{00000000-0005-0000-0000-00002B7B0000}"/>
    <cellStyle name="Normal 2 7 16 4 2 2" xfId="31529" xr:uid="{00000000-0005-0000-0000-00002C7B0000}"/>
    <cellStyle name="Normal 2 7 16 4 3" xfId="31530" xr:uid="{00000000-0005-0000-0000-00002D7B0000}"/>
    <cellStyle name="Normal 2 7 16 4 4" xfId="31531" xr:uid="{00000000-0005-0000-0000-00002E7B0000}"/>
    <cellStyle name="Normal 2 7 16 4 5" xfId="31532" xr:uid="{00000000-0005-0000-0000-00002F7B0000}"/>
    <cellStyle name="Normal 2 7 16 5" xfId="31533" xr:uid="{00000000-0005-0000-0000-0000307B0000}"/>
    <cellStyle name="Normal 2 7 16 5 2" xfId="31534" xr:uid="{00000000-0005-0000-0000-0000317B0000}"/>
    <cellStyle name="Normal 2 7 16 5 3" xfId="31535" xr:uid="{00000000-0005-0000-0000-0000327B0000}"/>
    <cellStyle name="Normal 2 7 16 5 4" xfId="31536" xr:uid="{00000000-0005-0000-0000-0000337B0000}"/>
    <cellStyle name="Normal 2 7 16 6" xfId="31537" xr:uid="{00000000-0005-0000-0000-0000347B0000}"/>
    <cellStyle name="Normal 2 7 16 6 2" xfId="31538" xr:uid="{00000000-0005-0000-0000-0000357B0000}"/>
    <cellStyle name="Normal 2 7 16 7" xfId="31539" xr:uid="{00000000-0005-0000-0000-0000367B0000}"/>
    <cellStyle name="Normal 2 7 16 8" xfId="31540" xr:uid="{00000000-0005-0000-0000-0000377B0000}"/>
    <cellStyle name="Normal 2 7 16 9" xfId="31541" xr:uid="{00000000-0005-0000-0000-0000387B0000}"/>
    <cellStyle name="Normal 2 7 17" xfId="31542" xr:uid="{00000000-0005-0000-0000-0000397B0000}"/>
    <cellStyle name="Normal 2 7 17 10" xfId="31543" xr:uid="{00000000-0005-0000-0000-00003A7B0000}"/>
    <cellStyle name="Normal 2 7 17 2" xfId="31544" xr:uid="{00000000-0005-0000-0000-00003B7B0000}"/>
    <cellStyle name="Normal 2 7 17 2 2" xfId="31545" xr:uid="{00000000-0005-0000-0000-00003C7B0000}"/>
    <cellStyle name="Normal 2 7 17 2 2 2" xfId="31546" xr:uid="{00000000-0005-0000-0000-00003D7B0000}"/>
    <cellStyle name="Normal 2 7 17 2 2 3" xfId="31547" xr:uid="{00000000-0005-0000-0000-00003E7B0000}"/>
    <cellStyle name="Normal 2 7 17 2 3" xfId="31548" xr:uid="{00000000-0005-0000-0000-00003F7B0000}"/>
    <cellStyle name="Normal 2 7 17 2 4" xfId="31549" xr:uid="{00000000-0005-0000-0000-0000407B0000}"/>
    <cellStyle name="Normal 2 7 17 2 5" xfId="31550" xr:uid="{00000000-0005-0000-0000-0000417B0000}"/>
    <cellStyle name="Normal 2 7 17 2 6" xfId="31551" xr:uid="{00000000-0005-0000-0000-0000427B0000}"/>
    <cellStyle name="Normal 2 7 17 3" xfId="31552" xr:uid="{00000000-0005-0000-0000-0000437B0000}"/>
    <cellStyle name="Normal 2 7 17 3 2" xfId="31553" xr:uid="{00000000-0005-0000-0000-0000447B0000}"/>
    <cellStyle name="Normal 2 7 17 3 2 2" xfId="31554" xr:uid="{00000000-0005-0000-0000-0000457B0000}"/>
    <cellStyle name="Normal 2 7 17 3 2 3" xfId="31555" xr:uid="{00000000-0005-0000-0000-0000467B0000}"/>
    <cellStyle name="Normal 2 7 17 3 3" xfId="31556" xr:uid="{00000000-0005-0000-0000-0000477B0000}"/>
    <cellStyle name="Normal 2 7 17 3 4" xfId="31557" xr:uid="{00000000-0005-0000-0000-0000487B0000}"/>
    <cellStyle name="Normal 2 7 17 3 5" xfId="31558" xr:uid="{00000000-0005-0000-0000-0000497B0000}"/>
    <cellStyle name="Normal 2 7 17 3 6" xfId="31559" xr:uid="{00000000-0005-0000-0000-00004A7B0000}"/>
    <cellStyle name="Normal 2 7 17 4" xfId="31560" xr:uid="{00000000-0005-0000-0000-00004B7B0000}"/>
    <cellStyle name="Normal 2 7 17 4 2" xfId="31561" xr:uid="{00000000-0005-0000-0000-00004C7B0000}"/>
    <cellStyle name="Normal 2 7 17 4 2 2" xfId="31562" xr:uid="{00000000-0005-0000-0000-00004D7B0000}"/>
    <cellStyle name="Normal 2 7 17 4 3" xfId="31563" xr:uid="{00000000-0005-0000-0000-00004E7B0000}"/>
    <cellStyle name="Normal 2 7 17 4 4" xfId="31564" xr:uid="{00000000-0005-0000-0000-00004F7B0000}"/>
    <cellStyle name="Normal 2 7 17 4 5" xfId="31565" xr:uid="{00000000-0005-0000-0000-0000507B0000}"/>
    <cellStyle name="Normal 2 7 17 5" xfId="31566" xr:uid="{00000000-0005-0000-0000-0000517B0000}"/>
    <cellStyle name="Normal 2 7 17 5 2" xfId="31567" xr:uid="{00000000-0005-0000-0000-0000527B0000}"/>
    <cellStyle name="Normal 2 7 17 5 3" xfId="31568" xr:uid="{00000000-0005-0000-0000-0000537B0000}"/>
    <cellStyle name="Normal 2 7 17 5 4" xfId="31569" xr:uid="{00000000-0005-0000-0000-0000547B0000}"/>
    <cellStyle name="Normal 2 7 17 6" xfId="31570" xr:uid="{00000000-0005-0000-0000-0000557B0000}"/>
    <cellStyle name="Normal 2 7 17 6 2" xfId="31571" xr:uid="{00000000-0005-0000-0000-0000567B0000}"/>
    <cellStyle name="Normal 2 7 17 7" xfId="31572" xr:uid="{00000000-0005-0000-0000-0000577B0000}"/>
    <cellStyle name="Normal 2 7 17 8" xfId="31573" xr:uid="{00000000-0005-0000-0000-0000587B0000}"/>
    <cellStyle name="Normal 2 7 17 9" xfId="31574" xr:uid="{00000000-0005-0000-0000-0000597B0000}"/>
    <cellStyle name="Normal 2 7 18" xfId="31575" xr:uid="{00000000-0005-0000-0000-00005A7B0000}"/>
    <cellStyle name="Normal 2 7 18 10" xfId="31576" xr:uid="{00000000-0005-0000-0000-00005B7B0000}"/>
    <cellStyle name="Normal 2 7 18 2" xfId="31577" xr:uid="{00000000-0005-0000-0000-00005C7B0000}"/>
    <cellStyle name="Normal 2 7 18 2 2" xfId="31578" xr:uid="{00000000-0005-0000-0000-00005D7B0000}"/>
    <cellStyle name="Normal 2 7 18 2 2 2" xfId="31579" xr:uid="{00000000-0005-0000-0000-00005E7B0000}"/>
    <cellStyle name="Normal 2 7 18 2 2 3" xfId="31580" xr:uid="{00000000-0005-0000-0000-00005F7B0000}"/>
    <cellStyle name="Normal 2 7 18 2 3" xfId="31581" xr:uid="{00000000-0005-0000-0000-0000607B0000}"/>
    <cellStyle name="Normal 2 7 18 2 4" xfId="31582" xr:uid="{00000000-0005-0000-0000-0000617B0000}"/>
    <cellStyle name="Normal 2 7 18 2 5" xfId="31583" xr:uid="{00000000-0005-0000-0000-0000627B0000}"/>
    <cellStyle name="Normal 2 7 18 2 6" xfId="31584" xr:uid="{00000000-0005-0000-0000-0000637B0000}"/>
    <cellStyle name="Normal 2 7 18 3" xfId="31585" xr:uid="{00000000-0005-0000-0000-0000647B0000}"/>
    <cellStyle name="Normal 2 7 18 3 2" xfId="31586" xr:uid="{00000000-0005-0000-0000-0000657B0000}"/>
    <cellStyle name="Normal 2 7 18 3 2 2" xfId="31587" xr:uid="{00000000-0005-0000-0000-0000667B0000}"/>
    <cellStyle name="Normal 2 7 18 3 2 3" xfId="31588" xr:uid="{00000000-0005-0000-0000-0000677B0000}"/>
    <cellStyle name="Normal 2 7 18 3 3" xfId="31589" xr:uid="{00000000-0005-0000-0000-0000687B0000}"/>
    <cellStyle name="Normal 2 7 18 3 4" xfId="31590" xr:uid="{00000000-0005-0000-0000-0000697B0000}"/>
    <cellStyle name="Normal 2 7 18 3 5" xfId="31591" xr:uid="{00000000-0005-0000-0000-00006A7B0000}"/>
    <cellStyle name="Normal 2 7 18 3 6" xfId="31592" xr:uid="{00000000-0005-0000-0000-00006B7B0000}"/>
    <cellStyle name="Normal 2 7 18 4" xfId="31593" xr:uid="{00000000-0005-0000-0000-00006C7B0000}"/>
    <cellStyle name="Normal 2 7 18 4 2" xfId="31594" xr:uid="{00000000-0005-0000-0000-00006D7B0000}"/>
    <cellStyle name="Normal 2 7 18 4 2 2" xfId="31595" xr:uid="{00000000-0005-0000-0000-00006E7B0000}"/>
    <cellStyle name="Normal 2 7 18 4 3" xfId="31596" xr:uid="{00000000-0005-0000-0000-00006F7B0000}"/>
    <cellStyle name="Normal 2 7 18 4 4" xfId="31597" xr:uid="{00000000-0005-0000-0000-0000707B0000}"/>
    <cellStyle name="Normal 2 7 18 4 5" xfId="31598" xr:uid="{00000000-0005-0000-0000-0000717B0000}"/>
    <cellStyle name="Normal 2 7 18 5" xfId="31599" xr:uid="{00000000-0005-0000-0000-0000727B0000}"/>
    <cellStyle name="Normal 2 7 18 5 2" xfId="31600" xr:uid="{00000000-0005-0000-0000-0000737B0000}"/>
    <cellStyle name="Normal 2 7 18 5 3" xfId="31601" xr:uid="{00000000-0005-0000-0000-0000747B0000}"/>
    <cellStyle name="Normal 2 7 18 5 4" xfId="31602" xr:uid="{00000000-0005-0000-0000-0000757B0000}"/>
    <cellStyle name="Normal 2 7 18 6" xfId="31603" xr:uid="{00000000-0005-0000-0000-0000767B0000}"/>
    <cellStyle name="Normal 2 7 18 6 2" xfId="31604" xr:uid="{00000000-0005-0000-0000-0000777B0000}"/>
    <cellStyle name="Normal 2 7 18 7" xfId="31605" xr:uid="{00000000-0005-0000-0000-0000787B0000}"/>
    <cellStyle name="Normal 2 7 18 8" xfId="31606" xr:uid="{00000000-0005-0000-0000-0000797B0000}"/>
    <cellStyle name="Normal 2 7 18 9" xfId="31607" xr:uid="{00000000-0005-0000-0000-00007A7B0000}"/>
    <cellStyle name="Normal 2 7 19" xfId="31608" xr:uid="{00000000-0005-0000-0000-00007B7B0000}"/>
    <cellStyle name="Normal 2 7 19 10" xfId="31609" xr:uid="{00000000-0005-0000-0000-00007C7B0000}"/>
    <cellStyle name="Normal 2 7 19 2" xfId="31610" xr:uid="{00000000-0005-0000-0000-00007D7B0000}"/>
    <cellStyle name="Normal 2 7 19 2 2" xfId="31611" xr:uid="{00000000-0005-0000-0000-00007E7B0000}"/>
    <cellStyle name="Normal 2 7 19 2 2 2" xfId="31612" xr:uid="{00000000-0005-0000-0000-00007F7B0000}"/>
    <cellStyle name="Normal 2 7 19 2 2 3" xfId="31613" xr:uid="{00000000-0005-0000-0000-0000807B0000}"/>
    <cellStyle name="Normal 2 7 19 2 3" xfId="31614" xr:uid="{00000000-0005-0000-0000-0000817B0000}"/>
    <cellStyle name="Normal 2 7 19 2 4" xfId="31615" xr:uid="{00000000-0005-0000-0000-0000827B0000}"/>
    <cellStyle name="Normal 2 7 19 2 5" xfId="31616" xr:uid="{00000000-0005-0000-0000-0000837B0000}"/>
    <cellStyle name="Normal 2 7 19 2 6" xfId="31617" xr:uid="{00000000-0005-0000-0000-0000847B0000}"/>
    <cellStyle name="Normal 2 7 19 3" xfId="31618" xr:uid="{00000000-0005-0000-0000-0000857B0000}"/>
    <cellStyle name="Normal 2 7 19 3 2" xfId="31619" xr:uid="{00000000-0005-0000-0000-0000867B0000}"/>
    <cellStyle name="Normal 2 7 19 3 2 2" xfId="31620" xr:uid="{00000000-0005-0000-0000-0000877B0000}"/>
    <cellStyle name="Normal 2 7 19 3 2 3" xfId="31621" xr:uid="{00000000-0005-0000-0000-0000887B0000}"/>
    <cellStyle name="Normal 2 7 19 3 3" xfId="31622" xr:uid="{00000000-0005-0000-0000-0000897B0000}"/>
    <cellStyle name="Normal 2 7 19 3 4" xfId="31623" xr:uid="{00000000-0005-0000-0000-00008A7B0000}"/>
    <cellStyle name="Normal 2 7 19 3 5" xfId="31624" xr:uid="{00000000-0005-0000-0000-00008B7B0000}"/>
    <cellStyle name="Normal 2 7 19 3 6" xfId="31625" xr:uid="{00000000-0005-0000-0000-00008C7B0000}"/>
    <cellStyle name="Normal 2 7 19 4" xfId="31626" xr:uid="{00000000-0005-0000-0000-00008D7B0000}"/>
    <cellStyle name="Normal 2 7 19 4 2" xfId="31627" xr:uid="{00000000-0005-0000-0000-00008E7B0000}"/>
    <cellStyle name="Normal 2 7 19 4 2 2" xfId="31628" xr:uid="{00000000-0005-0000-0000-00008F7B0000}"/>
    <cellStyle name="Normal 2 7 19 4 3" xfId="31629" xr:uid="{00000000-0005-0000-0000-0000907B0000}"/>
    <cellStyle name="Normal 2 7 19 4 4" xfId="31630" xr:uid="{00000000-0005-0000-0000-0000917B0000}"/>
    <cellStyle name="Normal 2 7 19 4 5" xfId="31631" xr:uid="{00000000-0005-0000-0000-0000927B0000}"/>
    <cellStyle name="Normal 2 7 19 5" xfId="31632" xr:uid="{00000000-0005-0000-0000-0000937B0000}"/>
    <cellStyle name="Normal 2 7 19 5 2" xfId="31633" xr:uid="{00000000-0005-0000-0000-0000947B0000}"/>
    <cellStyle name="Normal 2 7 19 5 3" xfId="31634" xr:uid="{00000000-0005-0000-0000-0000957B0000}"/>
    <cellStyle name="Normal 2 7 19 5 4" xfId="31635" xr:uid="{00000000-0005-0000-0000-0000967B0000}"/>
    <cellStyle name="Normal 2 7 19 6" xfId="31636" xr:uid="{00000000-0005-0000-0000-0000977B0000}"/>
    <cellStyle name="Normal 2 7 19 6 2" xfId="31637" xr:uid="{00000000-0005-0000-0000-0000987B0000}"/>
    <cellStyle name="Normal 2 7 19 7" xfId="31638" xr:uid="{00000000-0005-0000-0000-0000997B0000}"/>
    <cellStyle name="Normal 2 7 19 8" xfId="31639" xr:uid="{00000000-0005-0000-0000-00009A7B0000}"/>
    <cellStyle name="Normal 2 7 19 9" xfId="31640" xr:uid="{00000000-0005-0000-0000-00009B7B0000}"/>
    <cellStyle name="Normal 2 7 2" xfId="31641" xr:uid="{00000000-0005-0000-0000-00009C7B0000}"/>
    <cellStyle name="Normal 2 7 2 10" xfId="31642" xr:uid="{00000000-0005-0000-0000-00009D7B0000}"/>
    <cellStyle name="Normal 2 7 2 10 10" xfId="31643" xr:uid="{00000000-0005-0000-0000-00009E7B0000}"/>
    <cellStyle name="Normal 2 7 2 10 2" xfId="31644" xr:uid="{00000000-0005-0000-0000-00009F7B0000}"/>
    <cellStyle name="Normal 2 7 2 10 2 2" xfId="31645" xr:uid="{00000000-0005-0000-0000-0000A07B0000}"/>
    <cellStyle name="Normal 2 7 2 10 2 2 2" xfId="31646" xr:uid="{00000000-0005-0000-0000-0000A17B0000}"/>
    <cellStyle name="Normal 2 7 2 10 2 2 3" xfId="31647" xr:uid="{00000000-0005-0000-0000-0000A27B0000}"/>
    <cellStyle name="Normal 2 7 2 10 2 3" xfId="31648" xr:uid="{00000000-0005-0000-0000-0000A37B0000}"/>
    <cellStyle name="Normal 2 7 2 10 2 4" xfId="31649" xr:uid="{00000000-0005-0000-0000-0000A47B0000}"/>
    <cellStyle name="Normal 2 7 2 10 2 5" xfId="31650" xr:uid="{00000000-0005-0000-0000-0000A57B0000}"/>
    <cellStyle name="Normal 2 7 2 10 2 6" xfId="31651" xr:uid="{00000000-0005-0000-0000-0000A67B0000}"/>
    <cellStyle name="Normal 2 7 2 10 3" xfId="31652" xr:uid="{00000000-0005-0000-0000-0000A77B0000}"/>
    <cellStyle name="Normal 2 7 2 10 3 2" xfId="31653" xr:uid="{00000000-0005-0000-0000-0000A87B0000}"/>
    <cellStyle name="Normal 2 7 2 10 3 2 2" xfId="31654" xr:uid="{00000000-0005-0000-0000-0000A97B0000}"/>
    <cellStyle name="Normal 2 7 2 10 3 2 3" xfId="31655" xr:uid="{00000000-0005-0000-0000-0000AA7B0000}"/>
    <cellStyle name="Normal 2 7 2 10 3 3" xfId="31656" xr:uid="{00000000-0005-0000-0000-0000AB7B0000}"/>
    <cellStyle name="Normal 2 7 2 10 3 4" xfId="31657" xr:uid="{00000000-0005-0000-0000-0000AC7B0000}"/>
    <cellStyle name="Normal 2 7 2 10 3 5" xfId="31658" xr:uid="{00000000-0005-0000-0000-0000AD7B0000}"/>
    <cellStyle name="Normal 2 7 2 10 3 6" xfId="31659" xr:uid="{00000000-0005-0000-0000-0000AE7B0000}"/>
    <cellStyle name="Normal 2 7 2 10 4" xfId="31660" xr:uid="{00000000-0005-0000-0000-0000AF7B0000}"/>
    <cellStyle name="Normal 2 7 2 10 4 2" xfId="31661" xr:uid="{00000000-0005-0000-0000-0000B07B0000}"/>
    <cellStyle name="Normal 2 7 2 10 4 2 2" xfId="31662" xr:uid="{00000000-0005-0000-0000-0000B17B0000}"/>
    <cellStyle name="Normal 2 7 2 10 4 3" xfId="31663" xr:uid="{00000000-0005-0000-0000-0000B27B0000}"/>
    <cellStyle name="Normal 2 7 2 10 4 4" xfId="31664" xr:uid="{00000000-0005-0000-0000-0000B37B0000}"/>
    <cellStyle name="Normal 2 7 2 10 4 5" xfId="31665" xr:uid="{00000000-0005-0000-0000-0000B47B0000}"/>
    <cellStyle name="Normal 2 7 2 10 5" xfId="31666" xr:uid="{00000000-0005-0000-0000-0000B57B0000}"/>
    <cellStyle name="Normal 2 7 2 10 5 2" xfId="31667" xr:uid="{00000000-0005-0000-0000-0000B67B0000}"/>
    <cellStyle name="Normal 2 7 2 10 5 3" xfId="31668" xr:uid="{00000000-0005-0000-0000-0000B77B0000}"/>
    <cellStyle name="Normal 2 7 2 10 5 4" xfId="31669" xr:uid="{00000000-0005-0000-0000-0000B87B0000}"/>
    <cellStyle name="Normal 2 7 2 10 6" xfId="31670" xr:uid="{00000000-0005-0000-0000-0000B97B0000}"/>
    <cellStyle name="Normal 2 7 2 10 6 2" xfId="31671" xr:uid="{00000000-0005-0000-0000-0000BA7B0000}"/>
    <cellStyle name="Normal 2 7 2 10 7" xfId="31672" xr:uid="{00000000-0005-0000-0000-0000BB7B0000}"/>
    <cellStyle name="Normal 2 7 2 10 8" xfId="31673" xr:uid="{00000000-0005-0000-0000-0000BC7B0000}"/>
    <cellStyle name="Normal 2 7 2 10 9" xfId="31674" xr:uid="{00000000-0005-0000-0000-0000BD7B0000}"/>
    <cellStyle name="Normal 2 7 2 11" xfId="31675" xr:uid="{00000000-0005-0000-0000-0000BE7B0000}"/>
    <cellStyle name="Normal 2 7 2 11 10" xfId="31676" xr:uid="{00000000-0005-0000-0000-0000BF7B0000}"/>
    <cellStyle name="Normal 2 7 2 11 2" xfId="31677" xr:uid="{00000000-0005-0000-0000-0000C07B0000}"/>
    <cellStyle name="Normal 2 7 2 11 2 2" xfId="31678" xr:uid="{00000000-0005-0000-0000-0000C17B0000}"/>
    <cellStyle name="Normal 2 7 2 11 2 2 2" xfId="31679" xr:uid="{00000000-0005-0000-0000-0000C27B0000}"/>
    <cellStyle name="Normal 2 7 2 11 2 2 3" xfId="31680" xr:uid="{00000000-0005-0000-0000-0000C37B0000}"/>
    <cellStyle name="Normal 2 7 2 11 2 3" xfId="31681" xr:uid="{00000000-0005-0000-0000-0000C47B0000}"/>
    <cellStyle name="Normal 2 7 2 11 2 4" xfId="31682" xr:uid="{00000000-0005-0000-0000-0000C57B0000}"/>
    <cellStyle name="Normal 2 7 2 11 2 5" xfId="31683" xr:uid="{00000000-0005-0000-0000-0000C67B0000}"/>
    <cellStyle name="Normal 2 7 2 11 2 6" xfId="31684" xr:uid="{00000000-0005-0000-0000-0000C77B0000}"/>
    <cellStyle name="Normal 2 7 2 11 3" xfId="31685" xr:uid="{00000000-0005-0000-0000-0000C87B0000}"/>
    <cellStyle name="Normal 2 7 2 11 3 2" xfId="31686" xr:uid="{00000000-0005-0000-0000-0000C97B0000}"/>
    <cellStyle name="Normal 2 7 2 11 3 2 2" xfId="31687" xr:uid="{00000000-0005-0000-0000-0000CA7B0000}"/>
    <cellStyle name="Normal 2 7 2 11 3 2 3" xfId="31688" xr:uid="{00000000-0005-0000-0000-0000CB7B0000}"/>
    <cellStyle name="Normal 2 7 2 11 3 3" xfId="31689" xr:uid="{00000000-0005-0000-0000-0000CC7B0000}"/>
    <cellStyle name="Normal 2 7 2 11 3 4" xfId="31690" xr:uid="{00000000-0005-0000-0000-0000CD7B0000}"/>
    <cellStyle name="Normal 2 7 2 11 3 5" xfId="31691" xr:uid="{00000000-0005-0000-0000-0000CE7B0000}"/>
    <cellStyle name="Normal 2 7 2 11 3 6" xfId="31692" xr:uid="{00000000-0005-0000-0000-0000CF7B0000}"/>
    <cellStyle name="Normal 2 7 2 11 4" xfId="31693" xr:uid="{00000000-0005-0000-0000-0000D07B0000}"/>
    <cellStyle name="Normal 2 7 2 11 4 2" xfId="31694" xr:uid="{00000000-0005-0000-0000-0000D17B0000}"/>
    <cellStyle name="Normal 2 7 2 11 4 2 2" xfId="31695" xr:uid="{00000000-0005-0000-0000-0000D27B0000}"/>
    <cellStyle name="Normal 2 7 2 11 4 3" xfId="31696" xr:uid="{00000000-0005-0000-0000-0000D37B0000}"/>
    <cellStyle name="Normal 2 7 2 11 4 4" xfId="31697" xr:uid="{00000000-0005-0000-0000-0000D47B0000}"/>
    <cellStyle name="Normal 2 7 2 11 4 5" xfId="31698" xr:uid="{00000000-0005-0000-0000-0000D57B0000}"/>
    <cellStyle name="Normal 2 7 2 11 5" xfId="31699" xr:uid="{00000000-0005-0000-0000-0000D67B0000}"/>
    <cellStyle name="Normal 2 7 2 11 5 2" xfId="31700" xr:uid="{00000000-0005-0000-0000-0000D77B0000}"/>
    <cellStyle name="Normal 2 7 2 11 5 3" xfId="31701" xr:uid="{00000000-0005-0000-0000-0000D87B0000}"/>
    <cellStyle name="Normal 2 7 2 11 5 4" xfId="31702" xr:uid="{00000000-0005-0000-0000-0000D97B0000}"/>
    <cellStyle name="Normal 2 7 2 11 6" xfId="31703" xr:uid="{00000000-0005-0000-0000-0000DA7B0000}"/>
    <cellStyle name="Normal 2 7 2 11 6 2" xfId="31704" xr:uid="{00000000-0005-0000-0000-0000DB7B0000}"/>
    <cellStyle name="Normal 2 7 2 11 7" xfId="31705" xr:uid="{00000000-0005-0000-0000-0000DC7B0000}"/>
    <cellStyle name="Normal 2 7 2 11 8" xfId="31706" xr:uid="{00000000-0005-0000-0000-0000DD7B0000}"/>
    <cellStyle name="Normal 2 7 2 11 9" xfId="31707" xr:uid="{00000000-0005-0000-0000-0000DE7B0000}"/>
    <cellStyle name="Normal 2 7 2 12" xfId="31708" xr:uid="{00000000-0005-0000-0000-0000DF7B0000}"/>
    <cellStyle name="Normal 2 7 2 12 10" xfId="31709" xr:uid="{00000000-0005-0000-0000-0000E07B0000}"/>
    <cellStyle name="Normal 2 7 2 12 2" xfId="31710" xr:uid="{00000000-0005-0000-0000-0000E17B0000}"/>
    <cellStyle name="Normal 2 7 2 12 2 2" xfId="31711" xr:uid="{00000000-0005-0000-0000-0000E27B0000}"/>
    <cellStyle name="Normal 2 7 2 12 2 2 2" xfId="31712" xr:uid="{00000000-0005-0000-0000-0000E37B0000}"/>
    <cellStyle name="Normal 2 7 2 12 2 2 3" xfId="31713" xr:uid="{00000000-0005-0000-0000-0000E47B0000}"/>
    <cellStyle name="Normal 2 7 2 12 2 3" xfId="31714" xr:uid="{00000000-0005-0000-0000-0000E57B0000}"/>
    <cellStyle name="Normal 2 7 2 12 2 4" xfId="31715" xr:uid="{00000000-0005-0000-0000-0000E67B0000}"/>
    <cellStyle name="Normal 2 7 2 12 2 5" xfId="31716" xr:uid="{00000000-0005-0000-0000-0000E77B0000}"/>
    <cellStyle name="Normal 2 7 2 12 2 6" xfId="31717" xr:uid="{00000000-0005-0000-0000-0000E87B0000}"/>
    <cellStyle name="Normal 2 7 2 12 3" xfId="31718" xr:uid="{00000000-0005-0000-0000-0000E97B0000}"/>
    <cellStyle name="Normal 2 7 2 12 3 2" xfId="31719" xr:uid="{00000000-0005-0000-0000-0000EA7B0000}"/>
    <cellStyle name="Normal 2 7 2 12 3 2 2" xfId="31720" xr:uid="{00000000-0005-0000-0000-0000EB7B0000}"/>
    <cellStyle name="Normal 2 7 2 12 3 2 3" xfId="31721" xr:uid="{00000000-0005-0000-0000-0000EC7B0000}"/>
    <cellStyle name="Normal 2 7 2 12 3 3" xfId="31722" xr:uid="{00000000-0005-0000-0000-0000ED7B0000}"/>
    <cellStyle name="Normal 2 7 2 12 3 4" xfId="31723" xr:uid="{00000000-0005-0000-0000-0000EE7B0000}"/>
    <cellStyle name="Normal 2 7 2 12 3 5" xfId="31724" xr:uid="{00000000-0005-0000-0000-0000EF7B0000}"/>
    <cellStyle name="Normal 2 7 2 12 3 6" xfId="31725" xr:uid="{00000000-0005-0000-0000-0000F07B0000}"/>
    <cellStyle name="Normal 2 7 2 12 4" xfId="31726" xr:uid="{00000000-0005-0000-0000-0000F17B0000}"/>
    <cellStyle name="Normal 2 7 2 12 4 2" xfId="31727" xr:uid="{00000000-0005-0000-0000-0000F27B0000}"/>
    <cellStyle name="Normal 2 7 2 12 4 2 2" xfId="31728" xr:uid="{00000000-0005-0000-0000-0000F37B0000}"/>
    <cellStyle name="Normal 2 7 2 12 4 3" xfId="31729" xr:uid="{00000000-0005-0000-0000-0000F47B0000}"/>
    <cellStyle name="Normal 2 7 2 12 4 4" xfId="31730" xr:uid="{00000000-0005-0000-0000-0000F57B0000}"/>
    <cellStyle name="Normal 2 7 2 12 4 5" xfId="31731" xr:uid="{00000000-0005-0000-0000-0000F67B0000}"/>
    <cellStyle name="Normal 2 7 2 12 5" xfId="31732" xr:uid="{00000000-0005-0000-0000-0000F77B0000}"/>
    <cellStyle name="Normal 2 7 2 12 5 2" xfId="31733" xr:uid="{00000000-0005-0000-0000-0000F87B0000}"/>
    <cellStyle name="Normal 2 7 2 12 5 3" xfId="31734" xr:uid="{00000000-0005-0000-0000-0000F97B0000}"/>
    <cellStyle name="Normal 2 7 2 12 5 4" xfId="31735" xr:uid="{00000000-0005-0000-0000-0000FA7B0000}"/>
    <cellStyle name="Normal 2 7 2 12 6" xfId="31736" xr:uid="{00000000-0005-0000-0000-0000FB7B0000}"/>
    <cellStyle name="Normal 2 7 2 12 6 2" xfId="31737" xr:uid="{00000000-0005-0000-0000-0000FC7B0000}"/>
    <cellStyle name="Normal 2 7 2 12 7" xfId="31738" xr:uid="{00000000-0005-0000-0000-0000FD7B0000}"/>
    <cellStyle name="Normal 2 7 2 12 8" xfId="31739" xr:uid="{00000000-0005-0000-0000-0000FE7B0000}"/>
    <cellStyle name="Normal 2 7 2 12 9" xfId="31740" xr:uid="{00000000-0005-0000-0000-0000FF7B0000}"/>
    <cellStyle name="Normal 2 7 2 13" xfId="31741" xr:uid="{00000000-0005-0000-0000-0000007C0000}"/>
    <cellStyle name="Normal 2 7 2 13 2" xfId="31742" xr:uid="{00000000-0005-0000-0000-0000017C0000}"/>
    <cellStyle name="Normal 2 7 2 13 2 2" xfId="31743" xr:uid="{00000000-0005-0000-0000-0000027C0000}"/>
    <cellStyle name="Normal 2 7 2 13 2 2 2" xfId="31744" xr:uid="{00000000-0005-0000-0000-0000037C0000}"/>
    <cellStyle name="Normal 2 7 2 13 2 2 3" xfId="31745" xr:uid="{00000000-0005-0000-0000-0000047C0000}"/>
    <cellStyle name="Normal 2 7 2 13 2 3" xfId="31746" xr:uid="{00000000-0005-0000-0000-0000057C0000}"/>
    <cellStyle name="Normal 2 7 2 13 2 4" xfId="31747" xr:uid="{00000000-0005-0000-0000-0000067C0000}"/>
    <cellStyle name="Normal 2 7 2 13 2 5" xfId="31748" xr:uid="{00000000-0005-0000-0000-0000077C0000}"/>
    <cellStyle name="Normal 2 7 2 13 2 6" xfId="31749" xr:uid="{00000000-0005-0000-0000-0000087C0000}"/>
    <cellStyle name="Normal 2 7 2 13 3" xfId="31750" xr:uid="{00000000-0005-0000-0000-0000097C0000}"/>
    <cellStyle name="Normal 2 7 2 13 3 2" xfId="31751" xr:uid="{00000000-0005-0000-0000-00000A7C0000}"/>
    <cellStyle name="Normal 2 7 2 13 3 2 2" xfId="31752" xr:uid="{00000000-0005-0000-0000-00000B7C0000}"/>
    <cellStyle name="Normal 2 7 2 13 3 3" xfId="31753" xr:uid="{00000000-0005-0000-0000-00000C7C0000}"/>
    <cellStyle name="Normal 2 7 2 13 3 4" xfId="31754" xr:uid="{00000000-0005-0000-0000-00000D7C0000}"/>
    <cellStyle name="Normal 2 7 2 13 3 5" xfId="31755" xr:uid="{00000000-0005-0000-0000-00000E7C0000}"/>
    <cellStyle name="Normal 2 7 2 13 4" xfId="31756" xr:uid="{00000000-0005-0000-0000-00000F7C0000}"/>
    <cellStyle name="Normal 2 7 2 13 4 2" xfId="31757" xr:uid="{00000000-0005-0000-0000-0000107C0000}"/>
    <cellStyle name="Normal 2 7 2 13 4 3" xfId="31758" xr:uid="{00000000-0005-0000-0000-0000117C0000}"/>
    <cellStyle name="Normal 2 7 2 13 4 4" xfId="31759" xr:uid="{00000000-0005-0000-0000-0000127C0000}"/>
    <cellStyle name="Normal 2 7 2 13 5" xfId="31760" xr:uid="{00000000-0005-0000-0000-0000137C0000}"/>
    <cellStyle name="Normal 2 7 2 13 5 2" xfId="31761" xr:uid="{00000000-0005-0000-0000-0000147C0000}"/>
    <cellStyle name="Normal 2 7 2 13 6" xfId="31762" xr:uid="{00000000-0005-0000-0000-0000157C0000}"/>
    <cellStyle name="Normal 2 7 2 13 7" xfId="31763" xr:uid="{00000000-0005-0000-0000-0000167C0000}"/>
    <cellStyle name="Normal 2 7 2 13 8" xfId="31764" xr:uid="{00000000-0005-0000-0000-0000177C0000}"/>
    <cellStyle name="Normal 2 7 2 13 9" xfId="31765" xr:uid="{00000000-0005-0000-0000-0000187C0000}"/>
    <cellStyle name="Normal 2 7 2 14" xfId="31766" xr:uid="{00000000-0005-0000-0000-0000197C0000}"/>
    <cellStyle name="Normal 2 7 2 14 2" xfId="31767" xr:uid="{00000000-0005-0000-0000-00001A7C0000}"/>
    <cellStyle name="Normal 2 7 2 14 2 2" xfId="31768" xr:uid="{00000000-0005-0000-0000-00001B7C0000}"/>
    <cellStyle name="Normal 2 7 2 14 2 2 2" xfId="31769" xr:uid="{00000000-0005-0000-0000-00001C7C0000}"/>
    <cellStyle name="Normal 2 7 2 14 2 2 3" xfId="31770" xr:uid="{00000000-0005-0000-0000-00001D7C0000}"/>
    <cellStyle name="Normal 2 7 2 14 2 3" xfId="31771" xr:uid="{00000000-0005-0000-0000-00001E7C0000}"/>
    <cellStyle name="Normal 2 7 2 14 2 4" xfId="31772" xr:uid="{00000000-0005-0000-0000-00001F7C0000}"/>
    <cellStyle name="Normal 2 7 2 14 2 5" xfId="31773" xr:uid="{00000000-0005-0000-0000-0000207C0000}"/>
    <cellStyle name="Normal 2 7 2 14 2 6" xfId="31774" xr:uid="{00000000-0005-0000-0000-0000217C0000}"/>
    <cellStyle name="Normal 2 7 2 14 3" xfId="31775" xr:uid="{00000000-0005-0000-0000-0000227C0000}"/>
    <cellStyle name="Normal 2 7 2 14 3 2" xfId="31776" xr:uid="{00000000-0005-0000-0000-0000237C0000}"/>
    <cellStyle name="Normal 2 7 2 14 3 2 2" xfId="31777" xr:uid="{00000000-0005-0000-0000-0000247C0000}"/>
    <cellStyle name="Normal 2 7 2 14 3 3" xfId="31778" xr:uid="{00000000-0005-0000-0000-0000257C0000}"/>
    <cellStyle name="Normal 2 7 2 14 3 4" xfId="31779" xr:uid="{00000000-0005-0000-0000-0000267C0000}"/>
    <cellStyle name="Normal 2 7 2 14 3 5" xfId="31780" xr:uid="{00000000-0005-0000-0000-0000277C0000}"/>
    <cellStyle name="Normal 2 7 2 14 4" xfId="31781" xr:uid="{00000000-0005-0000-0000-0000287C0000}"/>
    <cellStyle name="Normal 2 7 2 14 4 2" xfId="31782" xr:uid="{00000000-0005-0000-0000-0000297C0000}"/>
    <cellStyle name="Normal 2 7 2 14 4 3" xfId="31783" xr:uid="{00000000-0005-0000-0000-00002A7C0000}"/>
    <cellStyle name="Normal 2 7 2 14 4 4" xfId="31784" xr:uid="{00000000-0005-0000-0000-00002B7C0000}"/>
    <cellStyle name="Normal 2 7 2 14 5" xfId="31785" xr:uid="{00000000-0005-0000-0000-00002C7C0000}"/>
    <cellStyle name="Normal 2 7 2 14 5 2" xfId="31786" xr:uid="{00000000-0005-0000-0000-00002D7C0000}"/>
    <cellStyle name="Normal 2 7 2 14 6" xfId="31787" xr:uid="{00000000-0005-0000-0000-00002E7C0000}"/>
    <cellStyle name="Normal 2 7 2 14 7" xfId="31788" xr:uid="{00000000-0005-0000-0000-00002F7C0000}"/>
    <cellStyle name="Normal 2 7 2 14 8" xfId="31789" xr:uid="{00000000-0005-0000-0000-0000307C0000}"/>
    <cellStyle name="Normal 2 7 2 14 9" xfId="31790" xr:uid="{00000000-0005-0000-0000-0000317C0000}"/>
    <cellStyle name="Normal 2 7 2 15" xfId="31791" xr:uid="{00000000-0005-0000-0000-0000327C0000}"/>
    <cellStyle name="Normal 2 7 2 15 2" xfId="31792" xr:uid="{00000000-0005-0000-0000-0000337C0000}"/>
    <cellStyle name="Normal 2 7 2 15 2 2" xfId="31793" xr:uid="{00000000-0005-0000-0000-0000347C0000}"/>
    <cellStyle name="Normal 2 7 2 15 2 3" xfId="31794" xr:uid="{00000000-0005-0000-0000-0000357C0000}"/>
    <cellStyle name="Normal 2 7 2 15 3" xfId="31795" xr:uid="{00000000-0005-0000-0000-0000367C0000}"/>
    <cellStyle name="Normal 2 7 2 15 4" xfId="31796" xr:uid="{00000000-0005-0000-0000-0000377C0000}"/>
    <cellStyle name="Normal 2 7 2 15 5" xfId="31797" xr:uid="{00000000-0005-0000-0000-0000387C0000}"/>
    <cellStyle name="Normal 2 7 2 15 6" xfId="31798" xr:uid="{00000000-0005-0000-0000-0000397C0000}"/>
    <cellStyle name="Normal 2 7 2 16" xfId="31799" xr:uid="{00000000-0005-0000-0000-00003A7C0000}"/>
    <cellStyle name="Normal 2 7 2 16 2" xfId="31800" xr:uid="{00000000-0005-0000-0000-00003B7C0000}"/>
    <cellStyle name="Normal 2 7 2 16 2 2" xfId="31801" xr:uid="{00000000-0005-0000-0000-00003C7C0000}"/>
    <cellStyle name="Normal 2 7 2 16 3" xfId="31802" xr:uid="{00000000-0005-0000-0000-00003D7C0000}"/>
    <cellStyle name="Normal 2 7 2 16 4" xfId="31803" xr:uid="{00000000-0005-0000-0000-00003E7C0000}"/>
    <cellStyle name="Normal 2 7 2 16 5" xfId="31804" xr:uid="{00000000-0005-0000-0000-00003F7C0000}"/>
    <cellStyle name="Normal 2 7 2 17" xfId="31805" xr:uid="{00000000-0005-0000-0000-0000407C0000}"/>
    <cellStyle name="Normal 2 7 2 17 2" xfId="31806" xr:uid="{00000000-0005-0000-0000-0000417C0000}"/>
    <cellStyle name="Normal 2 7 2 17 2 2" xfId="31807" xr:uid="{00000000-0005-0000-0000-0000427C0000}"/>
    <cellStyle name="Normal 2 7 2 17 3" xfId="31808" xr:uid="{00000000-0005-0000-0000-0000437C0000}"/>
    <cellStyle name="Normal 2 7 2 17 4" xfId="31809" xr:uid="{00000000-0005-0000-0000-0000447C0000}"/>
    <cellStyle name="Normal 2 7 2 17 5" xfId="31810" xr:uid="{00000000-0005-0000-0000-0000457C0000}"/>
    <cellStyle name="Normal 2 7 2 18" xfId="31811" xr:uid="{00000000-0005-0000-0000-0000467C0000}"/>
    <cellStyle name="Normal 2 7 2 18 2" xfId="31812" xr:uid="{00000000-0005-0000-0000-0000477C0000}"/>
    <cellStyle name="Normal 2 7 2 19" xfId="31813" xr:uid="{00000000-0005-0000-0000-0000487C0000}"/>
    <cellStyle name="Normal 2 7 2 2" xfId="31814" xr:uid="{00000000-0005-0000-0000-0000497C0000}"/>
    <cellStyle name="Normal 2 7 2 2 10" xfId="31815" xr:uid="{00000000-0005-0000-0000-00004A7C0000}"/>
    <cellStyle name="Normal 2 7 2 2 11" xfId="31816" xr:uid="{00000000-0005-0000-0000-00004B7C0000}"/>
    <cellStyle name="Normal 2 7 2 2 2" xfId="31817" xr:uid="{00000000-0005-0000-0000-00004C7C0000}"/>
    <cellStyle name="Normal 2 7 2 2 2 2" xfId="31818" xr:uid="{00000000-0005-0000-0000-00004D7C0000}"/>
    <cellStyle name="Normal 2 7 2 2 2 2 2" xfId="31819" xr:uid="{00000000-0005-0000-0000-00004E7C0000}"/>
    <cellStyle name="Normal 2 7 2 2 2 2 2 2" xfId="31820" xr:uid="{00000000-0005-0000-0000-00004F7C0000}"/>
    <cellStyle name="Normal 2 7 2 2 2 2 2 3" xfId="31821" xr:uid="{00000000-0005-0000-0000-0000507C0000}"/>
    <cellStyle name="Normal 2 7 2 2 2 2 3" xfId="31822" xr:uid="{00000000-0005-0000-0000-0000517C0000}"/>
    <cellStyle name="Normal 2 7 2 2 2 2 4" xfId="31823" xr:uid="{00000000-0005-0000-0000-0000527C0000}"/>
    <cellStyle name="Normal 2 7 2 2 2 2 5" xfId="31824" xr:uid="{00000000-0005-0000-0000-0000537C0000}"/>
    <cellStyle name="Normal 2 7 2 2 2 2 6" xfId="31825" xr:uid="{00000000-0005-0000-0000-0000547C0000}"/>
    <cellStyle name="Normal 2 7 2 2 2 3" xfId="31826" xr:uid="{00000000-0005-0000-0000-0000557C0000}"/>
    <cellStyle name="Normal 2 7 2 2 2 3 2" xfId="31827" xr:uid="{00000000-0005-0000-0000-0000567C0000}"/>
    <cellStyle name="Normal 2 7 2 2 2 3 2 2" xfId="31828" xr:uid="{00000000-0005-0000-0000-0000577C0000}"/>
    <cellStyle name="Normal 2 7 2 2 2 3 3" xfId="31829" xr:uid="{00000000-0005-0000-0000-0000587C0000}"/>
    <cellStyle name="Normal 2 7 2 2 2 3 4" xfId="31830" xr:uid="{00000000-0005-0000-0000-0000597C0000}"/>
    <cellStyle name="Normal 2 7 2 2 2 3 5" xfId="31831" xr:uid="{00000000-0005-0000-0000-00005A7C0000}"/>
    <cellStyle name="Normal 2 7 2 2 2 4" xfId="31832" xr:uid="{00000000-0005-0000-0000-00005B7C0000}"/>
    <cellStyle name="Normal 2 7 2 2 2 4 2" xfId="31833" xr:uid="{00000000-0005-0000-0000-00005C7C0000}"/>
    <cellStyle name="Normal 2 7 2 2 2 4 3" xfId="31834" xr:uid="{00000000-0005-0000-0000-00005D7C0000}"/>
    <cellStyle name="Normal 2 7 2 2 2 4 4" xfId="31835" xr:uid="{00000000-0005-0000-0000-00005E7C0000}"/>
    <cellStyle name="Normal 2 7 2 2 2 5" xfId="31836" xr:uid="{00000000-0005-0000-0000-00005F7C0000}"/>
    <cellStyle name="Normal 2 7 2 2 2 5 2" xfId="31837" xr:uid="{00000000-0005-0000-0000-0000607C0000}"/>
    <cellStyle name="Normal 2 7 2 2 2 6" xfId="31838" xr:uid="{00000000-0005-0000-0000-0000617C0000}"/>
    <cellStyle name="Normal 2 7 2 2 2 7" xfId="31839" xr:uid="{00000000-0005-0000-0000-0000627C0000}"/>
    <cellStyle name="Normal 2 7 2 2 2 8" xfId="31840" xr:uid="{00000000-0005-0000-0000-0000637C0000}"/>
    <cellStyle name="Normal 2 7 2 2 2 9" xfId="31841" xr:uid="{00000000-0005-0000-0000-0000647C0000}"/>
    <cellStyle name="Normal 2 7 2 2 3" xfId="31842" xr:uid="{00000000-0005-0000-0000-0000657C0000}"/>
    <cellStyle name="Normal 2 7 2 2 3 2" xfId="31843" xr:uid="{00000000-0005-0000-0000-0000667C0000}"/>
    <cellStyle name="Normal 2 7 2 2 3 2 2" xfId="31844" xr:uid="{00000000-0005-0000-0000-0000677C0000}"/>
    <cellStyle name="Normal 2 7 2 2 3 2 2 2" xfId="31845" xr:uid="{00000000-0005-0000-0000-0000687C0000}"/>
    <cellStyle name="Normal 2 7 2 2 3 2 2 3" xfId="31846" xr:uid="{00000000-0005-0000-0000-0000697C0000}"/>
    <cellStyle name="Normal 2 7 2 2 3 2 3" xfId="31847" xr:uid="{00000000-0005-0000-0000-00006A7C0000}"/>
    <cellStyle name="Normal 2 7 2 2 3 2 4" xfId="31848" xr:uid="{00000000-0005-0000-0000-00006B7C0000}"/>
    <cellStyle name="Normal 2 7 2 2 3 2 5" xfId="31849" xr:uid="{00000000-0005-0000-0000-00006C7C0000}"/>
    <cellStyle name="Normal 2 7 2 2 3 2 6" xfId="31850" xr:uid="{00000000-0005-0000-0000-00006D7C0000}"/>
    <cellStyle name="Normal 2 7 2 2 3 3" xfId="31851" xr:uid="{00000000-0005-0000-0000-00006E7C0000}"/>
    <cellStyle name="Normal 2 7 2 2 3 3 2" xfId="31852" xr:uid="{00000000-0005-0000-0000-00006F7C0000}"/>
    <cellStyle name="Normal 2 7 2 2 3 3 2 2" xfId="31853" xr:uid="{00000000-0005-0000-0000-0000707C0000}"/>
    <cellStyle name="Normal 2 7 2 2 3 3 3" xfId="31854" xr:uid="{00000000-0005-0000-0000-0000717C0000}"/>
    <cellStyle name="Normal 2 7 2 2 3 3 4" xfId="31855" xr:uid="{00000000-0005-0000-0000-0000727C0000}"/>
    <cellStyle name="Normal 2 7 2 2 3 3 5" xfId="31856" xr:uid="{00000000-0005-0000-0000-0000737C0000}"/>
    <cellStyle name="Normal 2 7 2 2 3 4" xfId="31857" xr:uid="{00000000-0005-0000-0000-0000747C0000}"/>
    <cellStyle name="Normal 2 7 2 2 3 4 2" xfId="31858" xr:uid="{00000000-0005-0000-0000-0000757C0000}"/>
    <cellStyle name="Normal 2 7 2 2 3 4 3" xfId="31859" xr:uid="{00000000-0005-0000-0000-0000767C0000}"/>
    <cellStyle name="Normal 2 7 2 2 3 4 4" xfId="31860" xr:uid="{00000000-0005-0000-0000-0000777C0000}"/>
    <cellStyle name="Normal 2 7 2 2 3 5" xfId="31861" xr:uid="{00000000-0005-0000-0000-0000787C0000}"/>
    <cellStyle name="Normal 2 7 2 2 3 5 2" xfId="31862" xr:uid="{00000000-0005-0000-0000-0000797C0000}"/>
    <cellStyle name="Normal 2 7 2 2 3 6" xfId="31863" xr:uid="{00000000-0005-0000-0000-00007A7C0000}"/>
    <cellStyle name="Normal 2 7 2 2 3 7" xfId="31864" xr:uid="{00000000-0005-0000-0000-00007B7C0000}"/>
    <cellStyle name="Normal 2 7 2 2 3 8" xfId="31865" xr:uid="{00000000-0005-0000-0000-00007C7C0000}"/>
    <cellStyle name="Normal 2 7 2 2 3 9" xfId="31866" xr:uid="{00000000-0005-0000-0000-00007D7C0000}"/>
    <cellStyle name="Normal 2 7 2 2 4" xfId="31867" xr:uid="{00000000-0005-0000-0000-00007E7C0000}"/>
    <cellStyle name="Normal 2 7 2 2 4 2" xfId="31868" xr:uid="{00000000-0005-0000-0000-00007F7C0000}"/>
    <cellStyle name="Normal 2 7 2 2 4 2 2" xfId="31869" xr:uid="{00000000-0005-0000-0000-0000807C0000}"/>
    <cellStyle name="Normal 2 7 2 2 4 2 3" xfId="31870" xr:uid="{00000000-0005-0000-0000-0000817C0000}"/>
    <cellStyle name="Normal 2 7 2 2 4 3" xfId="31871" xr:uid="{00000000-0005-0000-0000-0000827C0000}"/>
    <cellStyle name="Normal 2 7 2 2 4 4" xfId="31872" xr:uid="{00000000-0005-0000-0000-0000837C0000}"/>
    <cellStyle name="Normal 2 7 2 2 4 5" xfId="31873" xr:uid="{00000000-0005-0000-0000-0000847C0000}"/>
    <cellStyle name="Normal 2 7 2 2 4 6" xfId="31874" xr:uid="{00000000-0005-0000-0000-0000857C0000}"/>
    <cellStyle name="Normal 2 7 2 2 5" xfId="31875" xr:uid="{00000000-0005-0000-0000-0000867C0000}"/>
    <cellStyle name="Normal 2 7 2 2 5 2" xfId="31876" xr:uid="{00000000-0005-0000-0000-0000877C0000}"/>
    <cellStyle name="Normal 2 7 2 2 5 2 2" xfId="31877" xr:uid="{00000000-0005-0000-0000-0000887C0000}"/>
    <cellStyle name="Normal 2 7 2 2 5 3" xfId="31878" xr:uid="{00000000-0005-0000-0000-0000897C0000}"/>
    <cellStyle name="Normal 2 7 2 2 5 4" xfId="31879" xr:uid="{00000000-0005-0000-0000-00008A7C0000}"/>
    <cellStyle name="Normal 2 7 2 2 5 5" xfId="31880" xr:uid="{00000000-0005-0000-0000-00008B7C0000}"/>
    <cellStyle name="Normal 2 7 2 2 6" xfId="31881" xr:uid="{00000000-0005-0000-0000-00008C7C0000}"/>
    <cellStyle name="Normal 2 7 2 2 6 2" xfId="31882" xr:uid="{00000000-0005-0000-0000-00008D7C0000}"/>
    <cellStyle name="Normal 2 7 2 2 6 3" xfId="31883" xr:uid="{00000000-0005-0000-0000-00008E7C0000}"/>
    <cellStyle name="Normal 2 7 2 2 6 4" xfId="31884" xr:uid="{00000000-0005-0000-0000-00008F7C0000}"/>
    <cellStyle name="Normal 2 7 2 2 7" xfId="31885" xr:uid="{00000000-0005-0000-0000-0000907C0000}"/>
    <cellStyle name="Normal 2 7 2 2 7 2" xfId="31886" xr:uid="{00000000-0005-0000-0000-0000917C0000}"/>
    <cellStyle name="Normal 2 7 2 2 8" xfId="31887" xr:uid="{00000000-0005-0000-0000-0000927C0000}"/>
    <cellStyle name="Normal 2 7 2 2 9" xfId="31888" xr:uid="{00000000-0005-0000-0000-0000937C0000}"/>
    <cellStyle name="Normal 2 7 2 20" xfId="31889" xr:uid="{00000000-0005-0000-0000-0000947C0000}"/>
    <cellStyle name="Normal 2 7 2 21" xfId="31890" xr:uid="{00000000-0005-0000-0000-0000957C0000}"/>
    <cellStyle name="Normal 2 7 2 22" xfId="31891" xr:uid="{00000000-0005-0000-0000-0000967C0000}"/>
    <cellStyle name="Normal 2 7 2 3" xfId="31892" xr:uid="{00000000-0005-0000-0000-0000977C0000}"/>
    <cellStyle name="Normal 2 7 2 3 10" xfId="31893" xr:uid="{00000000-0005-0000-0000-0000987C0000}"/>
    <cellStyle name="Normal 2 7 2 3 11" xfId="31894" xr:uid="{00000000-0005-0000-0000-0000997C0000}"/>
    <cellStyle name="Normal 2 7 2 3 2" xfId="31895" xr:uid="{00000000-0005-0000-0000-00009A7C0000}"/>
    <cellStyle name="Normal 2 7 2 3 2 2" xfId="31896" xr:uid="{00000000-0005-0000-0000-00009B7C0000}"/>
    <cellStyle name="Normal 2 7 2 3 2 2 2" xfId="31897" xr:uid="{00000000-0005-0000-0000-00009C7C0000}"/>
    <cellStyle name="Normal 2 7 2 3 2 2 2 2" xfId="31898" xr:uid="{00000000-0005-0000-0000-00009D7C0000}"/>
    <cellStyle name="Normal 2 7 2 3 2 2 2 3" xfId="31899" xr:uid="{00000000-0005-0000-0000-00009E7C0000}"/>
    <cellStyle name="Normal 2 7 2 3 2 2 3" xfId="31900" xr:uid="{00000000-0005-0000-0000-00009F7C0000}"/>
    <cellStyle name="Normal 2 7 2 3 2 2 4" xfId="31901" xr:uid="{00000000-0005-0000-0000-0000A07C0000}"/>
    <cellStyle name="Normal 2 7 2 3 2 2 5" xfId="31902" xr:uid="{00000000-0005-0000-0000-0000A17C0000}"/>
    <cellStyle name="Normal 2 7 2 3 2 2 6" xfId="31903" xr:uid="{00000000-0005-0000-0000-0000A27C0000}"/>
    <cellStyle name="Normal 2 7 2 3 2 3" xfId="31904" xr:uid="{00000000-0005-0000-0000-0000A37C0000}"/>
    <cellStyle name="Normal 2 7 2 3 2 3 2" xfId="31905" xr:uid="{00000000-0005-0000-0000-0000A47C0000}"/>
    <cellStyle name="Normal 2 7 2 3 2 3 2 2" xfId="31906" xr:uid="{00000000-0005-0000-0000-0000A57C0000}"/>
    <cellStyle name="Normal 2 7 2 3 2 3 3" xfId="31907" xr:uid="{00000000-0005-0000-0000-0000A67C0000}"/>
    <cellStyle name="Normal 2 7 2 3 2 3 4" xfId="31908" xr:uid="{00000000-0005-0000-0000-0000A77C0000}"/>
    <cellStyle name="Normal 2 7 2 3 2 3 5" xfId="31909" xr:uid="{00000000-0005-0000-0000-0000A87C0000}"/>
    <cellStyle name="Normal 2 7 2 3 2 4" xfId="31910" xr:uid="{00000000-0005-0000-0000-0000A97C0000}"/>
    <cellStyle name="Normal 2 7 2 3 2 4 2" xfId="31911" xr:uid="{00000000-0005-0000-0000-0000AA7C0000}"/>
    <cellStyle name="Normal 2 7 2 3 2 4 3" xfId="31912" xr:uid="{00000000-0005-0000-0000-0000AB7C0000}"/>
    <cellStyle name="Normal 2 7 2 3 2 4 4" xfId="31913" xr:uid="{00000000-0005-0000-0000-0000AC7C0000}"/>
    <cellStyle name="Normal 2 7 2 3 2 5" xfId="31914" xr:uid="{00000000-0005-0000-0000-0000AD7C0000}"/>
    <cellStyle name="Normal 2 7 2 3 2 5 2" xfId="31915" xr:uid="{00000000-0005-0000-0000-0000AE7C0000}"/>
    <cellStyle name="Normal 2 7 2 3 2 6" xfId="31916" xr:uid="{00000000-0005-0000-0000-0000AF7C0000}"/>
    <cellStyle name="Normal 2 7 2 3 2 7" xfId="31917" xr:uid="{00000000-0005-0000-0000-0000B07C0000}"/>
    <cellStyle name="Normal 2 7 2 3 2 8" xfId="31918" xr:uid="{00000000-0005-0000-0000-0000B17C0000}"/>
    <cellStyle name="Normal 2 7 2 3 2 9" xfId="31919" xr:uid="{00000000-0005-0000-0000-0000B27C0000}"/>
    <cellStyle name="Normal 2 7 2 3 3" xfId="31920" xr:uid="{00000000-0005-0000-0000-0000B37C0000}"/>
    <cellStyle name="Normal 2 7 2 3 3 2" xfId="31921" xr:uid="{00000000-0005-0000-0000-0000B47C0000}"/>
    <cellStyle name="Normal 2 7 2 3 3 2 2" xfId="31922" xr:uid="{00000000-0005-0000-0000-0000B57C0000}"/>
    <cellStyle name="Normal 2 7 2 3 3 2 2 2" xfId="31923" xr:uid="{00000000-0005-0000-0000-0000B67C0000}"/>
    <cellStyle name="Normal 2 7 2 3 3 2 2 3" xfId="31924" xr:uid="{00000000-0005-0000-0000-0000B77C0000}"/>
    <cellStyle name="Normal 2 7 2 3 3 2 3" xfId="31925" xr:uid="{00000000-0005-0000-0000-0000B87C0000}"/>
    <cellStyle name="Normal 2 7 2 3 3 2 4" xfId="31926" xr:uid="{00000000-0005-0000-0000-0000B97C0000}"/>
    <cellStyle name="Normal 2 7 2 3 3 2 5" xfId="31927" xr:uid="{00000000-0005-0000-0000-0000BA7C0000}"/>
    <cellStyle name="Normal 2 7 2 3 3 2 6" xfId="31928" xr:uid="{00000000-0005-0000-0000-0000BB7C0000}"/>
    <cellStyle name="Normal 2 7 2 3 3 3" xfId="31929" xr:uid="{00000000-0005-0000-0000-0000BC7C0000}"/>
    <cellStyle name="Normal 2 7 2 3 3 3 2" xfId="31930" xr:uid="{00000000-0005-0000-0000-0000BD7C0000}"/>
    <cellStyle name="Normal 2 7 2 3 3 3 2 2" xfId="31931" xr:uid="{00000000-0005-0000-0000-0000BE7C0000}"/>
    <cellStyle name="Normal 2 7 2 3 3 3 3" xfId="31932" xr:uid="{00000000-0005-0000-0000-0000BF7C0000}"/>
    <cellStyle name="Normal 2 7 2 3 3 3 4" xfId="31933" xr:uid="{00000000-0005-0000-0000-0000C07C0000}"/>
    <cellStyle name="Normal 2 7 2 3 3 3 5" xfId="31934" xr:uid="{00000000-0005-0000-0000-0000C17C0000}"/>
    <cellStyle name="Normal 2 7 2 3 3 4" xfId="31935" xr:uid="{00000000-0005-0000-0000-0000C27C0000}"/>
    <cellStyle name="Normal 2 7 2 3 3 4 2" xfId="31936" xr:uid="{00000000-0005-0000-0000-0000C37C0000}"/>
    <cellStyle name="Normal 2 7 2 3 3 4 3" xfId="31937" xr:uid="{00000000-0005-0000-0000-0000C47C0000}"/>
    <cellStyle name="Normal 2 7 2 3 3 4 4" xfId="31938" xr:uid="{00000000-0005-0000-0000-0000C57C0000}"/>
    <cellStyle name="Normal 2 7 2 3 3 5" xfId="31939" xr:uid="{00000000-0005-0000-0000-0000C67C0000}"/>
    <cellStyle name="Normal 2 7 2 3 3 5 2" xfId="31940" xr:uid="{00000000-0005-0000-0000-0000C77C0000}"/>
    <cellStyle name="Normal 2 7 2 3 3 6" xfId="31941" xr:uid="{00000000-0005-0000-0000-0000C87C0000}"/>
    <cellStyle name="Normal 2 7 2 3 3 7" xfId="31942" xr:uid="{00000000-0005-0000-0000-0000C97C0000}"/>
    <cellStyle name="Normal 2 7 2 3 3 8" xfId="31943" xr:uid="{00000000-0005-0000-0000-0000CA7C0000}"/>
    <cellStyle name="Normal 2 7 2 3 3 9" xfId="31944" xr:uid="{00000000-0005-0000-0000-0000CB7C0000}"/>
    <cellStyle name="Normal 2 7 2 3 4" xfId="31945" xr:uid="{00000000-0005-0000-0000-0000CC7C0000}"/>
    <cellStyle name="Normal 2 7 2 3 4 2" xfId="31946" xr:uid="{00000000-0005-0000-0000-0000CD7C0000}"/>
    <cellStyle name="Normal 2 7 2 3 4 2 2" xfId="31947" xr:uid="{00000000-0005-0000-0000-0000CE7C0000}"/>
    <cellStyle name="Normal 2 7 2 3 4 2 3" xfId="31948" xr:uid="{00000000-0005-0000-0000-0000CF7C0000}"/>
    <cellStyle name="Normal 2 7 2 3 4 3" xfId="31949" xr:uid="{00000000-0005-0000-0000-0000D07C0000}"/>
    <cellStyle name="Normal 2 7 2 3 4 4" xfId="31950" xr:uid="{00000000-0005-0000-0000-0000D17C0000}"/>
    <cellStyle name="Normal 2 7 2 3 4 5" xfId="31951" xr:uid="{00000000-0005-0000-0000-0000D27C0000}"/>
    <cellStyle name="Normal 2 7 2 3 4 6" xfId="31952" xr:uid="{00000000-0005-0000-0000-0000D37C0000}"/>
    <cellStyle name="Normal 2 7 2 3 5" xfId="31953" xr:uid="{00000000-0005-0000-0000-0000D47C0000}"/>
    <cellStyle name="Normal 2 7 2 3 5 2" xfId="31954" xr:uid="{00000000-0005-0000-0000-0000D57C0000}"/>
    <cellStyle name="Normal 2 7 2 3 5 2 2" xfId="31955" xr:uid="{00000000-0005-0000-0000-0000D67C0000}"/>
    <cellStyle name="Normal 2 7 2 3 5 3" xfId="31956" xr:uid="{00000000-0005-0000-0000-0000D77C0000}"/>
    <cellStyle name="Normal 2 7 2 3 5 4" xfId="31957" xr:uid="{00000000-0005-0000-0000-0000D87C0000}"/>
    <cellStyle name="Normal 2 7 2 3 5 5" xfId="31958" xr:uid="{00000000-0005-0000-0000-0000D97C0000}"/>
    <cellStyle name="Normal 2 7 2 3 6" xfId="31959" xr:uid="{00000000-0005-0000-0000-0000DA7C0000}"/>
    <cellStyle name="Normal 2 7 2 3 6 2" xfId="31960" xr:uid="{00000000-0005-0000-0000-0000DB7C0000}"/>
    <cellStyle name="Normal 2 7 2 3 6 3" xfId="31961" xr:uid="{00000000-0005-0000-0000-0000DC7C0000}"/>
    <cellStyle name="Normal 2 7 2 3 6 4" xfId="31962" xr:uid="{00000000-0005-0000-0000-0000DD7C0000}"/>
    <cellStyle name="Normal 2 7 2 3 7" xfId="31963" xr:uid="{00000000-0005-0000-0000-0000DE7C0000}"/>
    <cellStyle name="Normal 2 7 2 3 7 2" xfId="31964" xr:uid="{00000000-0005-0000-0000-0000DF7C0000}"/>
    <cellStyle name="Normal 2 7 2 3 8" xfId="31965" xr:uid="{00000000-0005-0000-0000-0000E07C0000}"/>
    <cellStyle name="Normal 2 7 2 3 9" xfId="31966" xr:uid="{00000000-0005-0000-0000-0000E17C0000}"/>
    <cellStyle name="Normal 2 7 2 4" xfId="31967" xr:uid="{00000000-0005-0000-0000-0000E27C0000}"/>
    <cellStyle name="Normal 2 7 2 4 10" xfId="31968" xr:uid="{00000000-0005-0000-0000-0000E37C0000}"/>
    <cellStyle name="Normal 2 7 2 4 11" xfId="31969" xr:uid="{00000000-0005-0000-0000-0000E47C0000}"/>
    <cellStyle name="Normal 2 7 2 4 2" xfId="31970" xr:uid="{00000000-0005-0000-0000-0000E57C0000}"/>
    <cellStyle name="Normal 2 7 2 4 2 2" xfId="31971" xr:uid="{00000000-0005-0000-0000-0000E67C0000}"/>
    <cellStyle name="Normal 2 7 2 4 2 2 2" xfId="31972" xr:uid="{00000000-0005-0000-0000-0000E77C0000}"/>
    <cellStyle name="Normal 2 7 2 4 2 2 2 2" xfId="31973" xr:uid="{00000000-0005-0000-0000-0000E87C0000}"/>
    <cellStyle name="Normal 2 7 2 4 2 2 2 3" xfId="31974" xr:uid="{00000000-0005-0000-0000-0000E97C0000}"/>
    <cellStyle name="Normal 2 7 2 4 2 2 3" xfId="31975" xr:uid="{00000000-0005-0000-0000-0000EA7C0000}"/>
    <cellStyle name="Normal 2 7 2 4 2 2 4" xfId="31976" xr:uid="{00000000-0005-0000-0000-0000EB7C0000}"/>
    <cellStyle name="Normal 2 7 2 4 2 2 5" xfId="31977" xr:uid="{00000000-0005-0000-0000-0000EC7C0000}"/>
    <cellStyle name="Normal 2 7 2 4 2 2 6" xfId="31978" xr:uid="{00000000-0005-0000-0000-0000ED7C0000}"/>
    <cellStyle name="Normal 2 7 2 4 2 3" xfId="31979" xr:uid="{00000000-0005-0000-0000-0000EE7C0000}"/>
    <cellStyle name="Normal 2 7 2 4 2 3 2" xfId="31980" xr:uid="{00000000-0005-0000-0000-0000EF7C0000}"/>
    <cellStyle name="Normal 2 7 2 4 2 3 2 2" xfId="31981" xr:uid="{00000000-0005-0000-0000-0000F07C0000}"/>
    <cellStyle name="Normal 2 7 2 4 2 3 3" xfId="31982" xr:uid="{00000000-0005-0000-0000-0000F17C0000}"/>
    <cellStyle name="Normal 2 7 2 4 2 3 4" xfId="31983" xr:uid="{00000000-0005-0000-0000-0000F27C0000}"/>
    <cellStyle name="Normal 2 7 2 4 2 3 5" xfId="31984" xr:uid="{00000000-0005-0000-0000-0000F37C0000}"/>
    <cellStyle name="Normal 2 7 2 4 2 4" xfId="31985" xr:uid="{00000000-0005-0000-0000-0000F47C0000}"/>
    <cellStyle name="Normal 2 7 2 4 2 4 2" xfId="31986" xr:uid="{00000000-0005-0000-0000-0000F57C0000}"/>
    <cellStyle name="Normal 2 7 2 4 2 4 3" xfId="31987" xr:uid="{00000000-0005-0000-0000-0000F67C0000}"/>
    <cellStyle name="Normal 2 7 2 4 2 4 4" xfId="31988" xr:uid="{00000000-0005-0000-0000-0000F77C0000}"/>
    <cellStyle name="Normal 2 7 2 4 2 5" xfId="31989" xr:uid="{00000000-0005-0000-0000-0000F87C0000}"/>
    <cellStyle name="Normal 2 7 2 4 2 5 2" xfId="31990" xr:uid="{00000000-0005-0000-0000-0000F97C0000}"/>
    <cellStyle name="Normal 2 7 2 4 2 6" xfId="31991" xr:uid="{00000000-0005-0000-0000-0000FA7C0000}"/>
    <cellStyle name="Normal 2 7 2 4 2 7" xfId="31992" xr:uid="{00000000-0005-0000-0000-0000FB7C0000}"/>
    <cellStyle name="Normal 2 7 2 4 2 8" xfId="31993" xr:uid="{00000000-0005-0000-0000-0000FC7C0000}"/>
    <cellStyle name="Normal 2 7 2 4 2 9" xfId="31994" xr:uid="{00000000-0005-0000-0000-0000FD7C0000}"/>
    <cellStyle name="Normal 2 7 2 4 3" xfId="31995" xr:uid="{00000000-0005-0000-0000-0000FE7C0000}"/>
    <cellStyle name="Normal 2 7 2 4 3 2" xfId="31996" xr:uid="{00000000-0005-0000-0000-0000FF7C0000}"/>
    <cellStyle name="Normal 2 7 2 4 3 2 2" xfId="31997" xr:uid="{00000000-0005-0000-0000-0000007D0000}"/>
    <cellStyle name="Normal 2 7 2 4 3 2 2 2" xfId="31998" xr:uid="{00000000-0005-0000-0000-0000017D0000}"/>
    <cellStyle name="Normal 2 7 2 4 3 2 2 3" xfId="31999" xr:uid="{00000000-0005-0000-0000-0000027D0000}"/>
    <cellStyle name="Normal 2 7 2 4 3 2 3" xfId="32000" xr:uid="{00000000-0005-0000-0000-0000037D0000}"/>
    <cellStyle name="Normal 2 7 2 4 3 2 4" xfId="32001" xr:uid="{00000000-0005-0000-0000-0000047D0000}"/>
    <cellStyle name="Normal 2 7 2 4 3 2 5" xfId="32002" xr:uid="{00000000-0005-0000-0000-0000057D0000}"/>
    <cellStyle name="Normal 2 7 2 4 3 2 6" xfId="32003" xr:uid="{00000000-0005-0000-0000-0000067D0000}"/>
    <cellStyle name="Normal 2 7 2 4 3 3" xfId="32004" xr:uid="{00000000-0005-0000-0000-0000077D0000}"/>
    <cellStyle name="Normal 2 7 2 4 3 3 2" xfId="32005" xr:uid="{00000000-0005-0000-0000-0000087D0000}"/>
    <cellStyle name="Normal 2 7 2 4 3 3 2 2" xfId="32006" xr:uid="{00000000-0005-0000-0000-0000097D0000}"/>
    <cellStyle name="Normal 2 7 2 4 3 3 3" xfId="32007" xr:uid="{00000000-0005-0000-0000-00000A7D0000}"/>
    <cellStyle name="Normal 2 7 2 4 3 3 4" xfId="32008" xr:uid="{00000000-0005-0000-0000-00000B7D0000}"/>
    <cellStyle name="Normal 2 7 2 4 3 3 5" xfId="32009" xr:uid="{00000000-0005-0000-0000-00000C7D0000}"/>
    <cellStyle name="Normal 2 7 2 4 3 4" xfId="32010" xr:uid="{00000000-0005-0000-0000-00000D7D0000}"/>
    <cellStyle name="Normal 2 7 2 4 3 4 2" xfId="32011" xr:uid="{00000000-0005-0000-0000-00000E7D0000}"/>
    <cellStyle name="Normal 2 7 2 4 3 4 3" xfId="32012" xr:uid="{00000000-0005-0000-0000-00000F7D0000}"/>
    <cellStyle name="Normal 2 7 2 4 3 4 4" xfId="32013" xr:uid="{00000000-0005-0000-0000-0000107D0000}"/>
    <cellStyle name="Normal 2 7 2 4 3 5" xfId="32014" xr:uid="{00000000-0005-0000-0000-0000117D0000}"/>
    <cellStyle name="Normal 2 7 2 4 3 5 2" xfId="32015" xr:uid="{00000000-0005-0000-0000-0000127D0000}"/>
    <cellStyle name="Normal 2 7 2 4 3 6" xfId="32016" xr:uid="{00000000-0005-0000-0000-0000137D0000}"/>
    <cellStyle name="Normal 2 7 2 4 3 7" xfId="32017" xr:uid="{00000000-0005-0000-0000-0000147D0000}"/>
    <cellStyle name="Normal 2 7 2 4 3 8" xfId="32018" xr:uid="{00000000-0005-0000-0000-0000157D0000}"/>
    <cellStyle name="Normal 2 7 2 4 3 9" xfId="32019" xr:uid="{00000000-0005-0000-0000-0000167D0000}"/>
    <cellStyle name="Normal 2 7 2 4 4" xfId="32020" xr:uid="{00000000-0005-0000-0000-0000177D0000}"/>
    <cellStyle name="Normal 2 7 2 4 4 2" xfId="32021" xr:uid="{00000000-0005-0000-0000-0000187D0000}"/>
    <cellStyle name="Normal 2 7 2 4 4 2 2" xfId="32022" xr:uid="{00000000-0005-0000-0000-0000197D0000}"/>
    <cellStyle name="Normal 2 7 2 4 4 2 3" xfId="32023" xr:uid="{00000000-0005-0000-0000-00001A7D0000}"/>
    <cellStyle name="Normal 2 7 2 4 4 3" xfId="32024" xr:uid="{00000000-0005-0000-0000-00001B7D0000}"/>
    <cellStyle name="Normal 2 7 2 4 4 4" xfId="32025" xr:uid="{00000000-0005-0000-0000-00001C7D0000}"/>
    <cellStyle name="Normal 2 7 2 4 4 5" xfId="32026" xr:uid="{00000000-0005-0000-0000-00001D7D0000}"/>
    <cellStyle name="Normal 2 7 2 4 4 6" xfId="32027" xr:uid="{00000000-0005-0000-0000-00001E7D0000}"/>
    <cellStyle name="Normal 2 7 2 4 5" xfId="32028" xr:uid="{00000000-0005-0000-0000-00001F7D0000}"/>
    <cellStyle name="Normal 2 7 2 4 5 2" xfId="32029" xr:uid="{00000000-0005-0000-0000-0000207D0000}"/>
    <cellStyle name="Normal 2 7 2 4 5 2 2" xfId="32030" xr:uid="{00000000-0005-0000-0000-0000217D0000}"/>
    <cellStyle name="Normal 2 7 2 4 5 3" xfId="32031" xr:uid="{00000000-0005-0000-0000-0000227D0000}"/>
    <cellStyle name="Normal 2 7 2 4 5 4" xfId="32032" xr:uid="{00000000-0005-0000-0000-0000237D0000}"/>
    <cellStyle name="Normal 2 7 2 4 5 5" xfId="32033" xr:uid="{00000000-0005-0000-0000-0000247D0000}"/>
    <cellStyle name="Normal 2 7 2 4 6" xfId="32034" xr:uid="{00000000-0005-0000-0000-0000257D0000}"/>
    <cellStyle name="Normal 2 7 2 4 6 2" xfId="32035" xr:uid="{00000000-0005-0000-0000-0000267D0000}"/>
    <cellStyle name="Normal 2 7 2 4 6 3" xfId="32036" xr:uid="{00000000-0005-0000-0000-0000277D0000}"/>
    <cellStyle name="Normal 2 7 2 4 6 4" xfId="32037" xr:uid="{00000000-0005-0000-0000-0000287D0000}"/>
    <cellStyle name="Normal 2 7 2 4 7" xfId="32038" xr:uid="{00000000-0005-0000-0000-0000297D0000}"/>
    <cellStyle name="Normal 2 7 2 4 7 2" xfId="32039" xr:uid="{00000000-0005-0000-0000-00002A7D0000}"/>
    <cellStyle name="Normal 2 7 2 4 8" xfId="32040" xr:uid="{00000000-0005-0000-0000-00002B7D0000}"/>
    <cellStyle name="Normal 2 7 2 4 9" xfId="32041" xr:uid="{00000000-0005-0000-0000-00002C7D0000}"/>
    <cellStyle name="Normal 2 7 2 5" xfId="32042" xr:uid="{00000000-0005-0000-0000-00002D7D0000}"/>
    <cellStyle name="Normal 2 7 2 5 10" xfId="32043" xr:uid="{00000000-0005-0000-0000-00002E7D0000}"/>
    <cellStyle name="Normal 2 7 2 5 11" xfId="32044" xr:uid="{00000000-0005-0000-0000-00002F7D0000}"/>
    <cellStyle name="Normal 2 7 2 5 2" xfId="32045" xr:uid="{00000000-0005-0000-0000-0000307D0000}"/>
    <cellStyle name="Normal 2 7 2 5 2 2" xfId="32046" xr:uid="{00000000-0005-0000-0000-0000317D0000}"/>
    <cellStyle name="Normal 2 7 2 5 2 2 2" xfId="32047" xr:uid="{00000000-0005-0000-0000-0000327D0000}"/>
    <cellStyle name="Normal 2 7 2 5 2 2 2 2" xfId="32048" xr:uid="{00000000-0005-0000-0000-0000337D0000}"/>
    <cellStyle name="Normal 2 7 2 5 2 2 2 3" xfId="32049" xr:uid="{00000000-0005-0000-0000-0000347D0000}"/>
    <cellStyle name="Normal 2 7 2 5 2 2 3" xfId="32050" xr:uid="{00000000-0005-0000-0000-0000357D0000}"/>
    <cellStyle name="Normal 2 7 2 5 2 2 4" xfId="32051" xr:uid="{00000000-0005-0000-0000-0000367D0000}"/>
    <cellStyle name="Normal 2 7 2 5 2 2 5" xfId="32052" xr:uid="{00000000-0005-0000-0000-0000377D0000}"/>
    <cellStyle name="Normal 2 7 2 5 2 2 6" xfId="32053" xr:uid="{00000000-0005-0000-0000-0000387D0000}"/>
    <cellStyle name="Normal 2 7 2 5 2 3" xfId="32054" xr:uid="{00000000-0005-0000-0000-0000397D0000}"/>
    <cellStyle name="Normal 2 7 2 5 2 3 2" xfId="32055" xr:uid="{00000000-0005-0000-0000-00003A7D0000}"/>
    <cellStyle name="Normal 2 7 2 5 2 3 2 2" xfId="32056" xr:uid="{00000000-0005-0000-0000-00003B7D0000}"/>
    <cellStyle name="Normal 2 7 2 5 2 3 3" xfId="32057" xr:uid="{00000000-0005-0000-0000-00003C7D0000}"/>
    <cellStyle name="Normal 2 7 2 5 2 3 4" xfId="32058" xr:uid="{00000000-0005-0000-0000-00003D7D0000}"/>
    <cellStyle name="Normal 2 7 2 5 2 3 5" xfId="32059" xr:uid="{00000000-0005-0000-0000-00003E7D0000}"/>
    <cellStyle name="Normal 2 7 2 5 2 4" xfId="32060" xr:uid="{00000000-0005-0000-0000-00003F7D0000}"/>
    <cellStyle name="Normal 2 7 2 5 2 4 2" xfId="32061" xr:uid="{00000000-0005-0000-0000-0000407D0000}"/>
    <cellStyle name="Normal 2 7 2 5 2 4 3" xfId="32062" xr:uid="{00000000-0005-0000-0000-0000417D0000}"/>
    <cellStyle name="Normal 2 7 2 5 2 4 4" xfId="32063" xr:uid="{00000000-0005-0000-0000-0000427D0000}"/>
    <cellStyle name="Normal 2 7 2 5 2 5" xfId="32064" xr:uid="{00000000-0005-0000-0000-0000437D0000}"/>
    <cellStyle name="Normal 2 7 2 5 2 5 2" xfId="32065" xr:uid="{00000000-0005-0000-0000-0000447D0000}"/>
    <cellStyle name="Normal 2 7 2 5 2 6" xfId="32066" xr:uid="{00000000-0005-0000-0000-0000457D0000}"/>
    <cellStyle name="Normal 2 7 2 5 2 7" xfId="32067" xr:uid="{00000000-0005-0000-0000-0000467D0000}"/>
    <cellStyle name="Normal 2 7 2 5 2 8" xfId="32068" xr:uid="{00000000-0005-0000-0000-0000477D0000}"/>
    <cellStyle name="Normal 2 7 2 5 2 9" xfId="32069" xr:uid="{00000000-0005-0000-0000-0000487D0000}"/>
    <cellStyle name="Normal 2 7 2 5 3" xfId="32070" xr:uid="{00000000-0005-0000-0000-0000497D0000}"/>
    <cellStyle name="Normal 2 7 2 5 3 2" xfId="32071" xr:uid="{00000000-0005-0000-0000-00004A7D0000}"/>
    <cellStyle name="Normal 2 7 2 5 3 2 2" xfId="32072" xr:uid="{00000000-0005-0000-0000-00004B7D0000}"/>
    <cellStyle name="Normal 2 7 2 5 3 2 2 2" xfId="32073" xr:uid="{00000000-0005-0000-0000-00004C7D0000}"/>
    <cellStyle name="Normal 2 7 2 5 3 2 2 3" xfId="32074" xr:uid="{00000000-0005-0000-0000-00004D7D0000}"/>
    <cellStyle name="Normal 2 7 2 5 3 2 3" xfId="32075" xr:uid="{00000000-0005-0000-0000-00004E7D0000}"/>
    <cellStyle name="Normal 2 7 2 5 3 2 4" xfId="32076" xr:uid="{00000000-0005-0000-0000-00004F7D0000}"/>
    <cellStyle name="Normal 2 7 2 5 3 2 5" xfId="32077" xr:uid="{00000000-0005-0000-0000-0000507D0000}"/>
    <cellStyle name="Normal 2 7 2 5 3 2 6" xfId="32078" xr:uid="{00000000-0005-0000-0000-0000517D0000}"/>
    <cellStyle name="Normal 2 7 2 5 3 3" xfId="32079" xr:uid="{00000000-0005-0000-0000-0000527D0000}"/>
    <cellStyle name="Normal 2 7 2 5 3 3 2" xfId="32080" xr:uid="{00000000-0005-0000-0000-0000537D0000}"/>
    <cellStyle name="Normal 2 7 2 5 3 3 2 2" xfId="32081" xr:uid="{00000000-0005-0000-0000-0000547D0000}"/>
    <cellStyle name="Normal 2 7 2 5 3 3 3" xfId="32082" xr:uid="{00000000-0005-0000-0000-0000557D0000}"/>
    <cellStyle name="Normal 2 7 2 5 3 3 4" xfId="32083" xr:uid="{00000000-0005-0000-0000-0000567D0000}"/>
    <cellStyle name="Normal 2 7 2 5 3 3 5" xfId="32084" xr:uid="{00000000-0005-0000-0000-0000577D0000}"/>
    <cellStyle name="Normal 2 7 2 5 3 4" xfId="32085" xr:uid="{00000000-0005-0000-0000-0000587D0000}"/>
    <cellStyle name="Normal 2 7 2 5 3 4 2" xfId="32086" xr:uid="{00000000-0005-0000-0000-0000597D0000}"/>
    <cellStyle name="Normal 2 7 2 5 3 4 3" xfId="32087" xr:uid="{00000000-0005-0000-0000-00005A7D0000}"/>
    <cellStyle name="Normal 2 7 2 5 3 4 4" xfId="32088" xr:uid="{00000000-0005-0000-0000-00005B7D0000}"/>
    <cellStyle name="Normal 2 7 2 5 3 5" xfId="32089" xr:uid="{00000000-0005-0000-0000-00005C7D0000}"/>
    <cellStyle name="Normal 2 7 2 5 3 5 2" xfId="32090" xr:uid="{00000000-0005-0000-0000-00005D7D0000}"/>
    <cellStyle name="Normal 2 7 2 5 3 6" xfId="32091" xr:uid="{00000000-0005-0000-0000-00005E7D0000}"/>
    <cellStyle name="Normal 2 7 2 5 3 7" xfId="32092" xr:uid="{00000000-0005-0000-0000-00005F7D0000}"/>
    <cellStyle name="Normal 2 7 2 5 3 8" xfId="32093" xr:uid="{00000000-0005-0000-0000-0000607D0000}"/>
    <cellStyle name="Normal 2 7 2 5 3 9" xfId="32094" xr:uid="{00000000-0005-0000-0000-0000617D0000}"/>
    <cellStyle name="Normal 2 7 2 5 4" xfId="32095" xr:uid="{00000000-0005-0000-0000-0000627D0000}"/>
    <cellStyle name="Normal 2 7 2 5 4 2" xfId="32096" xr:uid="{00000000-0005-0000-0000-0000637D0000}"/>
    <cellStyle name="Normal 2 7 2 5 4 2 2" xfId="32097" xr:uid="{00000000-0005-0000-0000-0000647D0000}"/>
    <cellStyle name="Normal 2 7 2 5 4 2 3" xfId="32098" xr:uid="{00000000-0005-0000-0000-0000657D0000}"/>
    <cellStyle name="Normal 2 7 2 5 4 3" xfId="32099" xr:uid="{00000000-0005-0000-0000-0000667D0000}"/>
    <cellStyle name="Normal 2 7 2 5 4 4" xfId="32100" xr:uid="{00000000-0005-0000-0000-0000677D0000}"/>
    <cellStyle name="Normal 2 7 2 5 4 5" xfId="32101" xr:uid="{00000000-0005-0000-0000-0000687D0000}"/>
    <cellStyle name="Normal 2 7 2 5 4 6" xfId="32102" xr:uid="{00000000-0005-0000-0000-0000697D0000}"/>
    <cellStyle name="Normal 2 7 2 5 5" xfId="32103" xr:uid="{00000000-0005-0000-0000-00006A7D0000}"/>
    <cellStyle name="Normal 2 7 2 5 5 2" xfId="32104" xr:uid="{00000000-0005-0000-0000-00006B7D0000}"/>
    <cellStyle name="Normal 2 7 2 5 5 2 2" xfId="32105" xr:uid="{00000000-0005-0000-0000-00006C7D0000}"/>
    <cellStyle name="Normal 2 7 2 5 5 3" xfId="32106" xr:uid="{00000000-0005-0000-0000-00006D7D0000}"/>
    <cellStyle name="Normal 2 7 2 5 5 4" xfId="32107" xr:uid="{00000000-0005-0000-0000-00006E7D0000}"/>
    <cellStyle name="Normal 2 7 2 5 5 5" xfId="32108" xr:uid="{00000000-0005-0000-0000-00006F7D0000}"/>
    <cellStyle name="Normal 2 7 2 5 6" xfId="32109" xr:uid="{00000000-0005-0000-0000-0000707D0000}"/>
    <cellStyle name="Normal 2 7 2 5 6 2" xfId="32110" xr:uid="{00000000-0005-0000-0000-0000717D0000}"/>
    <cellStyle name="Normal 2 7 2 5 6 3" xfId="32111" xr:uid="{00000000-0005-0000-0000-0000727D0000}"/>
    <cellStyle name="Normal 2 7 2 5 6 4" xfId="32112" xr:uid="{00000000-0005-0000-0000-0000737D0000}"/>
    <cellStyle name="Normal 2 7 2 5 7" xfId="32113" xr:uid="{00000000-0005-0000-0000-0000747D0000}"/>
    <cellStyle name="Normal 2 7 2 5 7 2" xfId="32114" xr:uid="{00000000-0005-0000-0000-0000757D0000}"/>
    <cellStyle name="Normal 2 7 2 5 8" xfId="32115" xr:uid="{00000000-0005-0000-0000-0000767D0000}"/>
    <cellStyle name="Normal 2 7 2 5 9" xfId="32116" xr:uid="{00000000-0005-0000-0000-0000777D0000}"/>
    <cellStyle name="Normal 2 7 2 6" xfId="32117" xr:uid="{00000000-0005-0000-0000-0000787D0000}"/>
    <cellStyle name="Normal 2 7 2 6 10" xfId="32118" xr:uid="{00000000-0005-0000-0000-0000797D0000}"/>
    <cellStyle name="Normal 2 7 2 6 11" xfId="32119" xr:uid="{00000000-0005-0000-0000-00007A7D0000}"/>
    <cellStyle name="Normal 2 7 2 6 2" xfId="32120" xr:uid="{00000000-0005-0000-0000-00007B7D0000}"/>
    <cellStyle name="Normal 2 7 2 6 2 2" xfId="32121" xr:uid="{00000000-0005-0000-0000-00007C7D0000}"/>
    <cellStyle name="Normal 2 7 2 6 2 2 2" xfId="32122" xr:uid="{00000000-0005-0000-0000-00007D7D0000}"/>
    <cellStyle name="Normal 2 7 2 6 2 2 2 2" xfId="32123" xr:uid="{00000000-0005-0000-0000-00007E7D0000}"/>
    <cellStyle name="Normal 2 7 2 6 2 2 2 3" xfId="32124" xr:uid="{00000000-0005-0000-0000-00007F7D0000}"/>
    <cellStyle name="Normal 2 7 2 6 2 2 3" xfId="32125" xr:uid="{00000000-0005-0000-0000-0000807D0000}"/>
    <cellStyle name="Normal 2 7 2 6 2 2 4" xfId="32126" xr:uid="{00000000-0005-0000-0000-0000817D0000}"/>
    <cellStyle name="Normal 2 7 2 6 2 2 5" xfId="32127" xr:uid="{00000000-0005-0000-0000-0000827D0000}"/>
    <cellStyle name="Normal 2 7 2 6 2 2 6" xfId="32128" xr:uid="{00000000-0005-0000-0000-0000837D0000}"/>
    <cellStyle name="Normal 2 7 2 6 2 3" xfId="32129" xr:uid="{00000000-0005-0000-0000-0000847D0000}"/>
    <cellStyle name="Normal 2 7 2 6 2 3 2" xfId="32130" xr:uid="{00000000-0005-0000-0000-0000857D0000}"/>
    <cellStyle name="Normal 2 7 2 6 2 3 2 2" xfId="32131" xr:uid="{00000000-0005-0000-0000-0000867D0000}"/>
    <cellStyle name="Normal 2 7 2 6 2 3 3" xfId="32132" xr:uid="{00000000-0005-0000-0000-0000877D0000}"/>
    <cellStyle name="Normal 2 7 2 6 2 3 4" xfId="32133" xr:uid="{00000000-0005-0000-0000-0000887D0000}"/>
    <cellStyle name="Normal 2 7 2 6 2 3 5" xfId="32134" xr:uid="{00000000-0005-0000-0000-0000897D0000}"/>
    <cellStyle name="Normal 2 7 2 6 2 4" xfId="32135" xr:uid="{00000000-0005-0000-0000-00008A7D0000}"/>
    <cellStyle name="Normal 2 7 2 6 2 4 2" xfId="32136" xr:uid="{00000000-0005-0000-0000-00008B7D0000}"/>
    <cellStyle name="Normal 2 7 2 6 2 4 3" xfId="32137" xr:uid="{00000000-0005-0000-0000-00008C7D0000}"/>
    <cellStyle name="Normal 2 7 2 6 2 4 4" xfId="32138" xr:uid="{00000000-0005-0000-0000-00008D7D0000}"/>
    <cellStyle name="Normal 2 7 2 6 2 5" xfId="32139" xr:uid="{00000000-0005-0000-0000-00008E7D0000}"/>
    <cellStyle name="Normal 2 7 2 6 2 5 2" xfId="32140" xr:uid="{00000000-0005-0000-0000-00008F7D0000}"/>
    <cellStyle name="Normal 2 7 2 6 2 6" xfId="32141" xr:uid="{00000000-0005-0000-0000-0000907D0000}"/>
    <cellStyle name="Normal 2 7 2 6 2 7" xfId="32142" xr:uid="{00000000-0005-0000-0000-0000917D0000}"/>
    <cellStyle name="Normal 2 7 2 6 2 8" xfId="32143" xr:uid="{00000000-0005-0000-0000-0000927D0000}"/>
    <cellStyle name="Normal 2 7 2 6 2 9" xfId="32144" xr:uid="{00000000-0005-0000-0000-0000937D0000}"/>
    <cellStyle name="Normal 2 7 2 6 3" xfId="32145" xr:uid="{00000000-0005-0000-0000-0000947D0000}"/>
    <cellStyle name="Normal 2 7 2 6 3 2" xfId="32146" xr:uid="{00000000-0005-0000-0000-0000957D0000}"/>
    <cellStyle name="Normal 2 7 2 6 3 2 2" xfId="32147" xr:uid="{00000000-0005-0000-0000-0000967D0000}"/>
    <cellStyle name="Normal 2 7 2 6 3 2 2 2" xfId="32148" xr:uid="{00000000-0005-0000-0000-0000977D0000}"/>
    <cellStyle name="Normal 2 7 2 6 3 2 2 3" xfId="32149" xr:uid="{00000000-0005-0000-0000-0000987D0000}"/>
    <cellStyle name="Normal 2 7 2 6 3 2 3" xfId="32150" xr:uid="{00000000-0005-0000-0000-0000997D0000}"/>
    <cellStyle name="Normal 2 7 2 6 3 2 4" xfId="32151" xr:uid="{00000000-0005-0000-0000-00009A7D0000}"/>
    <cellStyle name="Normal 2 7 2 6 3 2 5" xfId="32152" xr:uid="{00000000-0005-0000-0000-00009B7D0000}"/>
    <cellStyle name="Normal 2 7 2 6 3 2 6" xfId="32153" xr:uid="{00000000-0005-0000-0000-00009C7D0000}"/>
    <cellStyle name="Normal 2 7 2 6 3 3" xfId="32154" xr:uid="{00000000-0005-0000-0000-00009D7D0000}"/>
    <cellStyle name="Normal 2 7 2 6 3 3 2" xfId="32155" xr:uid="{00000000-0005-0000-0000-00009E7D0000}"/>
    <cellStyle name="Normal 2 7 2 6 3 3 2 2" xfId="32156" xr:uid="{00000000-0005-0000-0000-00009F7D0000}"/>
    <cellStyle name="Normal 2 7 2 6 3 3 3" xfId="32157" xr:uid="{00000000-0005-0000-0000-0000A07D0000}"/>
    <cellStyle name="Normal 2 7 2 6 3 3 4" xfId="32158" xr:uid="{00000000-0005-0000-0000-0000A17D0000}"/>
    <cellStyle name="Normal 2 7 2 6 3 3 5" xfId="32159" xr:uid="{00000000-0005-0000-0000-0000A27D0000}"/>
    <cellStyle name="Normal 2 7 2 6 3 4" xfId="32160" xr:uid="{00000000-0005-0000-0000-0000A37D0000}"/>
    <cellStyle name="Normal 2 7 2 6 3 4 2" xfId="32161" xr:uid="{00000000-0005-0000-0000-0000A47D0000}"/>
    <cellStyle name="Normal 2 7 2 6 3 4 3" xfId="32162" xr:uid="{00000000-0005-0000-0000-0000A57D0000}"/>
    <cellStyle name="Normal 2 7 2 6 3 4 4" xfId="32163" xr:uid="{00000000-0005-0000-0000-0000A67D0000}"/>
    <cellStyle name="Normal 2 7 2 6 3 5" xfId="32164" xr:uid="{00000000-0005-0000-0000-0000A77D0000}"/>
    <cellStyle name="Normal 2 7 2 6 3 5 2" xfId="32165" xr:uid="{00000000-0005-0000-0000-0000A87D0000}"/>
    <cellStyle name="Normal 2 7 2 6 3 6" xfId="32166" xr:uid="{00000000-0005-0000-0000-0000A97D0000}"/>
    <cellStyle name="Normal 2 7 2 6 3 7" xfId="32167" xr:uid="{00000000-0005-0000-0000-0000AA7D0000}"/>
    <cellStyle name="Normal 2 7 2 6 3 8" xfId="32168" xr:uid="{00000000-0005-0000-0000-0000AB7D0000}"/>
    <cellStyle name="Normal 2 7 2 6 3 9" xfId="32169" xr:uid="{00000000-0005-0000-0000-0000AC7D0000}"/>
    <cellStyle name="Normal 2 7 2 6 4" xfId="32170" xr:uid="{00000000-0005-0000-0000-0000AD7D0000}"/>
    <cellStyle name="Normal 2 7 2 6 4 2" xfId="32171" xr:uid="{00000000-0005-0000-0000-0000AE7D0000}"/>
    <cellStyle name="Normal 2 7 2 6 4 2 2" xfId="32172" xr:uid="{00000000-0005-0000-0000-0000AF7D0000}"/>
    <cellStyle name="Normal 2 7 2 6 4 2 3" xfId="32173" xr:uid="{00000000-0005-0000-0000-0000B07D0000}"/>
    <cellStyle name="Normal 2 7 2 6 4 3" xfId="32174" xr:uid="{00000000-0005-0000-0000-0000B17D0000}"/>
    <cellStyle name="Normal 2 7 2 6 4 4" xfId="32175" xr:uid="{00000000-0005-0000-0000-0000B27D0000}"/>
    <cellStyle name="Normal 2 7 2 6 4 5" xfId="32176" xr:uid="{00000000-0005-0000-0000-0000B37D0000}"/>
    <cellStyle name="Normal 2 7 2 6 4 6" xfId="32177" xr:uid="{00000000-0005-0000-0000-0000B47D0000}"/>
    <cellStyle name="Normal 2 7 2 6 5" xfId="32178" xr:uid="{00000000-0005-0000-0000-0000B57D0000}"/>
    <cellStyle name="Normal 2 7 2 6 5 2" xfId="32179" xr:uid="{00000000-0005-0000-0000-0000B67D0000}"/>
    <cellStyle name="Normal 2 7 2 6 5 2 2" xfId="32180" xr:uid="{00000000-0005-0000-0000-0000B77D0000}"/>
    <cellStyle name="Normal 2 7 2 6 5 3" xfId="32181" xr:uid="{00000000-0005-0000-0000-0000B87D0000}"/>
    <cellStyle name="Normal 2 7 2 6 5 4" xfId="32182" xr:uid="{00000000-0005-0000-0000-0000B97D0000}"/>
    <cellStyle name="Normal 2 7 2 6 5 5" xfId="32183" xr:uid="{00000000-0005-0000-0000-0000BA7D0000}"/>
    <cellStyle name="Normal 2 7 2 6 6" xfId="32184" xr:uid="{00000000-0005-0000-0000-0000BB7D0000}"/>
    <cellStyle name="Normal 2 7 2 6 6 2" xfId="32185" xr:uid="{00000000-0005-0000-0000-0000BC7D0000}"/>
    <cellStyle name="Normal 2 7 2 6 6 3" xfId="32186" xr:uid="{00000000-0005-0000-0000-0000BD7D0000}"/>
    <cellStyle name="Normal 2 7 2 6 6 4" xfId="32187" xr:uid="{00000000-0005-0000-0000-0000BE7D0000}"/>
    <cellStyle name="Normal 2 7 2 6 7" xfId="32188" xr:uid="{00000000-0005-0000-0000-0000BF7D0000}"/>
    <cellStyle name="Normal 2 7 2 6 7 2" xfId="32189" xr:uid="{00000000-0005-0000-0000-0000C07D0000}"/>
    <cellStyle name="Normal 2 7 2 6 8" xfId="32190" xr:uid="{00000000-0005-0000-0000-0000C17D0000}"/>
    <cellStyle name="Normal 2 7 2 6 9" xfId="32191" xr:uid="{00000000-0005-0000-0000-0000C27D0000}"/>
    <cellStyle name="Normal 2 7 2 7" xfId="32192" xr:uid="{00000000-0005-0000-0000-0000C37D0000}"/>
    <cellStyle name="Normal 2 7 2 7 10" xfId="32193" xr:uid="{00000000-0005-0000-0000-0000C47D0000}"/>
    <cellStyle name="Normal 2 7 2 7 11" xfId="32194" xr:uid="{00000000-0005-0000-0000-0000C57D0000}"/>
    <cellStyle name="Normal 2 7 2 7 2" xfId="32195" xr:uid="{00000000-0005-0000-0000-0000C67D0000}"/>
    <cellStyle name="Normal 2 7 2 7 2 2" xfId="32196" xr:uid="{00000000-0005-0000-0000-0000C77D0000}"/>
    <cellStyle name="Normal 2 7 2 7 2 2 2" xfId="32197" xr:uid="{00000000-0005-0000-0000-0000C87D0000}"/>
    <cellStyle name="Normal 2 7 2 7 2 2 2 2" xfId="32198" xr:uid="{00000000-0005-0000-0000-0000C97D0000}"/>
    <cellStyle name="Normal 2 7 2 7 2 2 2 3" xfId="32199" xr:uid="{00000000-0005-0000-0000-0000CA7D0000}"/>
    <cellStyle name="Normal 2 7 2 7 2 2 3" xfId="32200" xr:uid="{00000000-0005-0000-0000-0000CB7D0000}"/>
    <cellStyle name="Normal 2 7 2 7 2 2 4" xfId="32201" xr:uid="{00000000-0005-0000-0000-0000CC7D0000}"/>
    <cellStyle name="Normal 2 7 2 7 2 2 5" xfId="32202" xr:uid="{00000000-0005-0000-0000-0000CD7D0000}"/>
    <cellStyle name="Normal 2 7 2 7 2 2 6" xfId="32203" xr:uid="{00000000-0005-0000-0000-0000CE7D0000}"/>
    <cellStyle name="Normal 2 7 2 7 2 3" xfId="32204" xr:uid="{00000000-0005-0000-0000-0000CF7D0000}"/>
    <cellStyle name="Normal 2 7 2 7 2 3 2" xfId="32205" xr:uid="{00000000-0005-0000-0000-0000D07D0000}"/>
    <cellStyle name="Normal 2 7 2 7 2 3 2 2" xfId="32206" xr:uid="{00000000-0005-0000-0000-0000D17D0000}"/>
    <cellStyle name="Normal 2 7 2 7 2 3 3" xfId="32207" xr:uid="{00000000-0005-0000-0000-0000D27D0000}"/>
    <cellStyle name="Normal 2 7 2 7 2 3 4" xfId="32208" xr:uid="{00000000-0005-0000-0000-0000D37D0000}"/>
    <cellStyle name="Normal 2 7 2 7 2 3 5" xfId="32209" xr:uid="{00000000-0005-0000-0000-0000D47D0000}"/>
    <cellStyle name="Normal 2 7 2 7 2 4" xfId="32210" xr:uid="{00000000-0005-0000-0000-0000D57D0000}"/>
    <cellStyle name="Normal 2 7 2 7 2 4 2" xfId="32211" xr:uid="{00000000-0005-0000-0000-0000D67D0000}"/>
    <cellStyle name="Normal 2 7 2 7 2 4 3" xfId="32212" xr:uid="{00000000-0005-0000-0000-0000D77D0000}"/>
    <cellStyle name="Normal 2 7 2 7 2 4 4" xfId="32213" xr:uid="{00000000-0005-0000-0000-0000D87D0000}"/>
    <cellStyle name="Normal 2 7 2 7 2 5" xfId="32214" xr:uid="{00000000-0005-0000-0000-0000D97D0000}"/>
    <cellStyle name="Normal 2 7 2 7 2 5 2" xfId="32215" xr:uid="{00000000-0005-0000-0000-0000DA7D0000}"/>
    <cellStyle name="Normal 2 7 2 7 2 6" xfId="32216" xr:uid="{00000000-0005-0000-0000-0000DB7D0000}"/>
    <cellStyle name="Normal 2 7 2 7 2 7" xfId="32217" xr:uid="{00000000-0005-0000-0000-0000DC7D0000}"/>
    <cellStyle name="Normal 2 7 2 7 2 8" xfId="32218" xr:uid="{00000000-0005-0000-0000-0000DD7D0000}"/>
    <cellStyle name="Normal 2 7 2 7 2 9" xfId="32219" xr:uid="{00000000-0005-0000-0000-0000DE7D0000}"/>
    <cellStyle name="Normal 2 7 2 7 3" xfId="32220" xr:uid="{00000000-0005-0000-0000-0000DF7D0000}"/>
    <cellStyle name="Normal 2 7 2 7 3 2" xfId="32221" xr:uid="{00000000-0005-0000-0000-0000E07D0000}"/>
    <cellStyle name="Normal 2 7 2 7 3 2 2" xfId="32222" xr:uid="{00000000-0005-0000-0000-0000E17D0000}"/>
    <cellStyle name="Normal 2 7 2 7 3 2 2 2" xfId="32223" xr:uid="{00000000-0005-0000-0000-0000E27D0000}"/>
    <cellStyle name="Normal 2 7 2 7 3 2 2 3" xfId="32224" xr:uid="{00000000-0005-0000-0000-0000E37D0000}"/>
    <cellStyle name="Normal 2 7 2 7 3 2 3" xfId="32225" xr:uid="{00000000-0005-0000-0000-0000E47D0000}"/>
    <cellStyle name="Normal 2 7 2 7 3 2 4" xfId="32226" xr:uid="{00000000-0005-0000-0000-0000E57D0000}"/>
    <cellStyle name="Normal 2 7 2 7 3 2 5" xfId="32227" xr:uid="{00000000-0005-0000-0000-0000E67D0000}"/>
    <cellStyle name="Normal 2 7 2 7 3 2 6" xfId="32228" xr:uid="{00000000-0005-0000-0000-0000E77D0000}"/>
    <cellStyle name="Normal 2 7 2 7 3 3" xfId="32229" xr:uid="{00000000-0005-0000-0000-0000E87D0000}"/>
    <cellStyle name="Normal 2 7 2 7 3 3 2" xfId="32230" xr:uid="{00000000-0005-0000-0000-0000E97D0000}"/>
    <cellStyle name="Normal 2 7 2 7 3 3 2 2" xfId="32231" xr:uid="{00000000-0005-0000-0000-0000EA7D0000}"/>
    <cellStyle name="Normal 2 7 2 7 3 3 3" xfId="32232" xr:uid="{00000000-0005-0000-0000-0000EB7D0000}"/>
    <cellStyle name="Normal 2 7 2 7 3 3 4" xfId="32233" xr:uid="{00000000-0005-0000-0000-0000EC7D0000}"/>
    <cellStyle name="Normal 2 7 2 7 3 3 5" xfId="32234" xr:uid="{00000000-0005-0000-0000-0000ED7D0000}"/>
    <cellStyle name="Normal 2 7 2 7 3 4" xfId="32235" xr:uid="{00000000-0005-0000-0000-0000EE7D0000}"/>
    <cellStyle name="Normal 2 7 2 7 3 4 2" xfId="32236" xr:uid="{00000000-0005-0000-0000-0000EF7D0000}"/>
    <cellStyle name="Normal 2 7 2 7 3 4 3" xfId="32237" xr:uid="{00000000-0005-0000-0000-0000F07D0000}"/>
    <cellStyle name="Normal 2 7 2 7 3 4 4" xfId="32238" xr:uid="{00000000-0005-0000-0000-0000F17D0000}"/>
    <cellStyle name="Normal 2 7 2 7 3 5" xfId="32239" xr:uid="{00000000-0005-0000-0000-0000F27D0000}"/>
    <cellStyle name="Normal 2 7 2 7 3 5 2" xfId="32240" xr:uid="{00000000-0005-0000-0000-0000F37D0000}"/>
    <cellStyle name="Normal 2 7 2 7 3 6" xfId="32241" xr:uid="{00000000-0005-0000-0000-0000F47D0000}"/>
    <cellStyle name="Normal 2 7 2 7 3 7" xfId="32242" xr:uid="{00000000-0005-0000-0000-0000F57D0000}"/>
    <cellStyle name="Normal 2 7 2 7 3 8" xfId="32243" xr:uid="{00000000-0005-0000-0000-0000F67D0000}"/>
    <cellStyle name="Normal 2 7 2 7 3 9" xfId="32244" xr:uid="{00000000-0005-0000-0000-0000F77D0000}"/>
    <cellStyle name="Normal 2 7 2 7 4" xfId="32245" xr:uid="{00000000-0005-0000-0000-0000F87D0000}"/>
    <cellStyle name="Normal 2 7 2 7 4 2" xfId="32246" xr:uid="{00000000-0005-0000-0000-0000F97D0000}"/>
    <cellStyle name="Normal 2 7 2 7 4 2 2" xfId="32247" xr:uid="{00000000-0005-0000-0000-0000FA7D0000}"/>
    <cellStyle name="Normal 2 7 2 7 4 2 3" xfId="32248" xr:uid="{00000000-0005-0000-0000-0000FB7D0000}"/>
    <cellStyle name="Normal 2 7 2 7 4 3" xfId="32249" xr:uid="{00000000-0005-0000-0000-0000FC7D0000}"/>
    <cellStyle name="Normal 2 7 2 7 4 4" xfId="32250" xr:uid="{00000000-0005-0000-0000-0000FD7D0000}"/>
    <cellStyle name="Normal 2 7 2 7 4 5" xfId="32251" xr:uid="{00000000-0005-0000-0000-0000FE7D0000}"/>
    <cellStyle name="Normal 2 7 2 7 4 6" xfId="32252" xr:uid="{00000000-0005-0000-0000-0000FF7D0000}"/>
    <cellStyle name="Normal 2 7 2 7 5" xfId="32253" xr:uid="{00000000-0005-0000-0000-0000007E0000}"/>
    <cellStyle name="Normal 2 7 2 7 5 2" xfId="32254" xr:uid="{00000000-0005-0000-0000-0000017E0000}"/>
    <cellStyle name="Normal 2 7 2 7 5 2 2" xfId="32255" xr:uid="{00000000-0005-0000-0000-0000027E0000}"/>
    <cellStyle name="Normal 2 7 2 7 5 3" xfId="32256" xr:uid="{00000000-0005-0000-0000-0000037E0000}"/>
    <cellStyle name="Normal 2 7 2 7 5 4" xfId="32257" xr:uid="{00000000-0005-0000-0000-0000047E0000}"/>
    <cellStyle name="Normal 2 7 2 7 5 5" xfId="32258" xr:uid="{00000000-0005-0000-0000-0000057E0000}"/>
    <cellStyle name="Normal 2 7 2 7 6" xfId="32259" xr:uid="{00000000-0005-0000-0000-0000067E0000}"/>
    <cellStyle name="Normal 2 7 2 7 6 2" xfId="32260" xr:uid="{00000000-0005-0000-0000-0000077E0000}"/>
    <cellStyle name="Normal 2 7 2 7 6 3" xfId="32261" xr:uid="{00000000-0005-0000-0000-0000087E0000}"/>
    <cellStyle name="Normal 2 7 2 7 6 4" xfId="32262" xr:uid="{00000000-0005-0000-0000-0000097E0000}"/>
    <cellStyle name="Normal 2 7 2 7 7" xfId="32263" xr:uid="{00000000-0005-0000-0000-00000A7E0000}"/>
    <cellStyle name="Normal 2 7 2 7 7 2" xfId="32264" xr:uid="{00000000-0005-0000-0000-00000B7E0000}"/>
    <cellStyle name="Normal 2 7 2 7 8" xfId="32265" xr:uid="{00000000-0005-0000-0000-00000C7E0000}"/>
    <cellStyle name="Normal 2 7 2 7 9" xfId="32266" xr:uid="{00000000-0005-0000-0000-00000D7E0000}"/>
    <cellStyle name="Normal 2 7 2 8" xfId="32267" xr:uid="{00000000-0005-0000-0000-00000E7E0000}"/>
    <cellStyle name="Normal 2 7 2 8 10" xfId="32268" xr:uid="{00000000-0005-0000-0000-00000F7E0000}"/>
    <cellStyle name="Normal 2 7 2 8 2" xfId="32269" xr:uid="{00000000-0005-0000-0000-0000107E0000}"/>
    <cellStyle name="Normal 2 7 2 8 2 2" xfId="32270" xr:uid="{00000000-0005-0000-0000-0000117E0000}"/>
    <cellStyle name="Normal 2 7 2 8 2 2 2" xfId="32271" xr:uid="{00000000-0005-0000-0000-0000127E0000}"/>
    <cellStyle name="Normal 2 7 2 8 2 2 3" xfId="32272" xr:uid="{00000000-0005-0000-0000-0000137E0000}"/>
    <cellStyle name="Normal 2 7 2 8 2 3" xfId="32273" xr:uid="{00000000-0005-0000-0000-0000147E0000}"/>
    <cellStyle name="Normal 2 7 2 8 2 4" xfId="32274" xr:uid="{00000000-0005-0000-0000-0000157E0000}"/>
    <cellStyle name="Normal 2 7 2 8 2 5" xfId="32275" xr:uid="{00000000-0005-0000-0000-0000167E0000}"/>
    <cellStyle name="Normal 2 7 2 8 2 6" xfId="32276" xr:uid="{00000000-0005-0000-0000-0000177E0000}"/>
    <cellStyle name="Normal 2 7 2 8 3" xfId="32277" xr:uid="{00000000-0005-0000-0000-0000187E0000}"/>
    <cellStyle name="Normal 2 7 2 8 3 2" xfId="32278" xr:uid="{00000000-0005-0000-0000-0000197E0000}"/>
    <cellStyle name="Normal 2 7 2 8 3 2 2" xfId="32279" xr:uid="{00000000-0005-0000-0000-00001A7E0000}"/>
    <cellStyle name="Normal 2 7 2 8 3 2 3" xfId="32280" xr:uid="{00000000-0005-0000-0000-00001B7E0000}"/>
    <cellStyle name="Normal 2 7 2 8 3 3" xfId="32281" xr:uid="{00000000-0005-0000-0000-00001C7E0000}"/>
    <cellStyle name="Normal 2 7 2 8 3 4" xfId="32282" xr:uid="{00000000-0005-0000-0000-00001D7E0000}"/>
    <cellStyle name="Normal 2 7 2 8 3 5" xfId="32283" xr:uid="{00000000-0005-0000-0000-00001E7E0000}"/>
    <cellStyle name="Normal 2 7 2 8 3 6" xfId="32284" xr:uid="{00000000-0005-0000-0000-00001F7E0000}"/>
    <cellStyle name="Normal 2 7 2 8 4" xfId="32285" xr:uid="{00000000-0005-0000-0000-0000207E0000}"/>
    <cellStyle name="Normal 2 7 2 8 4 2" xfId="32286" xr:uid="{00000000-0005-0000-0000-0000217E0000}"/>
    <cellStyle name="Normal 2 7 2 8 4 2 2" xfId="32287" xr:uid="{00000000-0005-0000-0000-0000227E0000}"/>
    <cellStyle name="Normal 2 7 2 8 4 3" xfId="32288" xr:uid="{00000000-0005-0000-0000-0000237E0000}"/>
    <cellStyle name="Normal 2 7 2 8 4 4" xfId="32289" xr:uid="{00000000-0005-0000-0000-0000247E0000}"/>
    <cellStyle name="Normal 2 7 2 8 4 5" xfId="32290" xr:uid="{00000000-0005-0000-0000-0000257E0000}"/>
    <cellStyle name="Normal 2 7 2 8 5" xfId="32291" xr:uid="{00000000-0005-0000-0000-0000267E0000}"/>
    <cellStyle name="Normal 2 7 2 8 5 2" xfId="32292" xr:uid="{00000000-0005-0000-0000-0000277E0000}"/>
    <cellStyle name="Normal 2 7 2 8 5 3" xfId="32293" xr:uid="{00000000-0005-0000-0000-0000287E0000}"/>
    <cellStyle name="Normal 2 7 2 8 5 4" xfId="32294" xr:uid="{00000000-0005-0000-0000-0000297E0000}"/>
    <cellStyle name="Normal 2 7 2 8 6" xfId="32295" xr:uid="{00000000-0005-0000-0000-00002A7E0000}"/>
    <cellStyle name="Normal 2 7 2 8 6 2" xfId="32296" xr:uid="{00000000-0005-0000-0000-00002B7E0000}"/>
    <cellStyle name="Normal 2 7 2 8 7" xfId="32297" xr:uid="{00000000-0005-0000-0000-00002C7E0000}"/>
    <cellStyle name="Normal 2 7 2 8 8" xfId="32298" xr:uid="{00000000-0005-0000-0000-00002D7E0000}"/>
    <cellStyle name="Normal 2 7 2 8 9" xfId="32299" xr:uid="{00000000-0005-0000-0000-00002E7E0000}"/>
    <cellStyle name="Normal 2 7 2 9" xfId="32300" xr:uid="{00000000-0005-0000-0000-00002F7E0000}"/>
    <cellStyle name="Normal 2 7 2 9 10" xfId="32301" xr:uid="{00000000-0005-0000-0000-0000307E0000}"/>
    <cellStyle name="Normal 2 7 2 9 2" xfId="32302" xr:uid="{00000000-0005-0000-0000-0000317E0000}"/>
    <cellStyle name="Normal 2 7 2 9 2 2" xfId="32303" xr:uid="{00000000-0005-0000-0000-0000327E0000}"/>
    <cellStyle name="Normal 2 7 2 9 2 2 2" xfId="32304" xr:uid="{00000000-0005-0000-0000-0000337E0000}"/>
    <cellStyle name="Normal 2 7 2 9 2 2 3" xfId="32305" xr:uid="{00000000-0005-0000-0000-0000347E0000}"/>
    <cellStyle name="Normal 2 7 2 9 2 3" xfId="32306" xr:uid="{00000000-0005-0000-0000-0000357E0000}"/>
    <cellStyle name="Normal 2 7 2 9 2 4" xfId="32307" xr:uid="{00000000-0005-0000-0000-0000367E0000}"/>
    <cellStyle name="Normal 2 7 2 9 2 5" xfId="32308" xr:uid="{00000000-0005-0000-0000-0000377E0000}"/>
    <cellStyle name="Normal 2 7 2 9 2 6" xfId="32309" xr:uid="{00000000-0005-0000-0000-0000387E0000}"/>
    <cellStyle name="Normal 2 7 2 9 3" xfId="32310" xr:uid="{00000000-0005-0000-0000-0000397E0000}"/>
    <cellStyle name="Normal 2 7 2 9 3 2" xfId="32311" xr:uid="{00000000-0005-0000-0000-00003A7E0000}"/>
    <cellStyle name="Normal 2 7 2 9 3 2 2" xfId="32312" xr:uid="{00000000-0005-0000-0000-00003B7E0000}"/>
    <cellStyle name="Normal 2 7 2 9 3 2 3" xfId="32313" xr:uid="{00000000-0005-0000-0000-00003C7E0000}"/>
    <cellStyle name="Normal 2 7 2 9 3 3" xfId="32314" xr:uid="{00000000-0005-0000-0000-00003D7E0000}"/>
    <cellStyle name="Normal 2 7 2 9 3 4" xfId="32315" xr:uid="{00000000-0005-0000-0000-00003E7E0000}"/>
    <cellStyle name="Normal 2 7 2 9 3 5" xfId="32316" xr:uid="{00000000-0005-0000-0000-00003F7E0000}"/>
    <cellStyle name="Normal 2 7 2 9 3 6" xfId="32317" xr:uid="{00000000-0005-0000-0000-0000407E0000}"/>
    <cellStyle name="Normal 2 7 2 9 4" xfId="32318" xr:uid="{00000000-0005-0000-0000-0000417E0000}"/>
    <cellStyle name="Normal 2 7 2 9 4 2" xfId="32319" xr:uid="{00000000-0005-0000-0000-0000427E0000}"/>
    <cellStyle name="Normal 2 7 2 9 4 2 2" xfId="32320" xr:uid="{00000000-0005-0000-0000-0000437E0000}"/>
    <cellStyle name="Normal 2 7 2 9 4 3" xfId="32321" xr:uid="{00000000-0005-0000-0000-0000447E0000}"/>
    <cellStyle name="Normal 2 7 2 9 4 4" xfId="32322" xr:uid="{00000000-0005-0000-0000-0000457E0000}"/>
    <cellStyle name="Normal 2 7 2 9 4 5" xfId="32323" xr:uid="{00000000-0005-0000-0000-0000467E0000}"/>
    <cellStyle name="Normal 2 7 2 9 5" xfId="32324" xr:uid="{00000000-0005-0000-0000-0000477E0000}"/>
    <cellStyle name="Normal 2 7 2 9 5 2" xfId="32325" xr:uid="{00000000-0005-0000-0000-0000487E0000}"/>
    <cellStyle name="Normal 2 7 2 9 5 3" xfId="32326" xr:uid="{00000000-0005-0000-0000-0000497E0000}"/>
    <cellStyle name="Normal 2 7 2 9 5 4" xfId="32327" xr:uid="{00000000-0005-0000-0000-00004A7E0000}"/>
    <cellStyle name="Normal 2 7 2 9 6" xfId="32328" xr:uid="{00000000-0005-0000-0000-00004B7E0000}"/>
    <cellStyle name="Normal 2 7 2 9 6 2" xfId="32329" xr:uid="{00000000-0005-0000-0000-00004C7E0000}"/>
    <cellStyle name="Normal 2 7 2 9 7" xfId="32330" xr:uid="{00000000-0005-0000-0000-00004D7E0000}"/>
    <cellStyle name="Normal 2 7 2 9 8" xfId="32331" xr:uid="{00000000-0005-0000-0000-00004E7E0000}"/>
    <cellStyle name="Normal 2 7 2 9 9" xfId="32332" xr:uid="{00000000-0005-0000-0000-00004F7E0000}"/>
    <cellStyle name="Normal 2 7 20" xfId="32333" xr:uid="{00000000-0005-0000-0000-0000507E0000}"/>
    <cellStyle name="Normal 2 7 20 10" xfId="32334" xr:uid="{00000000-0005-0000-0000-0000517E0000}"/>
    <cellStyle name="Normal 2 7 20 2" xfId="32335" xr:uid="{00000000-0005-0000-0000-0000527E0000}"/>
    <cellStyle name="Normal 2 7 20 2 2" xfId="32336" xr:uid="{00000000-0005-0000-0000-0000537E0000}"/>
    <cellStyle name="Normal 2 7 20 2 2 2" xfId="32337" xr:uid="{00000000-0005-0000-0000-0000547E0000}"/>
    <cellStyle name="Normal 2 7 20 2 2 3" xfId="32338" xr:uid="{00000000-0005-0000-0000-0000557E0000}"/>
    <cellStyle name="Normal 2 7 20 2 3" xfId="32339" xr:uid="{00000000-0005-0000-0000-0000567E0000}"/>
    <cellStyle name="Normal 2 7 20 2 4" xfId="32340" xr:uid="{00000000-0005-0000-0000-0000577E0000}"/>
    <cellStyle name="Normal 2 7 20 2 5" xfId="32341" xr:uid="{00000000-0005-0000-0000-0000587E0000}"/>
    <cellStyle name="Normal 2 7 20 2 6" xfId="32342" xr:uid="{00000000-0005-0000-0000-0000597E0000}"/>
    <cellStyle name="Normal 2 7 20 3" xfId="32343" xr:uid="{00000000-0005-0000-0000-00005A7E0000}"/>
    <cellStyle name="Normal 2 7 20 3 2" xfId="32344" xr:uid="{00000000-0005-0000-0000-00005B7E0000}"/>
    <cellStyle name="Normal 2 7 20 3 2 2" xfId="32345" xr:uid="{00000000-0005-0000-0000-00005C7E0000}"/>
    <cellStyle name="Normal 2 7 20 3 2 3" xfId="32346" xr:uid="{00000000-0005-0000-0000-00005D7E0000}"/>
    <cellStyle name="Normal 2 7 20 3 3" xfId="32347" xr:uid="{00000000-0005-0000-0000-00005E7E0000}"/>
    <cellStyle name="Normal 2 7 20 3 4" xfId="32348" xr:uid="{00000000-0005-0000-0000-00005F7E0000}"/>
    <cellStyle name="Normal 2 7 20 3 5" xfId="32349" xr:uid="{00000000-0005-0000-0000-0000607E0000}"/>
    <cellStyle name="Normal 2 7 20 3 6" xfId="32350" xr:uid="{00000000-0005-0000-0000-0000617E0000}"/>
    <cellStyle name="Normal 2 7 20 4" xfId="32351" xr:uid="{00000000-0005-0000-0000-0000627E0000}"/>
    <cellStyle name="Normal 2 7 20 4 2" xfId="32352" xr:uid="{00000000-0005-0000-0000-0000637E0000}"/>
    <cellStyle name="Normal 2 7 20 4 2 2" xfId="32353" xr:uid="{00000000-0005-0000-0000-0000647E0000}"/>
    <cellStyle name="Normal 2 7 20 4 3" xfId="32354" xr:uid="{00000000-0005-0000-0000-0000657E0000}"/>
    <cellStyle name="Normal 2 7 20 4 4" xfId="32355" xr:uid="{00000000-0005-0000-0000-0000667E0000}"/>
    <cellStyle name="Normal 2 7 20 4 5" xfId="32356" xr:uid="{00000000-0005-0000-0000-0000677E0000}"/>
    <cellStyle name="Normal 2 7 20 5" xfId="32357" xr:uid="{00000000-0005-0000-0000-0000687E0000}"/>
    <cellStyle name="Normal 2 7 20 5 2" xfId="32358" xr:uid="{00000000-0005-0000-0000-0000697E0000}"/>
    <cellStyle name="Normal 2 7 20 5 3" xfId="32359" xr:uid="{00000000-0005-0000-0000-00006A7E0000}"/>
    <cellStyle name="Normal 2 7 20 5 4" xfId="32360" xr:uid="{00000000-0005-0000-0000-00006B7E0000}"/>
    <cellStyle name="Normal 2 7 20 6" xfId="32361" xr:uid="{00000000-0005-0000-0000-00006C7E0000}"/>
    <cellStyle name="Normal 2 7 20 6 2" xfId="32362" xr:uid="{00000000-0005-0000-0000-00006D7E0000}"/>
    <cellStyle name="Normal 2 7 20 7" xfId="32363" xr:uid="{00000000-0005-0000-0000-00006E7E0000}"/>
    <cellStyle name="Normal 2 7 20 8" xfId="32364" xr:uid="{00000000-0005-0000-0000-00006F7E0000}"/>
    <cellStyle name="Normal 2 7 20 9" xfId="32365" xr:uid="{00000000-0005-0000-0000-0000707E0000}"/>
    <cellStyle name="Normal 2 7 21" xfId="32366" xr:uid="{00000000-0005-0000-0000-0000717E0000}"/>
    <cellStyle name="Normal 2 7 21 10" xfId="32367" xr:uid="{00000000-0005-0000-0000-0000727E0000}"/>
    <cellStyle name="Normal 2 7 21 2" xfId="32368" xr:uid="{00000000-0005-0000-0000-0000737E0000}"/>
    <cellStyle name="Normal 2 7 21 2 2" xfId="32369" xr:uid="{00000000-0005-0000-0000-0000747E0000}"/>
    <cellStyle name="Normal 2 7 21 2 2 2" xfId="32370" xr:uid="{00000000-0005-0000-0000-0000757E0000}"/>
    <cellStyle name="Normal 2 7 21 2 2 3" xfId="32371" xr:uid="{00000000-0005-0000-0000-0000767E0000}"/>
    <cellStyle name="Normal 2 7 21 2 3" xfId="32372" xr:uid="{00000000-0005-0000-0000-0000777E0000}"/>
    <cellStyle name="Normal 2 7 21 2 4" xfId="32373" xr:uid="{00000000-0005-0000-0000-0000787E0000}"/>
    <cellStyle name="Normal 2 7 21 2 5" xfId="32374" xr:uid="{00000000-0005-0000-0000-0000797E0000}"/>
    <cellStyle name="Normal 2 7 21 2 6" xfId="32375" xr:uid="{00000000-0005-0000-0000-00007A7E0000}"/>
    <cellStyle name="Normal 2 7 21 3" xfId="32376" xr:uid="{00000000-0005-0000-0000-00007B7E0000}"/>
    <cellStyle name="Normal 2 7 21 3 2" xfId="32377" xr:uid="{00000000-0005-0000-0000-00007C7E0000}"/>
    <cellStyle name="Normal 2 7 21 3 2 2" xfId="32378" xr:uid="{00000000-0005-0000-0000-00007D7E0000}"/>
    <cellStyle name="Normal 2 7 21 3 2 3" xfId="32379" xr:uid="{00000000-0005-0000-0000-00007E7E0000}"/>
    <cellStyle name="Normal 2 7 21 3 3" xfId="32380" xr:uid="{00000000-0005-0000-0000-00007F7E0000}"/>
    <cellStyle name="Normal 2 7 21 3 4" xfId="32381" xr:uid="{00000000-0005-0000-0000-0000807E0000}"/>
    <cellStyle name="Normal 2 7 21 3 5" xfId="32382" xr:uid="{00000000-0005-0000-0000-0000817E0000}"/>
    <cellStyle name="Normal 2 7 21 3 6" xfId="32383" xr:uid="{00000000-0005-0000-0000-0000827E0000}"/>
    <cellStyle name="Normal 2 7 21 4" xfId="32384" xr:uid="{00000000-0005-0000-0000-0000837E0000}"/>
    <cellStyle name="Normal 2 7 21 4 2" xfId="32385" xr:uid="{00000000-0005-0000-0000-0000847E0000}"/>
    <cellStyle name="Normal 2 7 21 4 2 2" xfId="32386" xr:uid="{00000000-0005-0000-0000-0000857E0000}"/>
    <cellStyle name="Normal 2 7 21 4 3" xfId="32387" xr:uid="{00000000-0005-0000-0000-0000867E0000}"/>
    <cellStyle name="Normal 2 7 21 4 4" xfId="32388" xr:uid="{00000000-0005-0000-0000-0000877E0000}"/>
    <cellStyle name="Normal 2 7 21 4 5" xfId="32389" xr:uid="{00000000-0005-0000-0000-0000887E0000}"/>
    <cellStyle name="Normal 2 7 21 5" xfId="32390" xr:uid="{00000000-0005-0000-0000-0000897E0000}"/>
    <cellStyle name="Normal 2 7 21 5 2" xfId="32391" xr:uid="{00000000-0005-0000-0000-00008A7E0000}"/>
    <cellStyle name="Normal 2 7 21 5 3" xfId="32392" xr:uid="{00000000-0005-0000-0000-00008B7E0000}"/>
    <cellStyle name="Normal 2 7 21 5 4" xfId="32393" xr:uid="{00000000-0005-0000-0000-00008C7E0000}"/>
    <cellStyle name="Normal 2 7 21 6" xfId="32394" xr:uid="{00000000-0005-0000-0000-00008D7E0000}"/>
    <cellStyle name="Normal 2 7 21 6 2" xfId="32395" xr:uid="{00000000-0005-0000-0000-00008E7E0000}"/>
    <cellStyle name="Normal 2 7 21 7" xfId="32396" xr:uid="{00000000-0005-0000-0000-00008F7E0000}"/>
    <cellStyle name="Normal 2 7 21 8" xfId="32397" xr:uid="{00000000-0005-0000-0000-0000907E0000}"/>
    <cellStyle name="Normal 2 7 21 9" xfId="32398" xr:uid="{00000000-0005-0000-0000-0000917E0000}"/>
    <cellStyle name="Normal 2 7 22" xfId="32399" xr:uid="{00000000-0005-0000-0000-0000927E0000}"/>
    <cellStyle name="Normal 2 7 22 10" xfId="32400" xr:uid="{00000000-0005-0000-0000-0000937E0000}"/>
    <cellStyle name="Normal 2 7 22 2" xfId="32401" xr:uid="{00000000-0005-0000-0000-0000947E0000}"/>
    <cellStyle name="Normal 2 7 22 2 2" xfId="32402" xr:uid="{00000000-0005-0000-0000-0000957E0000}"/>
    <cellStyle name="Normal 2 7 22 2 2 2" xfId="32403" xr:uid="{00000000-0005-0000-0000-0000967E0000}"/>
    <cellStyle name="Normal 2 7 22 2 2 3" xfId="32404" xr:uid="{00000000-0005-0000-0000-0000977E0000}"/>
    <cellStyle name="Normal 2 7 22 2 3" xfId="32405" xr:uid="{00000000-0005-0000-0000-0000987E0000}"/>
    <cellStyle name="Normal 2 7 22 2 4" xfId="32406" xr:uid="{00000000-0005-0000-0000-0000997E0000}"/>
    <cellStyle name="Normal 2 7 22 2 5" xfId="32407" xr:uid="{00000000-0005-0000-0000-00009A7E0000}"/>
    <cellStyle name="Normal 2 7 22 2 6" xfId="32408" xr:uid="{00000000-0005-0000-0000-00009B7E0000}"/>
    <cellStyle name="Normal 2 7 22 3" xfId="32409" xr:uid="{00000000-0005-0000-0000-00009C7E0000}"/>
    <cellStyle name="Normal 2 7 22 3 2" xfId="32410" xr:uid="{00000000-0005-0000-0000-00009D7E0000}"/>
    <cellStyle name="Normal 2 7 22 3 2 2" xfId="32411" xr:uid="{00000000-0005-0000-0000-00009E7E0000}"/>
    <cellStyle name="Normal 2 7 22 3 2 3" xfId="32412" xr:uid="{00000000-0005-0000-0000-00009F7E0000}"/>
    <cellStyle name="Normal 2 7 22 3 3" xfId="32413" xr:uid="{00000000-0005-0000-0000-0000A07E0000}"/>
    <cellStyle name="Normal 2 7 22 3 4" xfId="32414" xr:uid="{00000000-0005-0000-0000-0000A17E0000}"/>
    <cellStyle name="Normal 2 7 22 3 5" xfId="32415" xr:uid="{00000000-0005-0000-0000-0000A27E0000}"/>
    <cellStyle name="Normal 2 7 22 3 6" xfId="32416" xr:uid="{00000000-0005-0000-0000-0000A37E0000}"/>
    <cellStyle name="Normal 2 7 22 4" xfId="32417" xr:uid="{00000000-0005-0000-0000-0000A47E0000}"/>
    <cellStyle name="Normal 2 7 22 4 2" xfId="32418" xr:uid="{00000000-0005-0000-0000-0000A57E0000}"/>
    <cellStyle name="Normal 2 7 22 4 2 2" xfId="32419" xr:uid="{00000000-0005-0000-0000-0000A67E0000}"/>
    <cellStyle name="Normal 2 7 22 4 3" xfId="32420" xr:uid="{00000000-0005-0000-0000-0000A77E0000}"/>
    <cellStyle name="Normal 2 7 22 4 4" xfId="32421" xr:uid="{00000000-0005-0000-0000-0000A87E0000}"/>
    <cellStyle name="Normal 2 7 22 4 5" xfId="32422" xr:uid="{00000000-0005-0000-0000-0000A97E0000}"/>
    <cellStyle name="Normal 2 7 22 5" xfId="32423" xr:uid="{00000000-0005-0000-0000-0000AA7E0000}"/>
    <cellStyle name="Normal 2 7 22 5 2" xfId="32424" xr:uid="{00000000-0005-0000-0000-0000AB7E0000}"/>
    <cellStyle name="Normal 2 7 22 5 3" xfId="32425" xr:uid="{00000000-0005-0000-0000-0000AC7E0000}"/>
    <cellStyle name="Normal 2 7 22 5 4" xfId="32426" xr:uid="{00000000-0005-0000-0000-0000AD7E0000}"/>
    <cellStyle name="Normal 2 7 22 6" xfId="32427" xr:uid="{00000000-0005-0000-0000-0000AE7E0000}"/>
    <cellStyle name="Normal 2 7 22 6 2" xfId="32428" xr:uid="{00000000-0005-0000-0000-0000AF7E0000}"/>
    <cellStyle name="Normal 2 7 22 7" xfId="32429" xr:uid="{00000000-0005-0000-0000-0000B07E0000}"/>
    <cellStyle name="Normal 2 7 22 8" xfId="32430" xr:uid="{00000000-0005-0000-0000-0000B17E0000}"/>
    <cellStyle name="Normal 2 7 22 9" xfId="32431" xr:uid="{00000000-0005-0000-0000-0000B27E0000}"/>
    <cellStyle name="Normal 2 7 23" xfId="32432" xr:uid="{00000000-0005-0000-0000-0000B37E0000}"/>
    <cellStyle name="Normal 2 7 23 10" xfId="32433" xr:uid="{00000000-0005-0000-0000-0000B47E0000}"/>
    <cellStyle name="Normal 2 7 23 2" xfId="32434" xr:uid="{00000000-0005-0000-0000-0000B57E0000}"/>
    <cellStyle name="Normal 2 7 23 2 2" xfId="32435" xr:uid="{00000000-0005-0000-0000-0000B67E0000}"/>
    <cellStyle name="Normal 2 7 23 2 2 2" xfId="32436" xr:uid="{00000000-0005-0000-0000-0000B77E0000}"/>
    <cellStyle name="Normal 2 7 23 2 2 3" xfId="32437" xr:uid="{00000000-0005-0000-0000-0000B87E0000}"/>
    <cellStyle name="Normal 2 7 23 2 3" xfId="32438" xr:uid="{00000000-0005-0000-0000-0000B97E0000}"/>
    <cellStyle name="Normal 2 7 23 2 4" xfId="32439" xr:uid="{00000000-0005-0000-0000-0000BA7E0000}"/>
    <cellStyle name="Normal 2 7 23 2 5" xfId="32440" xr:uid="{00000000-0005-0000-0000-0000BB7E0000}"/>
    <cellStyle name="Normal 2 7 23 2 6" xfId="32441" xr:uid="{00000000-0005-0000-0000-0000BC7E0000}"/>
    <cellStyle name="Normal 2 7 23 3" xfId="32442" xr:uid="{00000000-0005-0000-0000-0000BD7E0000}"/>
    <cellStyle name="Normal 2 7 23 3 2" xfId="32443" xr:uid="{00000000-0005-0000-0000-0000BE7E0000}"/>
    <cellStyle name="Normal 2 7 23 3 2 2" xfId="32444" xr:uid="{00000000-0005-0000-0000-0000BF7E0000}"/>
    <cellStyle name="Normal 2 7 23 3 2 3" xfId="32445" xr:uid="{00000000-0005-0000-0000-0000C07E0000}"/>
    <cellStyle name="Normal 2 7 23 3 3" xfId="32446" xr:uid="{00000000-0005-0000-0000-0000C17E0000}"/>
    <cellStyle name="Normal 2 7 23 3 4" xfId="32447" xr:uid="{00000000-0005-0000-0000-0000C27E0000}"/>
    <cellStyle name="Normal 2 7 23 3 5" xfId="32448" xr:uid="{00000000-0005-0000-0000-0000C37E0000}"/>
    <cellStyle name="Normal 2 7 23 3 6" xfId="32449" xr:uid="{00000000-0005-0000-0000-0000C47E0000}"/>
    <cellStyle name="Normal 2 7 23 4" xfId="32450" xr:uid="{00000000-0005-0000-0000-0000C57E0000}"/>
    <cellStyle name="Normal 2 7 23 4 2" xfId="32451" xr:uid="{00000000-0005-0000-0000-0000C67E0000}"/>
    <cellStyle name="Normal 2 7 23 4 2 2" xfId="32452" xr:uid="{00000000-0005-0000-0000-0000C77E0000}"/>
    <cellStyle name="Normal 2 7 23 4 3" xfId="32453" xr:uid="{00000000-0005-0000-0000-0000C87E0000}"/>
    <cellStyle name="Normal 2 7 23 4 4" xfId="32454" xr:uid="{00000000-0005-0000-0000-0000C97E0000}"/>
    <cellStyle name="Normal 2 7 23 4 5" xfId="32455" xr:uid="{00000000-0005-0000-0000-0000CA7E0000}"/>
    <cellStyle name="Normal 2 7 23 5" xfId="32456" xr:uid="{00000000-0005-0000-0000-0000CB7E0000}"/>
    <cellStyle name="Normal 2 7 23 5 2" xfId="32457" xr:uid="{00000000-0005-0000-0000-0000CC7E0000}"/>
    <cellStyle name="Normal 2 7 23 5 3" xfId="32458" xr:uid="{00000000-0005-0000-0000-0000CD7E0000}"/>
    <cellStyle name="Normal 2 7 23 5 4" xfId="32459" xr:uid="{00000000-0005-0000-0000-0000CE7E0000}"/>
    <cellStyle name="Normal 2 7 23 6" xfId="32460" xr:uid="{00000000-0005-0000-0000-0000CF7E0000}"/>
    <cellStyle name="Normal 2 7 23 6 2" xfId="32461" xr:uid="{00000000-0005-0000-0000-0000D07E0000}"/>
    <cellStyle name="Normal 2 7 23 7" xfId="32462" xr:uid="{00000000-0005-0000-0000-0000D17E0000}"/>
    <cellStyle name="Normal 2 7 23 8" xfId="32463" xr:uid="{00000000-0005-0000-0000-0000D27E0000}"/>
    <cellStyle name="Normal 2 7 23 9" xfId="32464" xr:uid="{00000000-0005-0000-0000-0000D37E0000}"/>
    <cellStyle name="Normal 2 7 24" xfId="32465" xr:uid="{00000000-0005-0000-0000-0000D47E0000}"/>
    <cellStyle name="Normal 2 7 24 10" xfId="32466" xr:uid="{00000000-0005-0000-0000-0000D57E0000}"/>
    <cellStyle name="Normal 2 7 24 2" xfId="32467" xr:uid="{00000000-0005-0000-0000-0000D67E0000}"/>
    <cellStyle name="Normal 2 7 24 2 2" xfId="32468" xr:uid="{00000000-0005-0000-0000-0000D77E0000}"/>
    <cellStyle name="Normal 2 7 24 2 2 2" xfId="32469" xr:uid="{00000000-0005-0000-0000-0000D87E0000}"/>
    <cellStyle name="Normal 2 7 24 2 2 3" xfId="32470" xr:uid="{00000000-0005-0000-0000-0000D97E0000}"/>
    <cellStyle name="Normal 2 7 24 2 3" xfId="32471" xr:uid="{00000000-0005-0000-0000-0000DA7E0000}"/>
    <cellStyle name="Normal 2 7 24 2 4" xfId="32472" xr:uid="{00000000-0005-0000-0000-0000DB7E0000}"/>
    <cellStyle name="Normal 2 7 24 2 5" xfId="32473" xr:uid="{00000000-0005-0000-0000-0000DC7E0000}"/>
    <cellStyle name="Normal 2 7 24 2 6" xfId="32474" xr:uid="{00000000-0005-0000-0000-0000DD7E0000}"/>
    <cellStyle name="Normal 2 7 24 3" xfId="32475" xr:uid="{00000000-0005-0000-0000-0000DE7E0000}"/>
    <cellStyle name="Normal 2 7 24 3 2" xfId="32476" xr:uid="{00000000-0005-0000-0000-0000DF7E0000}"/>
    <cellStyle name="Normal 2 7 24 3 2 2" xfId="32477" xr:uid="{00000000-0005-0000-0000-0000E07E0000}"/>
    <cellStyle name="Normal 2 7 24 3 2 3" xfId="32478" xr:uid="{00000000-0005-0000-0000-0000E17E0000}"/>
    <cellStyle name="Normal 2 7 24 3 3" xfId="32479" xr:uid="{00000000-0005-0000-0000-0000E27E0000}"/>
    <cellStyle name="Normal 2 7 24 3 4" xfId="32480" xr:uid="{00000000-0005-0000-0000-0000E37E0000}"/>
    <cellStyle name="Normal 2 7 24 3 5" xfId="32481" xr:uid="{00000000-0005-0000-0000-0000E47E0000}"/>
    <cellStyle name="Normal 2 7 24 3 6" xfId="32482" xr:uid="{00000000-0005-0000-0000-0000E57E0000}"/>
    <cellStyle name="Normal 2 7 24 4" xfId="32483" xr:uid="{00000000-0005-0000-0000-0000E67E0000}"/>
    <cellStyle name="Normal 2 7 24 4 2" xfId="32484" xr:uid="{00000000-0005-0000-0000-0000E77E0000}"/>
    <cellStyle name="Normal 2 7 24 4 2 2" xfId="32485" xr:uid="{00000000-0005-0000-0000-0000E87E0000}"/>
    <cellStyle name="Normal 2 7 24 4 3" xfId="32486" xr:uid="{00000000-0005-0000-0000-0000E97E0000}"/>
    <cellStyle name="Normal 2 7 24 4 4" xfId="32487" xr:uid="{00000000-0005-0000-0000-0000EA7E0000}"/>
    <cellStyle name="Normal 2 7 24 4 5" xfId="32488" xr:uid="{00000000-0005-0000-0000-0000EB7E0000}"/>
    <cellStyle name="Normal 2 7 24 5" xfId="32489" xr:uid="{00000000-0005-0000-0000-0000EC7E0000}"/>
    <cellStyle name="Normal 2 7 24 5 2" xfId="32490" xr:uid="{00000000-0005-0000-0000-0000ED7E0000}"/>
    <cellStyle name="Normal 2 7 24 5 3" xfId="32491" xr:uid="{00000000-0005-0000-0000-0000EE7E0000}"/>
    <cellStyle name="Normal 2 7 24 5 4" xfId="32492" xr:uid="{00000000-0005-0000-0000-0000EF7E0000}"/>
    <cellStyle name="Normal 2 7 24 6" xfId="32493" xr:uid="{00000000-0005-0000-0000-0000F07E0000}"/>
    <cellStyle name="Normal 2 7 24 6 2" xfId="32494" xr:uid="{00000000-0005-0000-0000-0000F17E0000}"/>
    <cellStyle name="Normal 2 7 24 7" xfId="32495" xr:uid="{00000000-0005-0000-0000-0000F27E0000}"/>
    <cellStyle name="Normal 2 7 24 8" xfId="32496" xr:uid="{00000000-0005-0000-0000-0000F37E0000}"/>
    <cellStyle name="Normal 2 7 24 9" xfId="32497" xr:uid="{00000000-0005-0000-0000-0000F47E0000}"/>
    <cellStyle name="Normal 2 7 25" xfId="32498" xr:uid="{00000000-0005-0000-0000-0000F57E0000}"/>
    <cellStyle name="Normal 2 7 25 10" xfId="32499" xr:uid="{00000000-0005-0000-0000-0000F67E0000}"/>
    <cellStyle name="Normal 2 7 25 2" xfId="32500" xr:uid="{00000000-0005-0000-0000-0000F77E0000}"/>
    <cellStyle name="Normal 2 7 25 2 2" xfId="32501" xr:uid="{00000000-0005-0000-0000-0000F87E0000}"/>
    <cellStyle name="Normal 2 7 25 2 2 2" xfId="32502" xr:uid="{00000000-0005-0000-0000-0000F97E0000}"/>
    <cellStyle name="Normal 2 7 25 2 2 3" xfId="32503" xr:uid="{00000000-0005-0000-0000-0000FA7E0000}"/>
    <cellStyle name="Normal 2 7 25 2 3" xfId="32504" xr:uid="{00000000-0005-0000-0000-0000FB7E0000}"/>
    <cellStyle name="Normal 2 7 25 2 4" xfId="32505" xr:uid="{00000000-0005-0000-0000-0000FC7E0000}"/>
    <cellStyle name="Normal 2 7 25 2 5" xfId="32506" xr:uid="{00000000-0005-0000-0000-0000FD7E0000}"/>
    <cellStyle name="Normal 2 7 25 2 6" xfId="32507" xr:uid="{00000000-0005-0000-0000-0000FE7E0000}"/>
    <cellStyle name="Normal 2 7 25 3" xfId="32508" xr:uid="{00000000-0005-0000-0000-0000FF7E0000}"/>
    <cellStyle name="Normal 2 7 25 3 2" xfId="32509" xr:uid="{00000000-0005-0000-0000-0000007F0000}"/>
    <cellStyle name="Normal 2 7 25 3 2 2" xfId="32510" xr:uid="{00000000-0005-0000-0000-0000017F0000}"/>
    <cellStyle name="Normal 2 7 25 3 2 3" xfId="32511" xr:uid="{00000000-0005-0000-0000-0000027F0000}"/>
    <cellStyle name="Normal 2 7 25 3 3" xfId="32512" xr:uid="{00000000-0005-0000-0000-0000037F0000}"/>
    <cellStyle name="Normal 2 7 25 3 4" xfId="32513" xr:uid="{00000000-0005-0000-0000-0000047F0000}"/>
    <cellStyle name="Normal 2 7 25 3 5" xfId="32514" xr:uid="{00000000-0005-0000-0000-0000057F0000}"/>
    <cellStyle name="Normal 2 7 25 3 6" xfId="32515" xr:uid="{00000000-0005-0000-0000-0000067F0000}"/>
    <cellStyle name="Normal 2 7 25 4" xfId="32516" xr:uid="{00000000-0005-0000-0000-0000077F0000}"/>
    <cellStyle name="Normal 2 7 25 4 2" xfId="32517" xr:uid="{00000000-0005-0000-0000-0000087F0000}"/>
    <cellStyle name="Normal 2 7 25 4 2 2" xfId="32518" xr:uid="{00000000-0005-0000-0000-0000097F0000}"/>
    <cellStyle name="Normal 2 7 25 4 3" xfId="32519" xr:uid="{00000000-0005-0000-0000-00000A7F0000}"/>
    <cellStyle name="Normal 2 7 25 4 4" xfId="32520" xr:uid="{00000000-0005-0000-0000-00000B7F0000}"/>
    <cellStyle name="Normal 2 7 25 4 5" xfId="32521" xr:uid="{00000000-0005-0000-0000-00000C7F0000}"/>
    <cellStyle name="Normal 2 7 25 5" xfId="32522" xr:uid="{00000000-0005-0000-0000-00000D7F0000}"/>
    <cellStyle name="Normal 2 7 25 5 2" xfId="32523" xr:uid="{00000000-0005-0000-0000-00000E7F0000}"/>
    <cellStyle name="Normal 2 7 25 5 3" xfId="32524" xr:uid="{00000000-0005-0000-0000-00000F7F0000}"/>
    <cellStyle name="Normal 2 7 25 5 4" xfId="32525" xr:uid="{00000000-0005-0000-0000-0000107F0000}"/>
    <cellStyle name="Normal 2 7 25 6" xfId="32526" xr:uid="{00000000-0005-0000-0000-0000117F0000}"/>
    <cellStyle name="Normal 2 7 25 6 2" xfId="32527" xr:uid="{00000000-0005-0000-0000-0000127F0000}"/>
    <cellStyle name="Normal 2 7 25 7" xfId="32528" xr:uid="{00000000-0005-0000-0000-0000137F0000}"/>
    <cellStyle name="Normal 2 7 25 8" xfId="32529" xr:uid="{00000000-0005-0000-0000-0000147F0000}"/>
    <cellStyle name="Normal 2 7 25 9" xfId="32530" xr:uid="{00000000-0005-0000-0000-0000157F0000}"/>
    <cellStyle name="Normal 2 7 26" xfId="32531" xr:uid="{00000000-0005-0000-0000-0000167F0000}"/>
    <cellStyle name="Normal 2 7 26 10" xfId="32532" xr:uid="{00000000-0005-0000-0000-0000177F0000}"/>
    <cellStyle name="Normal 2 7 26 2" xfId="32533" xr:uid="{00000000-0005-0000-0000-0000187F0000}"/>
    <cellStyle name="Normal 2 7 26 2 2" xfId="32534" xr:uid="{00000000-0005-0000-0000-0000197F0000}"/>
    <cellStyle name="Normal 2 7 26 2 2 2" xfId="32535" xr:uid="{00000000-0005-0000-0000-00001A7F0000}"/>
    <cellStyle name="Normal 2 7 26 2 2 3" xfId="32536" xr:uid="{00000000-0005-0000-0000-00001B7F0000}"/>
    <cellStyle name="Normal 2 7 26 2 3" xfId="32537" xr:uid="{00000000-0005-0000-0000-00001C7F0000}"/>
    <cellStyle name="Normal 2 7 26 2 4" xfId="32538" xr:uid="{00000000-0005-0000-0000-00001D7F0000}"/>
    <cellStyle name="Normal 2 7 26 2 5" xfId="32539" xr:uid="{00000000-0005-0000-0000-00001E7F0000}"/>
    <cellStyle name="Normal 2 7 26 2 6" xfId="32540" xr:uid="{00000000-0005-0000-0000-00001F7F0000}"/>
    <cellStyle name="Normal 2 7 26 3" xfId="32541" xr:uid="{00000000-0005-0000-0000-0000207F0000}"/>
    <cellStyle name="Normal 2 7 26 3 2" xfId="32542" xr:uid="{00000000-0005-0000-0000-0000217F0000}"/>
    <cellStyle name="Normal 2 7 26 3 2 2" xfId="32543" xr:uid="{00000000-0005-0000-0000-0000227F0000}"/>
    <cellStyle name="Normal 2 7 26 3 2 3" xfId="32544" xr:uid="{00000000-0005-0000-0000-0000237F0000}"/>
    <cellStyle name="Normal 2 7 26 3 3" xfId="32545" xr:uid="{00000000-0005-0000-0000-0000247F0000}"/>
    <cellStyle name="Normal 2 7 26 3 4" xfId="32546" xr:uid="{00000000-0005-0000-0000-0000257F0000}"/>
    <cellStyle name="Normal 2 7 26 3 5" xfId="32547" xr:uid="{00000000-0005-0000-0000-0000267F0000}"/>
    <cellStyle name="Normal 2 7 26 3 6" xfId="32548" xr:uid="{00000000-0005-0000-0000-0000277F0000}"/>
    <cellStyle name="Normal 2 7 26 4" xfId="32549" xr:uid="{00000000-0005-0000-0000-0000287F0000}"/>
    <cellStyle name="Normal 2 7 26 4 2" xfId="32550" xr:uid="{00000000-0005-0000-0000-0000297F0000}"/>
    <cellStyle name="Normal 2 7 26 4 2 2" xfId="32551" xr:uid="{00000000-0005-0000-0000-00002A7F0000}"/>
    <cellStyle name="Normal 2 7 26 4 3" xfId="32552" xr:uid="{00000000-0005-0000-0000-00002B7F0000}"/>
    <cellStyle name="Normal 2 7 26 4 4" xfId="32553" xr:uid="{00000000-0005-0000-0000-00002C7F0000}"/>
    <cellStyle name="Normal 2 7 26 4 5" xfId="32554" xr:uid="{00000000-0005-0000-0000-00002D7F0000}"/>
    <cellStyle name="Normal 2 7 26 5" xfId="32555" xr:uid="{00000000-0005-0000-0000-00002E7F0000}"/>
    <cellStyle name="Normal 2 7 26 5 2" xfId="32556" xr:uid="{00000000-0005-0000-0000-00002F7F0000}"/>
    <cellStyle name="Normal 2 7 26 5 3" xfId="32557" xr:uid="{00000000-0005-0000-0000-0000307F0000}"/>
    <cellStyle name="Normal 2 7 26 5 4" xfId="32558" xr:uid="{00000000-0005-0000-0000-0000317F0000}"/>
    <cellStyle name="Normal 2 7 26 6" xfId="32559" xr:uid="{00000000-0005-0000-0000-0000327F0000}"/>
    <cellStyle name="Normal 2 7 26 6 2" xfId="32560" xr:uid="{00000000-0005-0000-0000-0000337F0000}"/>
    <cellStyle name="Normal 2 7 26 7" xfId="32561" xr:uid="{00000000-0005-0000-0000-0000347F0000}"/>
    <cellStyle name="Normal 2 7 26 8" xfId="32562" xr:uid="{00000000-0005-0000-0000-0000357F0000}"/>
    <cellStyle name="Normal 2 7 26 9" xfId="32563" xr:uid="{00000000-0005-0000-0000-0000367F0000}"/>
    <cellStyle name="Normal 2 7 27" xfId="32564" xr:uid="{00000000-0005-0000-0000-0000377F0000}"/>
    <cellStyle name="Normal 2 7 27 10" xfId="32565" xr:uid="{00000000-0005-0000-0000-0000387F0000}"/>
    <cellStyle name="Normal 2 7 27 2" xfId="32566" xr:uid="{00000000-0005-0000-0000-0000397F0000}"/>
    <cellStyle name="Normal 2 7 27 2 2" xfId="32567" xr:uid="{00000000-0005-0000-0000-00003A7F0000}"/>
    <cellStyle name="Normal 2 7 27 2 2 2" xfId="32568" xr:uid="{00000000-0005-0000-0000-00003B7F0000}"/>
    <cellStyle name="Normal 2 7 27 2 2 3" xfId="32569" xr:uid="{00000000-0005-0000-0000-00003C7F0000}"/>
    <cellStyle name="Normal 2 7 27 2 3" xfId="32570" xr:uid="{00000000-0005-0000-0000-00003D7F0000}"/>
    <cellStyle name="Normal 2 7 27 2 4" xfId="32571" xr:uid="{00000000-0005-0000-0000-00003E7F0000}"/>
    <cellStyle name="Normal 2 7 27 2 5" xfId="32572" xr:uid="{00000000-0005-0000-0000-00003F7F0000}"/>
    <cellStyle name="Normal 2 7 27 2 6" xfId="32573" xr:uid="{00000000-0005-0000-0000-0000407F0000}"/>
    <cellStyle name="Normal 2 7 27 3" xfId="32574" xr:uid="{00000000-0005-0000-0000-0000417F0000}"/>
    <cellStyle name="Normal 2 7 27 3 2" xfId="32575" xr:uid="{00000000-0005-0000-0000-0000427F0000}"/>
    <cellStyle name="Normal 2 7 27 3 2 2" xfId="32576" xr:uid="{00000000-0005-0000-0000-0000437F0000}"/>
    <cellStyle name="Normal 2 7 27 3 2 3" xfId="32577" xr:uid="{00000000-0005-0000-0000-0000447F0000}"/>
    <cellStyle name="Normal 2 7 27 3 3" xfId="32578" xr:uid="{00000000-0005-0000-0000-0000457F0000}"/>
    <cellStyle name="Normal 2 7 27 3 4" xfId="32579" xr:uid="{00000000-0005-0000-0000-0000467F0000}"/>
    <cellStyle name="Normal 2 7 27 3 5" xfId="32580" xr:uid="{00000000-0005-0000-0000-0000477F0000}"/>
    <cellStyle name="Normal 2 7 27 3 6" xfId="32581" xr:uid="{00000000-0005-0000-0000-0000487F0000}"/>
    <cellStyle name="Normal 2 7 27 4" xfId="32582" xr:uid="{00000000-0005-0000-0000-0000497F0000}"/>
    <cellStyle name="Normal 2 7 27 4 2" xfId="32583" xr:uid="{00000000-0005-0000-0000-00004A7F0000}"/>
    <cellStyle name="Normal 2 7 27 4 2 2" xfId="32584" xr:uid="{00000000-0005-0000-0000-00004B7F0000}"/>
    <cellStyle name="Normal 2 7 27 4 3" xfId="32585" xr:uid="{00000000-0005-0000-0000-00004C7F0000}"/>
    <cellStyle name="Normal 2 7 27 4 4" xfId="32586" xr:uid="{00000000-0005-0000-0000-00004D7F0000}"/>
    <cellStyle name="Normal 2 7 27 4 5" xfId="32587" xr:uid="{00000000-0005-0000-0000-00004E7F0000}"/>
    <cellStyle name="Normal 2 7 27 5" xfId="32588" xr:uid="{00000000-0005-0000-0000-00004F7F0000}"/>
    <cellStyle name="Normal 2 7 27 5 2" xfId="32589" xr:uid="{00000000-0005-0000-0000-0000507F0000}"/>
    <cellStyle name="Normal 2 7 27 5 3" xfId="32590" xr:uid="{00000000-0005-0000-0000-0000517F0000}"/>
    <cellStyle name="Normal 2 7 27 5 4" xfId="32591" xr:uid="{00000000-0005-0000-0000-0000527F0000}"/>
    <cellStyle name="Normal 2 7 27 6" xfId="32592" xr:uid="{00000000-0005-0000-0000-0000537F0000}"/>
    <cellStyle name="Normal 2 7 27 6 2" xfId="32593" xr:uid="{00000000-0005-0000-0000-0000547F0000}"/>
    <cellStyle name="Normal 2 7 27 7" xfId="32594" xr:uid="{00000000-0005-0000-0000-0000557F0000}"/>
    <cellStyle name="Normal 2 7 27 8" xfId="32595" xr:uid="{00000000-0005-0000-0000-0000567F0000}"/>
    <cellStyle name="Normal 2 7 27 9" xfId="32596" xr:uid="{00000000-0005-0000-0000-0000577F0000}"/>
    <cellStyle name="Normal 2 7 28" xfId="32597" xr:uid="{00000000-0005-0000-0000-0000587F0000}"/>
    <cellStyle name="Normal 2 7 28 10" xfId="32598" xr:uid="{00000000-0005-0000-0000-0000597F0000}"/>
    <cellStyle name="Normal 2 7 28 2" xfId="32599" xr:uid="{00000000-0005-0000-0000-00005A7F0000}"/>
    <cellStyle name="Normal 2 7 28 2 2" xfId="32600" xr:uid="{00000000-0005-0000-0000-00005B7F0000}"/>
    <cellStyle name="Normal 2 7 28 2 2 2" xfId="32601" xr:uid="{00000000-0005-0000-0000-00005C7F0000}"/>
    <cellStyle name="Normal 2 7 28 2 2 3" xfId="32602" xr:uid="{00000000-0005-0000-0000-00005D7F0000}"/>
    <cellStyle name="Normal 2 7 28 2 3" xfId="32603" xr:uid="{00000000-0005-0000-0000-00005E7F0000}"/>
    <cellStyle name="Normal 2 7 28 2 4" xfId="32604" xr:uid="{00000000-0005-0000-0000-00005F7F0000}"/>
    <cellStyle name="Normal 2 7 28 2 5" xfId="32605" xr:uid="{00000000-0005-0000-0000-0000607F0000}"/>
    <cellStyle name="Normal 2 7 28 2 6" xfId="32606" xr:uid="{00000000-0005-0000-0000-0000617F0000}"/>
    <cellStyle name="Normal 2 7 28 3" xfId="32607" xr:uid="{00000000-0005-0000-0000-0000627F0000}"/>
    <cellStyle name="Normal 2 7 28 3 2" xfId="32608" xr:uid="{00000000-0005-0000-0000-0000637F0000}"/>
    <cellStyle name="Normal 2 7 28 3 2 2" xfId="32609" xr:uid="{00000000-0005-0000-0000-0000647F0000}"/>
    <cellStyle name="Normal 2 7 28 3 2 3" xfId="32610" xr:uid="{00000000-0005-0000-0000-0000657F0000}"/>
    <cellStyle name="Normal 2 7 28 3 3" xfId="32611" xr:uid="{00000000-0005-0000-0000-0000667F0000}"/>
    <cellStyle name="Normal 2 7 28 3 4" xfId="32612" xr:uid="{00000000-0005-0000-0000-0000677F0000}"/>
    <cellStyle name="Normal 2 7 28 3 5" xfId="32613" xr:uid="{00000000-0005-0000-0000-0000687F0000}"/>
    <cellStyle name="Normal 2 7 28 3 6" xfId="32614" xr:uid="{00000000-0005-0000-0000-0000697F0000}"/>
    <cellStyle name="Normal 2 7 28 4" xfId="32615" xr:uid="{00000000-0005-0000-0000-00006A7F0000}"/>
    <cellStyle name="Normal 2 7 28 4 2" xfId="32616" xr:uid="{00000000-0005-0000-0000-00006B7F0000}"/>
    <cellStyle name="Normal 2 7 28 4 2 2" xfId="32617" xr:uid="{00000000-0005-0000-0000-00006C7F0000}"/>
    <cellStyle name="Normal 2 7 28 4 3" xfId="32618" xr:uid="{00000000-0005-0000-0000-00006D7F0000}"/>
    <cellStyle name="Normal 2 7 28 4 4" xfId="32619" xr:uid="{00000000-0005-0000-0000-00006E7F0000}"/>
    <cellStyle name="Normal 2 7 28 4 5" xfId="32620" xr:uid="{00000000-0005-0000-0000-00006F7F0000}"/>
    <cellStyle name="Normal 2 7 28 5" xfId="32621" xr:uid="{00000000-0005-0000-0000-0000707F0000}"/>
    <cellStyle name="Normal 2 7 28 5 2" xfId="32622" xr:uid="{00000000-0005-0000-0000-0000717F0000}"/>
    <cellStyle name="Normal 2 7 28 5 3" xfId="32623" xr:uid="{00000000-0005-0000-0000-0000727F0000}"/>
    <cellStyle name="Normal 2 7 28 5 4" xfId="32624" xr:uid="{00000000-0005-0000-0000-0000737F0000}"/>
    <cellStyle name="Normal 2 7 28 6" xfId="32625" xr:uid="{00000000-0005-0000-0000-0000747F0000}"/>
    <cellStyle name="Normal 2 7 28 6 2" xfId="32626" xr:uid="{00000000-0005-0000-0000-0000757F0000}"/>
    <cellStyle name="Normal 2 7 28 7" xfId="32627" xr:uid="{00000000-0005-0000-0000-0000767F0000}"/>
    <cellStyle name="Normal 2 7 28 8" xfId="32628" xr:uid="{00000000-0005-0000-0000-0000777F0000}"/>
    <cellStyle name="Normal 2 7 28 9" xfId="32629" xr:uid="{00000000-0005-0000-0000-0000787F0000}"/>
    <cellStyle name="Normal 2 7 29" xfId="32630" xr:uid="{00000000-0005-0000-0000-0000797F0000}"/>
    <cellStyle name="Normal 2 7 29 10" xfId="32631" xr:uid="{00000000-0005-0000-0000-00007A7F0000}"/>
    <cellStyle name="Normal 2 7 29 2" xfId="32632" xr:uid="{00000000-0005-0000-0000-00007B7F0000}"/>
    <cellStyle name="Normal 2 7 29 2 2" xfId="32633" xr:uid="{00000000-0005-0000-0000-00007C7F0000}"/>
    <cellStyle name="Normal 2 7 29 2 2 2" xfId="32634" xr:uid="{00000000-0005-0000-0000-00007D7F0000}"/>
    <cellStyle name="Normal 2 7 29 2 2 3" xfId="32635" xr:uid="{00000000-0005-0000-0000-00007E7F0000}"/>
    <cellStyle name="Normal 2 7 29 2 3" xfId="32636" xr:uid="{00000000-0005-0000-0000-00007F7F0000}"/>
    <cellStyle name="Normal 2 7 29 2 4" xfId="32637" xr:uid="{00000000-0005-0000-0000-0000807F0000}"/>
    <cellStyle name="Normal 2 7 29 2 5" xfId="32638" xr:uid="{00000000-0005-0000-0000-0000817F0000}"/>
    <cellStyle name="Normal 2 7 29 2 6" xfId="32639" xr:uid="{00000000-0005-0000-0000-0000827F0000}"/>
    <cellStyle name="Normal 2 7 29 3" xfId="32640" xr:uid="{00000000-0005-0000-0000-0000837F0000}"/>
    <cellStyle name="Normal 2 7 29 3 2" xfId="32641" xr:uid="{00000000-0005-0000-0000-0000847F0000}"/>
    <cellStyle name="Normal 2 7 29 3 2 2" xfId="32642" xr:uid="{00000000-0005-0000-0000-0000857F0000}"/>
    <cellStyle name="Normal 2 7 29 3 2 3" xfId="32643" xr:uid="{00000000-0005-0000-0000-0000867F0000}"/>
    <cellStyle name="Normal 2 7 29 3 3" xfId="32644" xr:uid="{00000000-0005-0000-0000-0000877F0000}"/>
    <cellStyle name="Normal 2 7 29 3 4" xfId="32645" xr:uid="{00000000-0005-0000-0000-0000887F0000}"/>
    <cellStyle name="Normal 2 7 29 3 5" xfId="32646" xr:uid="{00000000-0005-0000-0000-0000897F0000}"/>
    <cellStyle name="Normal 2 7 29 3 6" xfId="32647" xr:uid="{00000000-0005-0000-0000-00008A7F0000}"/>
    <cellStyle name="Normal 2 7 29 4" xfId="32648" xr:uid="{00000000-0005-0000-0000-00008B7F0000}"/>
    <cellStyle name="Normal 2 7 29 4 2" xfId="32649" xr:uid="{00000000-0005-0000-0000-00008C7F0000}"/>
    <cellStyle name="Normal 2 7 29 4 2 2" xfId="32650" xr:uid="{00000000-0005-0000-0000-00008D7F0000}"/>
    <cellStyle name="Normal 2 7 29 4 3" xfId="32651" xr:uid="{00000000-0005-0000-0000-00008E7F0000}"/>
    <cellStyle name="Normal 2 7 29 4 4" xfId="32652" xr:uid="{00000000-0005-0000-0000-00008F7F0000}"/>
    <cellStyle name="Normal 2 7 29 4 5" xfId="32653" xr:uid="{00000000-0005-0000-0000-0000907F0000}"/>
    <cellStyle name="Normal 2 7 29 5" xfId="32654" xr:uid="{00000000-0005-0000-0000-0000917F0000}"/>
    <cellStyle name="Normal 2 7 29 5 2" xfId="32655" xr:uid="{00000000-0005-0000-0000-0000927F0000}"/>
    <cellStyle name="Normal 2 7 29 5 3" xfId="32656" xr:uid="{00000000-0005-0000-0000-0000937F0000}"/>
    <cellStyle name="Normal 2 7 29 5 4" xfId="32657" xr:uid="{00000000-0005-0000-0000-0000947F0000}"/>
    <cellStyle name="Normal 2 7 29 6" xfId="32658" xr:uid="{00000000-0005-0000-0000-0000957F0000}"/>
    <cellStyle name="Normal 2 7 29 6 2" xfId="32659" xr:uid="{00000000-0005-0000-0000-0000967F0000}"/>
    <cellStyle name="Normal 2 7 29 7" xfId="32660" xr:uid="{00000000-0005-0000-0000-0000977F0000}"/>
    <cellStyle name="Normal 2 7 29 8" xfId="32661" xr:uid="{00000000-0005-0000-0000-0000987F0000}"/>
    <cellStyle name="Normal 2 7 29 9" xfId="32662" xr:uid="{00000000-0005-0000-0000-0000997F0000}"/>
    <cellStyle name="Normal 2 7 3" xfId="32663" xr:uid="{00000000-0005-0000-0000-00009A7F0000}"/>
    <cellStyle name="Normal 2 7 3 10" xfId="32664" xr:uid="{00000000-0005-0000-0000-00009B7F0000}"/>
    <cellStyle name="Normal 2 7 3 10 10" xfId="32665" xr:uid="{00000000-0005-0000-0000-00009C7F0000}"/>
    <cellStyle name="Normal 2 7 3 10 2" xfId="32666" xr:uid="{00000000-0005-0000-0000-00009D7F0000}"/>
    <cellStyle name="Normal 2 7 3 10 2 2" xfId="32667" xr:uid="{00000000-0005-0000-0000-00009E7F0000}"/>
    <cellStyle name="Normal 2 7 3 10 2 2 2" xfId="32668" xr:uid="{00000000-0005-0000-0000-00009F7F0000}"/>
    <cellStyle name="Normal 2 7 3 10 2 2 3" xfId="32669" xr:uid="{00000000-0005-0000-0000-0000A07F0000}"/>
    <cellStyle name="Normal 2 7 3 10 2 3" xfId="32670" xr:uid="{00000000-0005-0000-0000-0000A17F0000}"/>
    <cellStyle name="Normal 2 7 3 10 2 4" xfId="32671" xr:uid="{00000000-0005-0000-0000-0000A27F0000}"/>
    <cellStyle name="Normal 2 7 3 10 2 5" xfId="32672" xr:uid="{00000000-0005-0000-0000-0000A37F0000}"/>
    <cellStyle name="Normal 2 7 3 10 2 6" xfId="32673" xr:uid="{00000000-0005-0000-0000-0000A47F0000}"/>
    <cellStyle name="Normal 2 7 3 10 3" xfId="32674" xr:uid="{00000000-0005-0000-0000-0000A57F0000}"/>
    <cellStyle name="Normal 2 7 3 10 3 2" xfId="32675" xr:uid="{00000000-0005-0000-0000-0000A67F0000}"/>
    <cellStyle name="Normal 2 7 3 10 3 2 2" xfId="32676" xr:uid="{00000000-0005-0000-0000-0000A77F0000}"/>
    <cellStyle name="Normal 2 7 3 10 3 2 3" xfId="32677" xr:uid="{00000000-0005-0000-0000-0000A87F0000}"/>
    <cellStyle name="Normal 2 7 3 10 3 3" xfId="32678" xr:uid="{00000000-0005-0000-0000-0000A97F0000}"/>
    <cellStyle name="Normal 2 7 3 10 3 4" xfId="32679" xr:uid="{00000000-0005-0000-0000-0000AA7F0000}"/>
    <cellStyle name="Normal 2 7 3 10 3 5" xfId="32680" xr:uid="{00000000-0005-0000-0000-0000AB7F0000}"/>
    <cellStyle name="Normal 2 7 3 10 3 6" xfId="32681" xr:uid="{00000000-0005-0000-0000-0000AC7F0000}"/>
    <cellStyle name="Normal 2 7 3 10 4" xfId="32682" xr:uid="{00000000-0005-0000-0000-0000AD7F0000}"/>
    <cellStyle name="Normal 2 7 3 10 4 2" xfId="32683" xr:uid="{00000000-0005-0000-0000-0000AE7F0000}"/>
    <cellStyle name="Normal 2 7 3 10 4 2 2" xfId="32684" xr:uid="{00000000-0005-0000-0000-0000AF7F0000}"/>
    <cellStyle name="Normal 2 7 3 10 4 3" xfId="32685" xr:uid="{00000000-0005-0000-0000-0000B07F0000}"/>
    <cellStyle name="Normal 2 7 3 10 4 4" xfId="32686" xr:uid="{00000000-0005-0000-0000-0000B17F0000}"/>
    <cellStyle name="Normal 2 7 3 10 4 5" xfId="32687" xr:uid="{00000000-0005-0000-0000-0000B27F0000}"/>
    <cellStyle name="Normal 2 7 3 10 5" xfId="32688" xr:uid="{00000000-0005-0000-0000-0000B37F0000}"/>
    <cellStyle name="Normal 2 7 3 10 5 2" xfId="32689" xr:uid="{00000000-0005-0000-0000-0000B47F0000}"/>
    <cellStyle name="Normal 2 7 3 10 5 3" xfId="32690" xr:uid="{00000000-0005-0000-0000-0000B57F0000}"/>
    <cellStyle name="Normal 2 7 3 10 5 4" xfId="32691" xr:uid="{00000000-0005-0000-0000-0000B67F0000}"/>
    <cellStyle name="Normal 2 7 3 10 6" xfId="32692" xr:uid="{00000000-0005-0000-0000-0000B77F0000}"/>
    <cellStyle name="Normal 2 7 3 10 6 2" xfId="32693" xr:uid="{00000000-0005-0000-0000-0000B87F0000}"/>
    <cellStyle name="Normal 2 7 3 10 7" xfId="32694" xr:uid="{00000000-0005-0000-0000-0000B97F0000}"/>
    <cellStyle name="Normal 2 7 3 10 8" xfId="32695" xr:uid="{00000000-0005-0000-0000-0000BA7F0000}"/>
    <cellStyle name="Normal 2 7 3 10 9" xfId="32696" xr:uid="{00000000-0005-0000-0000-0000BB7F0000}"/>
    <cellStyle name="Normal 2 7 3 11" xfId="32697" xr:uid="{00000000-0005-0000-0000-0000BC7F0000}"/>
    <cellStyle name="Normal 2 7 3 11 10" xfId="32698" xr:uid="{00000000-0005-0000-0000-0000BD7F0000}"/>
    <cellStyle name="Normal 2 7 3 11 2" xfId="32699" xr:uid="{00000000-0005-0000-0000-0000BE7F0000}"/>
    <cellStyle name="Normal 2 7 3 11 2 2" xfId="32700" xr:uid="{00000000-0005-0000-0000-0000BF7F0000}"/>
    <cellStyle name="Normal 2 7 3 11 2 2 2" xfId="32701" xr:uid="{00000000-0005-0000-0000-0000C07F0000}"/>
    <cellStyle name="Normal 2 7 3 11 2 2 3" xfId="32702" xr:uid="{00000000-0005-0000-0000-0000C17F0000}"/>
    <cellStyle name="Normal 2 7 3 11 2 3" xfId="32703" xr:uid="{00000000-0005-0000-0000-0000C27F0000}"/>
    <cellStyle name="Normal 2 7 3 11 2 4" xfId="32704" xr:uid="{00000000-0005-0000-0000-0000C37F0000}"/>
    <cellStyle name="Normal 2 7 3 11 2 5" xfId="32705" xr:uid="{00000000-0005-0000-0000-0000C47F0000}"/>
    <cellStyle name="Normal 2 7 3 11 2 6" xfId="32706" xr:uid="{00000000-0005-0000-0000-0000C57F0000}"/>
    <cellStyle name="Normal 2 7 3 11 3" xfId="32707" xr:uid="{00000000-0005-0000-0000-0000C67F0000}"/>
    <cellStyle name="Normal 2 7 3 11 3 2" xfId="32708" xr:uid="{00000000-0005-0000-0000-0000C77F0000}"/>
    <cellStyle name="Normal 2 7 3 11 3 2 2" xfId="32709" xr:uid="{00000000-0005-0000-0000-0000C87F0000}"/>
    <cellStyle name="Normal 2 7 3 11 3 2 3" xfId="32710" xr:uid="{00000000-0005-0000-0000-0000C97F0000}"/>
    <cellStyle name="Normal 2 7 3 11 3 3" xfId="32711" xr:uid="{00000000-0005-0000-0000-0000CA7F0000}"/>
    <cellStyle name="Normal 2 7 3 11 3 4" xfId="32712" xr:uid="{00000000-0005-0000-0000-0000CB7F0000}"/>
    <cellStyle name="Normal 2 7 3 11 3 5" xfId="32713" xr:uid="{00000000-0005-0000-0000-0000CC7F0000}"/>
    <cellStyle name="Normal 2 7 3 11 3 6" xfId="32714" xr:uid="{00000000-0005-0000-0000-0000CD7F0000}"/>
    <cellStyle name="Normal 2 7 3 11 4" xfId="32715" xr:uid="{00000000-0005-0000-0000-0000CE7F0000}"/>
    <cellStyle name="Normal 2 7 3 11 4 2" xfId="32716" xr:uid="{00000000-0005-0000-0000-0000CF7F0000}"/>
    <cellStyle name="Normal 2 7 3 11 4 2 2" xfId="32717" xr:uid="{00000000-0005-0000-0000-0000D07F0000}"/>
    <cellStyle name="Normal 2 7 3 11 4 3" xfId="32718" xr:uid="{00000000-0005-0000-0000-0000D17F0000}"/>
    <cellStyle name="Normal 2 7 3 11 4 4" xfId="32719" xr:uid="{00000000-0005-0000-0000-0000D27F0000}"/>
    <cellStyle name="Normal 2 7 3 11 4 5" xfId="32720" xr:uid="{00000000-0005-0000-0000-0000D37F0000}"/>
    <cellStyle name="Normal 2 7 3 11 5" xfId="32721" xr:uid="{00000000-0005-0000-0000-0000D47F0000}"/>
    <cellStyle name="Normal 2 7 3 11 5 2" xfId="32722" xr:uid="{00000000-0005-0000-0000-0000D57F0000}"/>
    <cellStyle name="Normal 2 7 3 11 5 3" xfId="32723" xr:uid="{00000000-0005-0000-0000-0000D67F0000}"/>
    <cellStyle name="Normal 2 7 3 11 5 4" xfId="32724" xr:uid="{00000000-0005-0000-0000-0000D77F0000}"/>
    <cellStyle name="Normal 2 7 3 11 6" xfId="32725" xr:uid="{00000000-0005-0000-0000-0000D87F0000}"/>
    <cellStyle name="Normal 2 7 3 11 6 2" xfId="32726" xr:uid="{00000000-0005-0000-0000-0000D97F0000}"/>
    <cellStyle name="Normal 2 7 3 11 7" xfId="32727" xr:uid="{00000000-0005-0000-0000-0000DA7F0000}"/>
    <cellStyle name="Normal 2 7 3 11 8" xfId="32728" xr:uid="{00000000-0005-0000-0000-0000DB7F0000}"/>
    <cellStyle name="Normal 2 7 3 11 9" xfId="32729" xr:uid="{00000000-0005-0000-0000-0000DC7F0000}"/>
    <cellStyle name="Normal 2 7 3 12" xfId="32730" xr:uid="{00000000-0005-0000-0000-0000DD7F0000}"/>
    <cellStyle name="Normal 2 7 3 12 10" xfId="32731" xr:uid="{00000000-0005-0000-0000-0000DE7F0000}"/>
    <cellStyle name="Normal 2 7 3 12 2" xfId="32732" xr:uid="{00000000-0005-0000-0000-0000DF7F0000}"/>
    <cellStyle name="Normal 2 7 3 12 2 2" xfId="32733" xr:uid="{00000000-0005-0000-0000-0000E07F0000}"/>
    <cellStyle name="Normal 2 7 3 12 2 2 2" xfId="32734" xr:uid="{00000000-0005-0000-0000-0000E17F0000}"/>
    <cellStyle name="Normal 2 7 3 12 2 2 3" xfId="32735" xr:uid="{00000000-0005-0000-0000-0000E27F0000}"/>
    <cellStyle name="Normal 2 7 3 12 2 3" xfId="32736" xr:uid="{00000000-0005-0000-0000-0000E37F0000}"/>
    <cellStyle name="Normal 2 7 3 12 2 4" xfId="32737" xr:uid="{00000000-0005-0000-0000-0000E47F0000}"/>
    <cellStyle name="Normal 2 7 3 12 2 5" xfId="32738" xr:uid="{00000000-0005-0000-0000-0000E57F0000}"/>
    <cellStyle name="Normal 2 7 3 12 2 6" xfId="32739" xr:uid="{00000000-0005-0000-0000-0000E67F0000}"/>
    <cellStyle name="Normal 2 7 3 12 3" xfId="32740" xr:uid="{00000000-0005-0000-0000-0000E77F0000}"/>
    <cellStyle name="Normal 2 7 3 12 3 2" xfId="32741" xr:uid="{00000000-0005-0000-0000-0000E87F0000}"/>
    <cellStyle name="Normal 2 7 3 12 3 2 2" xfId="32742" xr:uid="{00000000-0005-0000-0000-0000E97F0000}"/>
    <cellStyle name="Normal 2 7 3 12 3 2 3" xfId="32743" xr:uid="{00000000-0005-0000-0000-0000EA7F0000}"/>
    <cellStyle name="Normal 2 7 3 12 3 3" xfId="32744" xr:uid="{00000000-0005-0000-0000-0000EB7F0000}"/>
    <cellStyle name="Normal 2 7 3 12 3 4" xfId="32745" xr:uid="{00000000-0005-0000-0000-0000EC7F0000}"/>
    <cellStyle name="Normal 2 7 3 12 3 5" xfId="32746" xr:uid="{00000000-0005-0000-0000-0000ED7F0000}"/>
    <cellStyle name="Normal 2 7 3 12 3 6" xfId="32747" xr:uid="{00000000-0005-0000-0000-0000EE7F0000}"/>
    <cellStyle name="Normal 2 7 3 12 4" xfId="32748" xr:uid="{00000000-0005-0000-0000-0000EF7F0000}"/>
    <cellStyle name="Normal 2 7 3 12 4 2" xfId="32749" xr:uid="{00000000-0005-0000-0000-0000F07F0000}"/>
    <cellStyle name="Normal 2 7 3 12 4 2 2" xfId="32750" xr:uid="{00000000-0005-0000-0000-0000F17F0000}"/>
    <cellStyle name="Normal 2 7 3 12 4 3" xfId="32751" xr:uid="{00000000-0005-0000-0000-0000F27F0000}"/>
    <cellStyle name="Normal 2 7 3 12 4 4" xfId="32752" xr:uid="{00000000-0005-0000-0000-0000F37F0000}"/>
    <cellStyle name="Normal 2 7 3 12 4 5" xfId="32753" xr:uid="{00000000-0005-0000-0000-0000F47F0000}"/>
    <cellStyle name="Normal 2 7 3 12 5" xfId="32754" xr:uid="{00000000-0005-0000-0000-0000F57F0000}"/>
    <cellStyle name="Normal 2 7 3 12 5 2" xfId="32755" xr:uid="{00000000-0005-0000-0000-0000F67F0000}"/>
    <cellStyle name="Normal 2 7 3 12 5 3" xfId="32756" xr:uid="{00000000-0005-0000-0000-0000F77F0000}"/>
    <cellStyle name="Normal 2 7 3 12 5 4" xfId="32757" xr:uid="{00000000-0005-0000-0000-0000F87F0000}"/>
    <cellStyle name="Normal 2 7 3 12 6" xfId="32758" xr:uid="{00000000-0005-0000-0000-0000F97F0000}"/>
    <cellStyle name="Normal 2 7 3 12 6 2" xfId="32759" xr:uid="{00000000-0005-0000-0000-0000FA7F0000}"/>
    <cellStyle name="Normal 2 7 3 12 7" xfId="32760" xr:uid="{00000000-0005-0000-0000-0000FB7F0000}"/>
    <cellStyle name="Normal 2 7 3 12 8" xfId="32761" xr:uid="{00000000-0005-0000-0000-0000FC7F0000}"/>
    <cellStyle name="Normal 2 7 3 12 9" xfId="32762" xr:uid="{00000000-0005-0000-0000-0000FD7F0000}"/>
    <cellStyle name="Normal 2 7 3 13" xfId="32763" xr:uid="{00000000-0005-0000-0000-0000FE7F0000}"/>
    <cellStyle name="Normal 2 7 3 13 2" xfId="32764" xr:uid="{00000000-0005-0000-0000-0000FF7F0000}"/>
    <cellStyle name="Normal 2 7 3 13 2 2" xfId="32765" xr:uid="{00000000-0005-0000-0000-000000800000}"/>
    <cellStyle name="Normal 2 7 3 13 2 2 2" xfId="32766" xr:uid="{00000000-0005-0000-0000-000001800000}"/>
    <cellStyle name="Normal 2 7 3 13 2 2 3" xfId="32767" xr:uid="{00000000-0005-0000-0000-000002800000}"/>
    <cellStyle name="Normal 2 7 3 13 2 3" xfId="32768" xr:uid="{00000000-0005-0000-0000-000003800000}"/>
    <cellStyle name="Normal 2 7 3 13 2 4" xfId="32769" xr:uid="{00000000-0005-0000-0000-000004800000}"/>
    <cellStyle name="Normal 2 7 3 13 2 5" xfId="32770" xr:uid="{00000000-0005-0000-0000-000005800000}"/>
    <cellStyle name="Normal 2 7 3 13 2 6" xfId="32771" xr:uid="{00000000-0005-0000-0000-000006800000}"/>
    <cellStyle name="Normal 2 7 3 13 3" xfId="32772" xr:uid="{00000000-0005-0000-0000-000007800000}"/>
    <cellStyle name="Normal 2 7 3 13 3 2" xfId="32773" xr:uid="{00000000-0005-0000-0000-000008800000}"/>
    <cellStyle name="Normal 2 7 3 13 3 2 2" xfId="32774" xr:uid="{00000000-0005-0000-0000-000009800000}"/>
    <cellStyle name="Normal 2 7 3 13 3 3" xfId="32775" xr:uid="{00000000-0005-0000-0000-00000A800000}"/>
    <cellStyle name="Normal 2 7 3 13 3 4" xfId="32776" xr:uid="{00000000-0005-0000-0000-00000B800000}"/>
    <cellStyle name="Normal 2 7 3 13 3 5" xfId="32777" xr:uid="{00000000-0005-0000-0000-00000C800000}"/>
    <cellStyle name="Normal 2 7 3 13 4" xfId="32778" xr:uid="{00000000-0005-0000-0000-00000D800000}"/>
    <cellStyle name="Normal 2 7 3 13 4 2" xfId="32779" xr:uid="{00000000-0005-0000-0000-00000E800000}"/>
    <cellStyle name="Normal 2 7 3 13 4 3" xfId="32780" xr:uid="{00000000-0005-0000-0000-00000F800000}"/>
    <cellStyle name="Normal 2 7 3 13 4 4" xfId="32781" xr:uid="{00000000-0005-0000-0000-000010800000}"/>
    <cellStyle name="Normal 2 7 3 13 5" xfId="32782" xr:uid="{00000000-0005-0000-0000-000011800000}"/>
    <cellStyle name="Normal 2 7 3 13 5 2" xfId="32783" xr:uid="{00000000-0005-0000-0000-000012800000}"/>
    <cellStyle name="Normal 2 7 3 13 6" xfId="32784" xr:uid="{00000000-0005-0000-0000-000013800000}"/>
    <cellStyle name="Normal 2 7 3 13 7" xfId="32785" xr:uid="{00000000-0005-0000-0000-000014800000}"/>
    <cellStyle name="Normal 2 7 3 13 8" xfId="32786" xr:uid="{00000000-0005-0000-0000-000015800000}"/>
    <cellStyle name="Normal 2 7 3 13 9" xfId="32787" xr:uid="{00000000-0005-0000-0000-000016800000}"/>
    <cellStyle name="Normal 2 7 3 14" xfId="32788" xr:uid="{00000000-0005-0000-0000-000017800000}"/>
    <cellStyle name="Normal 2 7 3 14 2" xfId="32789" xr:uid="{00000000-0005-0000-0000-000018800000}"/>
    <cellStyle name="Normal 2 7 3 14 2 2" xfId="32790" xr:uid="{00000000-0005-0000-0000-000019800000}"/>
    <cellStyle name="Normal 2 7 3 14 2 2 2" xfId="32791" xr:uid="{00000000-0005-0000-0000-00001A800000}"/>
    <cellStyle name="Normal 2 7 3 14 2 2 3" xfId="32792" xr:uid="{00000000-0005-0000-0000-00001B800000}"/>
    <cellStyle name="Normal 2 7 3 14 2 3" xfId="32793" xr:uid="{00000000-0005-0000-0000-00001C800000}"/>
    <cellStyle name="Normal 2 7 3 14 2 4" xfId="32794" xr:uid="{00000000-0005-0000-0000-00001D800000}"/>
    <cellStyle name="Normal 2 7 3 14 2 5" xfId="32795" xr:uid="{00000000-0005-0000-0000-00001E800000}"/>
    <cellStyle name="Normal 2 7 3 14 2 6" xfId="32796" xr:uid="{00000000-0005-0000-0000-00001F800000}"/>
    <cellStyle name="Normal 2 7 3 14 3" xfId="32797" xr:uid="{00000000-0005-0000-0000-000020800000}"/>
    <cellStyle name="Normal 2 7 3 14 3 2" xfId="32798" xr:uid="{00000000-0005-0000-0000-000021800000}"/>
    <cellStyle name="Normal 2 7 3 14 3 2 2" xfId="32799" xr:uid="{00000000-0005-0000-0000-000022800000}"/>
    <cellStyle name="Normal 2 7 3 14 3 3" xfId="32800" xr:uid="{00000000-0005-0000-0000-000023800000}"/>
    <cellStyle name="Normal 2 7 3 14 3 4" xfId="32801" xr:uid="{00000000-0005-0000-0000-000024800000}"/>
    <cellStyle name="Normal 2 7 3 14 3 5" xfId="32802" xr:uid="{00000000-0005-0000-0000-000025800000}"/>
    <cellStyle name="Normal 2 7 3 14 4" xfId="32803" xr:uid="{00000000-0005-0000-0000-000026800000}"/>
    <cellStyle name="Normal 2 7 3 14 4 2" xfId="32804" xr:uid="{00000000-0005-0000-0000-000027800000}"/>
    <cellStyle name="Normal 2 7 3 14 4 3" xfId="32805" xr:uid="{00000000-0005-0000-0000-000028800000}"/>
    <cellStyle name="Normal 2 7 3 14 4 4" xfId="32806" xr:uid="{00000000-0005-0000-0000-000029800000}"/>
    <cellStyle name="Normal 2 7 3 14 5" xfId="32807" xr:uid="{00000000-0005-0000-0000-00002A800000}"/>
    <cellStyle name="Normal 2 7 3 14 5 2" xfId="32808" xr:uid="{00000000-0005-0000-0000-00002B800000}"/>
    <cellStyle name="Normal 2 7 3 14 6" xfId="32809" xr:uid="{00000000-0005-0000-0000-00002C800000}"/>
    <cellStyle name="Normal 2 7 3 14 7" xfId="32810" xr:uid="{00000000-0005-0000-0000-00002D800000}"/>
    <cellStyle name="Normal 2 7 3 14 8" xfId="32811" xr:uid="{00000000-0005-0000-0000-00002E800000}"/>
    <cellStyle name="Normal 2 7 3 14 9" xfId="32812" xr:uid="{00000000-0005-0000-0000-00002F800000}"/>
    <cellStyle name="Normal 2 7 3 15" xfId="32813" xr:uid="{00000000-0005-0000-0000-000030800000}"/>
    <cellStyle name="Normal 2 7 3 15 2" xfId="32814" xr:uid="{00000000-0005-0000-0000-000031800000}"/>
    <cellStyle name="Normal 2 7 3 15 2 2" xfId="32815" xr:uid="{00000000-0005-0000-0000-000032800000}"/>
    <cellStyle name="Normal 2 7 3 15 2 3" xfId="32816" xr:uid="{00000000-0005-0000-0000-000033800000}"/>
    <cellStyle name="Normal 2 7 3 15 3" xfId="32817" xr:uid="{00000000-0005-0000-0000-000034800000}"/>
    <cellStyle name="Normal 2 7 3 15 4" xfId="32818" xr:uid="{00000000-0005-0000-0000-000035800000}"/>
    <cellStyle name="Normal 2 7 3 15 5" xfId="32819" xr:uid="{00000000-0005-0000-0000-000036800000}"/>
    <cellStyle name="Normal 2 7 3 15 6" xfId="32820" xr:uid="{00000000-0005-0000-0000-000037800000}"/>
    <cellStyle name="Normal 2 7 3 16" xfId="32821" xr:uid="{00000000-0005-0000-0000-000038800000}"/>
    <cellStyle name="Normal 2 7 3 16 2" xfId="32822" xr:uid="{00000000-0005-0000-0000-000039800000}"/>
    <cellStyle name="Normal 2 7 3 16 2 2" xfId="32823" xr:uid="{00000000-0005-0000-0000-00003A800000}"/>
    <cellStyle name="Normal 2 7 3 16 3" xfId="32824" xr:uid="{00000000-0005-0000-0000-00003B800000}"/>
    <cellStyle name="Normal 2 7 3 16 4" xfId="32825" xr:uid="{00000000-0005-0000-0000-00003C800000}"/>
    <cellStyle name="Normal 2 7 3 16 5" xfId="32826" xr:uid="{00000000-0005-0000-0000-00003D800000}"/>
    <cellStyle name="Normal 2 7 3 17" xfId="32827" xr:uid="{00000000-0005-0000-0000-00003E800000}"/>
    <cellStyle name="Normal 2 7 3 17 2" xfId="32828" xr:uid="{00000000-0005-0000-0000-00003F800000}"/>
    <cellStyle name="Normal 2 7 3 17 2 2" xfId="32829" xr:uid="{00000000-0005-0000-0000-000040800000}"/>
    <cellStyle name="Normal 2 7 3 17 3" xfId="32830" xr:uid="{00000000-0005-0000-0000-000041800000}"/>
    <cellStyle name="Normal 2 7 3 17 4" xfId="32831" xr:uid="{00000000-0005-0000-0000-000042800000}"/>
    <cellStyle name="Normal 2 7 3 17 5" xfId="32832" xr:uid="{00000000-0005-0000-0000-000043800000}"/>
    <cellStyle name="Normal 2 7 3 18" xfId="32833" xr:uid="{00000000-0005-0000-0000-000044800000}"/>
    <cellStyle name="Normal 2 7 3 18 2" xfId="32834" xr:uid="{00000000-0005-0000-0000-000045800000}"/>
    <cellStyle name="Normal 2 7 3 19" xfId="32835" xr:uid="{00000000-0005-0000-0000-000046800000}"/>
    <cellStyle name="Normal 2 7 3 2" xfId="32836" xr:uid="{00000000-0005-0000-0000-000047800000}"/>
    <cellStyle name="Normal 2 7 3 2 10" xfId="32837" xr:uid="{00000000-0005-0000-0000-000048800000}"/>
    <cellStyle name="Normal 2 7 3 2 11" xfId="32838" xr:uid="{00000000-0005-0000-0000-000049800000}"/>
    <cellStyle name="Normal 2 7 3 2 2" xfId="32839" xr:uid="{00000000-0005-0000-0000-00004A800000}"/>
    <cellStyle name="Normal 2 7 3 2 2 2" xfId="32840" xr:uid="{00000000-0005-0000-0000-00004B800000}"/>
    <cellStyle name="Normal 2 7 3 2 2 2 2" xfId="32841" xr:uid="{00000000-0005-0000-0000-00004C800000}"/>
    <cellStyle name="Normal 2 7 3 2 2 2 2 2" xfId="32842" xr:uid="{00000000-0005-0000-0000-00004D800000}"/>
    <cellStyle name="Normal 2 7 3 2 2 2 2 3" xfId="32843" xr:uid="{00000000-0005-0000-0000-00004E800000}"/>
    <cellStyle name="Normal 2 7 3 2 2 2 3" xfId="32844" xr:uid="{00000000-0005-0000-0000-00004F800000}"/>
    <cellStyle name="Normal 2 7 3 2 2 2 4" xfId="32845" xr:uid="{00000000-0005-0000-0000-000050800000}"/>
    <cellStyle name="Normal 2 7 3 2 2 2 5" xfId="32846" xr:uid="{00000000-0005-0000-0000-000051800000}"/>
    <cellStyle name="Normal 2 7 3 2 2 2 6" xfId="32847" xr:uid="{00000000-0005-0000-0000-000052800000}"/>
    <cellStyle name="Normal 2 7 3 2 2 3" xfId="32848" xr:uid="{00000000-0005-0000-0000-000053800000}"/>
    <cellStyle name="Normal 2 7 3 2 2 3 2" xfId="32849" xr:uid="{00000000-0005-0000-0000-000054800000}"/>
    <cellStyle name="Normal 2 7 3 2 2 3 2 2" xfId="32850" xr:uid="{00000000-0005-0000-0000-000055800000}"/>
    <cellStyle name="Normal 2 7 3 2 2 3 3" xfId="32851" xr:uid="{00000000-0005-0000-0000-000056800000}"/>
    <cellStyle name="Normal 2 7 3 2 2 3 4" xfId="32852" xr:uid="{00000000-0005-0000-0000-000057800000}"/>
    <cellStyle name="Normal 2 7 3 2 2 3 5" xfId="32853" xr:uid="{00000000-0005-0000-0000-000058800000}"/>
    <cellStyle name="Normal 2 7 3 2 2 4" xfId="32854" xr:uid="{00000000-0005-0000-0000-000059800000}"/>
    <cellStyle name="Normal 2 7 3 2 2 4 2" xfId="32855" xr:uid="{00000000-0005-0000-0000-00005A800000}"/>
    <cellStyle name="Normal 2 7 3 2 2 4 3" xfId="32856" xr:uid="{00000000-0005-0000-0000-00005B800000}"/>
    <cellStyle name="Normal 2 7 3 2 2 4 4" xfId="32857" xr:uid="{00000000-0005-0000-0000-00005C800000}"/>
    <cellStyle name="Normal 2 7 3 2 2 5" xfId="32858" xr:uid="{00000000-0005-0000-0000-00005D800000}"/>
    <cellStyle name="Normal 2 7 3 2 2 5 2" xfId="32859" xr:uid="{00000000-0005-0000-0000-00005E800000}"/>
    <cellStyle name="Normal 2 7 3 2 2 6" xfId="32860" xr:uid="{00000000-0005-0000-0000-00005F800000}"/>
    <cellStyle name="Normal 2 7 3 2 2 7" xfId="32861" xr:uid="{00000000-0005-0000-0000-000060800000}"/>
    <cellStyle name="Normal 2 7 3 2 2 8" xfId="32862" xr:uid="{00000000-0005-0000-0000-000061800000}"/>
    <cellStyle name="Normal 2 7 3 2 2 9" xfId="32863" xr:uid="{00000000-0005-0000-0000-000062800000}"/>
    <cellStyle name="Normal 2 7 3 2 3" xfId="32864" xr:uid="{00000000-0005-0000-0000-000063800000}"/>
    <cellStyle name="Normal 2 7 3 2 3 2" xfId="32865" xr:uid="{00000000-0005-0000-0000-000064800000}"/>
    <cellStyle name="Normal 2 7 3 2 3 2 2" xfId="32866" xr:uid="{00000000-0005-0000-0000-000065800000}"/>
    <cellStyle name="Normal 2 7 3 2 3 2 2 2" xfId="32867" xr:uid="{00000000-0005-0000-0000-000066800000}"/>
    <cellStyle name="Normal 2 7 3 2 3 2 2 3" xfId="32868" xr:uid="{00000000-0005-0000-0000-000067800000}"/>
    <cellStyle name="Normal 2 7 3 2 3 2 3" xfId="32869" xr:uid="{00000000-0005-0000-0000-000068800000}"/>
    <cellStyle name="Normal 2 7 3 2 3 2 4" xfId="32870" xr:uid="{00000000-0005-0000-0000-000069800000}"/>
    <cellStyle name="Normal 2 7 3 2 3 2 5" xfId="32871" xr:uid="{00000000-0005-0000-0000-00006A800000}"/>
    <cellStyle name="Normal 2 7 3 2 3 2 6" xfId="32872" xr:uid="{00000000-0005-0000-0000-00006B800000}"/>
    <cellStyle name="Normal 2 7 3 2 3 3" xfId="32873" xr:uid="{00000000-0005-0000-0000-00006C800000}"/>
    <cellStyle name="Normal 2 7 3 2 3 3 2" xfId="32874" xr:uid="{00000000-0005-0000-0000-00006D800000}"/>
    <cellStyle name="Normal 2 7 3 2 3 3 2 2" xfId="32875" xr:uid="{00000000-0005-0000-0000-00006E800000}"/>
    <cellStyle name="Normal 2 7 3 2 3 3 3" xfId="32876" xr:uid="{00000000-0005-0000-0000-00006F800000}"/>
    <cellStyle name="Normal 2 7 3 2 3 3 4" xfId="32877" xr:uid="{00000000-0005-0000-0000-000070800000}"/>
    <cellStyle name="Normal 2 7 3 2 3 3 5" xfId="32878" xr:uid="{00000000-0005-0000-0000-000071800000}"/>
    <cellStyle name="Normal 2 7 3 2 3 4" xfId="32879" xr:uid="{00000000-0005-0000-0000-000072800000}"/>
    <cellStyle name="Normal 2 7 3 2 3 4 2" xfId="32880" xr:uid="{00000000-0005-0000-0000-000073800000}"/>
    <cellStyle name="Normal 2 7 3 2 3 4 3" xfId="32881" xr:uid="{00000000-0005-0000-0000-000074800000}"/>
    <cellStyle name="Normal 2 7 3 2 3 4 4" xfId="32882" xr:uid="{00000000-0005-0000-0000-000075800000}"/>
    <cellStyle name="Normal 2 7 3 2 3 5" xfId="32883" xr:uid="{00000000-0005-0000-0000-000076800000}"/>
    <cellStyle name="Normal 2 7 3 2 3 5 2" xfId="32884" xr:uid="{00000000-0005-0000-0000-000077800000}"/>
    <cellStyle name="Normal 2 7 3 2 3 6" xfId="32885" xr:uid="{00000000-0005-0000-0000-000078800000}"/>
    <cellStyle name="Normal 2 7 3 2 3 7" xfId="32886" xr:uid="{00000000-0005-0000-0000-000079800000}"/>
    <cellStyle name="Normal 2 7 3 2 3 8" xfId="32887" xr:uid="{00000000-0005-0000-0000-00007A800000}"/>
    <cellStyle name="Normal 2 7 3 2 3 9" xfId="32888" xr:uid="{00000000-0005-0000-0000-00007B800000}"/>
    <cellStyle name="Normal 2 7 3 2 4" xfId="32889" xr:uid="{00000000-0005-0000-0000-00007C800000}"/>
    <cellStyle name="Normal 2 7 3 2 4 2" xfId="32890" xr:uid="{00000000-0005-0000-0000-00007D800000}"/>
    <cellStyle name="Normal 2 7 3 2 4 2 2" xfId="32891" xr:uid="{00000000-0005-0000-0000-00007E800000}"/>
    <cellStyle name="Normal 2 7 3 2 4 2 3" xfId="32892" xr:uid="{00000000-0005-0000-0000-00007F800000}"/>
    <cellStyle name="Normal 2 7 3 2 4 3" xfId="32893" xr:uid="{00000000-0005-0000-0000-000080800000}"/>
    <cellStyle name="Normal 2 7 3 2 4 4" xfId="32894" xr:uid="{00000000-0005-0000-0000-000081800000}"/>
    <cellStyle name="Normal 2 7 3 2 4 5" xfId="32895" xr:uid="{00000000-0005-0000-0000-000082800000}"/>
    <cellStyle name="Normal 2 7 3 2 4 6" xfId="32896" xr:uid="{00000000-0005-0000-0000-000083800000}"/>
    <cellStyle name="Normal 2 7 3 2 5" xfId="32897" xr:uid="{00000000-0005-0000-0000-000084800000}"/>
    <cellStyle name="Normal 2 7 3 2 5 2" xfId="32898" xr:uid="{00000000-0005-0000-0000-000085800000}"/>
    <cellStyle name="Normal 2 7 3 2 5 2 2" xfId="32899" xr:uid="{00000000-0005-0000-0000-000086800000}"/>
    <cellStyle name="Normal 2 7 3 2 5 3" xfId="32900" xr:uid="{00000000-0005-0000-0000-000087800000}"/>
    <cellStyle name="Normal 2 7 3 2 5 4" xfId="32901" xr:uid="{00000000-0005-0000-0000-000088800000}"/>
    <cellStyle name="Normal 2 7 3 2 5 5" xfId="32902" xr:uid="{00000000-0005-0000-0000-000089800000}"/>
    <cellStyle name="Normal 2 7 3 2 6" xfId="32903" xr:uid="{00000000-0005-0000-0000-00008A800000}"/>
    <cellStyle name="Normal 2 7 3 2 6 2" xfId="32904" xr:uid="{00000000-0005-0000-0000-00008B800000}"/>
    <cellStyle name="Normal 2 7 3 2 6 3" xfId="32905" xr:uid="{00000000-0005-0000-0000-00008C800000}"/>
    <cellStyle name="Normal 2 7 3 2 6 4" xfId="32906" xr:uid="{00000000-0005-0000-0000-00008D800000}"/>
    <cellStyle name="Normal 2 7 3 2 7" xfId="32907" xr:uid="{00000000-0005-0000-0000-00008E800000}"/>
    <cellStyle name="Normal 2 7 3 2 7 2" xfId="32908" xr:uid="{00000000-0005-0000-0000-00008F800000}"/>
    <cellStyle name="Normal 2 7 3 2 8" xfId="32909" xr:uid="{00000000-0005-0000-0000-000090800000}"/>
    <cellStyle name="Normal 2 7 3 2 9" xfId="32910" xr:uid="{00000000-0005-0000-0000-000091800000}"/>
    <cellStyle name="Normal 2 7 3 20" xfId="32911" xr:uid="{00000000-0005-0000-0000-000092800000}"/>
    <cellStyle name="Normal 2 7 3 21" xfId="32912" xr:uid="{00000000-0005-0000-0000-000093800000}"/>
    <cellStyle name="Normal 2 7 3 22" xfId="32913" xr:uid="{00000000-0005-0000-0000-000094800000}"/>
    <cellStyle name="Normal 2 7 3 3" xfId="32914" xr:uid="{00000000-0005-0000-0000-000095800000}"/>
    <cellStyle name="Normal 2 7 3 3 10" xfId="32915" xr:uid="{00000000-0005-0000-0000-000096800000}"/>
    <cellStyle name="Normal 2 7 3 3 11" xfId="32916" xr:uid="{00000000-0005-0000-0000-000097800000}"/>
    <cellStyle name="Normal 2 7 3 3 2" xfId="32917" xr:uid="{00000000-0005-0000-0000-000098800000}"/>
    <cellStyle name="Normal 2 7 3 3 2 2" xfId="32918" xr:uid="{00000000-0005-0000-0000-000099800000}"/>
    <cellStyle name="Normal 2 7 3 3 2 2 2" xfId="32919" xr:uid="{00000000-0005-0000-0000-00009A800000}"/>
    <cellStyle name="Normal 2 7 3 3 2 2 2 2" xfId="32920" xr:uid="{00000000-0005-0000-0000-00009B800000}"/>
    <cellStyle name="Normal 2 7 3 3 2 2 2 3" xfId="32921" xr:uid="{00000000-0005-0000-0000-00009C800000}"/>
    <cellStyle name="Normal 2 7 3 3 2 2 3" xfId="32922" xr:uid="{00000000-0005-0000-0000-00009D800000}"/>
    <cellStyle name="Normal 2 7 3 3 2 2 4" xfId="32923" xr:uid="{00000000-0005-0000-0000-00009E800000}"/>
    <cellStyle name="Normal 2 7 3 3 2 2 5" xfId="32924" xr:uid="{00000000-0005-0000-0000-00009F800000}"/>
    <cellStyle name="Normal 2 7 3 3 2 2 6" xfId="32925" xr:uid="{00000000-0005-0000-0000-0000A0800000}"/>
    <cellStyle name="Normal 2 7 3 3 2 3" xfId="32926" xr:uid="{00000000-0005-0000-0000-0000A1800000}"/>
    <cellStyle name="Normal 2 7 3 3 2 3 2" xfId="32927" xr:uid="{00000000-0005-0000-0000-0000A2800000}"/>
    <cellStyle name="Normal 2 7 3 3 2 3 2 2" xfId="32928" xr:uid="{00000000-0005-0000-0000-0000A3800000}"/>
    <cellStyle name="Normal 2 7 3 3 2 3 3" xfId="32929" xr:uid="{00000000-0005-0000-0000-0000A4800000}"/>
    <cellStyle name="Normal 2 7 3 3 2 3 4" xfId="32930" xr:uid="{00000000-0005-0000-0000-0000A5800000}"/>
    <cellStyle name="Normal 2 7 3 3 2 3 5" xfId="32931" xr:uid="{00000000-0005-0000-0000-0000A6800000}"/>
    <cellStyle name="Normal 2 7 3 3 2 4" xfId="32932" xr:uid="{00000000-0005-0000-0000-0000A7800000}"/>
    <cellStyle name="Normal 2 7 3 3 2 4 2" xfId="32933" xr:uid="{00000000-0005-0000-0000-0000A8800000}"/>
    <cellStyle name="Normal 2 7 3 3 2 4 3" xfId="32934" xr:uid="{00000000-0005-0000-0000-0000A9800000}"/>
    <cellStyle name="Normal 2 7 3 3 2 4 4" xfId="32935" xr:uid="{00000000-0005-0000-0000-0000AA800000}"/>
    <cellStyle name="Normal 2 7 3 3 2 5" xfId="32936" xr:uid="{00000000-0005-0000-0000-0000AB800000}"/>
    <cellStyle name="Normal 2 7 3 3 2 5 2" xfId="32937" xr:uid="{00000000-0005-0000-0000-0000AC800000}"/>
    <cellStyle name="Normal 2 7 3 3 2 6" xfId="32938" xr:uid="{00000000-0005-0000-0000-0000AD800000}"/>
    <cellStyle name="Normal 2 7 3 3 2 7" xfId="32939" xr:uid="{00000000-0005-0000-0000-0000AE800000}"/>
    <cellStyle name="Normal 2 7 3 3 2 8" xfId="32940" xr:uid="{00000000-0005-0000-0000-0000AF800000}"/>
    <cellStyle name="Normal 2 7 3 3 2 9" xfId="32941" xr:uid="{00000000-0005-0000-0000-0000B0800000}"/>
    <cellStyle name="Normal 2 7 3 3 3" xfId="32942" xr:uid="{00000000-0005-0000-0000-0000B1800000}"/>
    <cellStyle name="Normal 2 7 3 3 3 2" xfId="32943" xr:uid="{00000000-0005-0000-0000-0000B2800000}"/>
    <cellStyle name="Normal 2 7 3 3 3 2 2" xfId="32944" xr:uid="{00000000-0005-0000-0000-0000B3800000}"/>
    <cellStyle name="Normal 2 7 3 3 3 2 2 2" xfId="32945" xr:uid="{00000000-0005-0000-0000-0000B4800000}"/>
    <cellStyle name="Normal 2 7 3 3 3 2 2 3" xfId="32946" xr:uid="{00000000-0005-0000-0000-0000B5800000}"/>
    <cellStyle name="Normal 2 7 3 3 3 2 3" xfId="32947" xr:uid="{00000000-0005-0000-0000-0000B6800000}"/>
    <cellStyle name="Normal 2 7 3 3 3 2 4" xfId="32948" xr:uid="{00000000-0005-0000-0000-0000B7800000}"/>
    <cellStyle name="Normal 2 7 3 3 3 2 5" xfId="32949" xr:uid="{00000000-0005-0000-0000-0000B8800000}"/>
    <cellStyle name="Normal 2 7 3 3 3 2 6" xfId="32950" xr:uid="{00000000-0005-0000-0000-0000B9800000}"/>
    <cellStyle name="Normal 2 7 3 3 3 3" xfId="32951" xr:uid="{00000000-0005-0000-0000-0000BA800000}"/>
    <cellStyle name="Normal 2 7 3 3 3 3 2" xfId="32952" xr:uid="{00000000-0005-0000-0000-0000BB800000}"/>
    <cellStyle name="Normal 2 7 3 3 3 3 2 2" xfId="32953" xr:uid="{00000000-0005-0000-0000-0000BC800000}"/>
    <cellStyle name="Normal 2 7 3 3 3 3 3" xfId="32954" xr:uid="{00000000-0005-0000-0000-0000BD800000}"/>
    <cellStyle name="Normal 2 7 3 3 3 3 4" xfId="32955" xr:uid="{00000000-0005-0000-0000-0000BE800000}"/>
    <cellStyle name="Normal 2 7 3 3 3 3 5" xfId="32956" xr:uid="{00000000-0005-0000-0000-0000BF800000}"/>
    <cellStyle name="Normal 2 7 3 3 3 4" xfId="32957" xr:uid="{00000000-0005-0000-0000-0000C0800000}"/>
    <cellStyle name="Normal 2 7 3 3 3 4 2" xfId="32958" xr:uid="{00000000-0005-0000-0000-0000C1800000}"/>
    <cellStyle name="Normal 2 7 3 3 3 4 3" xfId="32959" xr:uid="{00000000-0005-0000-0000-0000C2800000}"/>
    <cellStyle name="Normal 2 7 3 3 3 4 4" xfId="32960" xr:uid="{00000000-0005-0000-0000-0000C3800000}"/>
    <cellStyle name="Normal 2 7 3 3 3 5" xfId="32961" xr:uid="{00000000-0005-0000-0000-0000C4800000}"/>
    <cellStyle name="Normal 2 7 3 3 3 5 2" xfId="32962" xr:uid="{00000000-0005-0000-0000-0000C5800000}"/>
    <cellStyle name="Normal 2 7 3 3 3 6" xfId="32963" xr:uid="{00000000-0005-0000-0000-0000C6800000}"/>
    <cellStyle name="Normal 2 7 3 3 3 7" xfId="32964" xr:uid="{00000000-0005-0000-0000-0000C7800000}"/>
    <cellStyle name="Normal 2 7 3 3 3 8" xfId="32965" xr:uid="{00000000-0005-0000-0000-0000C8800000}"/>
    <cellStyle name="Normal 2 7 3 3 3 9" xfId="32966" xr:uid="{00000000-0005-0000-0000-0000C9800000}"/>
    <cellStyle name="Normal 2 7 3 3 4" xfId="32967" xr:uid="{00000000-0005-0000-0000-0000CA800000}"/>
    <cellStyle name="Normal 2 7 3 3 4 2" xfId="32968" xr:uid="{00000000-0005-0000-0000-0000CB800000}"/>
    <cellStyle name="Normal 2 7 3 3 4 2 2" xfId="32969" xr:uid="{00000000-0005-0000-0000-0000CC800000}"/>
    <cellStyle name="Normal 2 7 3 3 4 2 3" xfId="32970" xr:uid="{00000000-0005-0000-0000-0000CD800000}"/>
    <cellStyle name="Normal 2 7 3 3 4 3" xfId="32971" xr:uid="{00000000-0005-0000-0000-0000CE800000}"/>
    <cellStyle name="Normal 2 7 3 3 4 4" xfId="32972" xr:uid="{00000000-0005-0000-0000-0000CF800000}"/>
    <cellStyle name="Normal 2 7 3 3 4 5" xfId="32973" xr:uid="{00000000-0005-0000-0000-0000D0800000}"/>
    <cellStyle name="Normal 2 7 3 3 4 6" xfId="32974" xr:uid="{00000000-0005-0000-0000-0000D1800000}"/>
    <cellStyle name="Normal 2 7 3 3 5" xfId="32975" xr:uid="{00000000-0005-0000-0000-0000D2800000}"/>
    <cellStyle name="Normal 2 7 3 3 5 2" xfId="32976" xr:uid="{00000000-0005-0000-0000-0000D3800000}"/>
    <cellStyle name="Normal 2 7 3 3 5 2 2" xfId="32977" xr:uid="{00000000-0005-0000-0000-0000D4800000}"/>
    <cellStyle name="Normal 2 7 3 3 5 3" xfId="32978" xr:uid="{00000000-0005-0000-0000-0000D5800000}"/>
    <cellStyle name="Normal 2 7 3 3 5 4" xfId="32979" xr:uid="{00000000-0005-0000-0000-0000D6800000}"/>
    <cellStyle name="Normal 2 7 3 3 5 5" xfId="32980" xr:uid="{00000000-0005-0000-0000-0000D7800000}"/>
    <cellStyle name="Normal 2 7 3 3 6" xfId="32981" xr:uid="{00000000-0005-0000-0000-0000D8800000}"/>
    <cellStyle name="Normal 2 7 3 3 6 2" xfId="32982" xr:uid="{00000000-0005-0000-0000-0000D9800000}"/>
    <cellStyle name="Normal 2 7 3 3 6 3" xfId="32983" xr:uid="{00000000-0005-0000-0000-0000DA800000}"/>
    <cellStyle name="Normal 2 7 3 3 6 4" xfId="32984" xr:uid="{00000000-0005-0000-0000-0000DB800000}"/>
    <cellStyle name="Normal 2 7 3 3 7" xfId="32985" xr:uid="{00000000-0005-0000-0000-0000DC800000}"/>
    <cellStyle name="Normal 2 7 3 3 7 2" xfId="32986" xr:uid="{00000000-0005-0000-0000-0000DD800000}"/>
    <cellStyle name="Normal 2 7 3 3 8" xfId="32987" xr:uid="{00000000-0005-0000-0000-0000DE800000}"/>
    <cellStyle name="Normal 2 7 3 3 9" xfId="32988" xr:uid="{00000000-0005-0000-0000-0000DF800000}"/>
    <cellStyle name="Normal 2 7 3 4" xfId="32989" xr:uid="{00000000-0005-0000-0000-0000E0800000}"/>
    <cellStyle name="Normal 2 7 3 4 10" xfId="32990" xr:uid="{00000000-0005-0000-0000-0000E1800000}"/>
    <cellStyle name="Normal 2 7 3 4 11" xfId="32991" xr:uid="{00000000-0005-0000-0000-0000E2800000}"/>
    <cellStyle name="Normal 2 7 3 4 2" xfId="32992" xr:uid="{00000000-0005-0000-0000-0000E3800000}"/>
    <cellStyle name="Normal 2 7 3 4 2 2" xfId="32993" xr:uid="{00000000-0005-0000-0000-0000E4800000}"/>
    <cellStyle name="Normal 2 7 3 4 2 2 2" xfId="32994" xr:uid="{00000000-0005-0000-0000-0000E5800000}"/>
    <cellStyle name="Normal 2 7 3 4 2 2 2 2" xfId="32995" xr:uid="{00000000-0005-0000-0000-0000E6800000}"/>
    <cellStyle name="Normal 2 7 3 4 2 2 2 3" xfId="32996" xr:uid="{00000000-0005-0000-0000-0000E7800000}"/>
    <cellStyle name="Normal 2 7 3 4 2 2 3" xfId="32997" xr:uid="{00000000-0005-0000-0000-0000E8800000}"/>
    <cellStyle name="Normal 2 7 3 4 2 2 4" xfId="32998" xr:uid="{00000000-0005-0000-0000-0000E9800000}"/>
    <cellStyle name="Normal 2 7 3 4 2 2 5" xfId="32999" xr:uid="{00000000-0005-0000-0000-0000EA800000}"/>
    <cellStyle name="Normal 2 7 3 4 2 2 6" xfId="33000" xr:uid="{00000000-0005-0000-0000-0000EB800000}"/>
    <cellStyle name="Normal 2 7 3 4 2 3" xfId="33001" xr:uid="{00000000-0005-0000-0000-0000EC800000}"/>
    <cellStyle name="Normal 2 7 3 4 2 3 2" xfId="33002" xr:uid="{00000000-0005-0000-0000-0000ED800000}"/>
    <cellStyle name="Normal 2 7 3 4 2 3 2 2" xfId="33003" xr:uid="{00000000-0005-0000-0000-0000EE800000}"/>
    <cellStyle name="Normal 2 7 3 4 2 3 3" xfId="33004" xr:uid="{00000000-0005-0000-0000-0000EF800000}"/>
    <cellStyle name="Normal 2 7 3 4 2 3 4" xfId="33005" xr:uid="{00000000-0005-0000-0000-0000F0800000}"/>
    <cellStyle name="Normal 2 7 3 4 2 3 5" xfId="33006" xr:uid="{00000000-0005-0000-0000-0000F1800000}"/>
    <cellStyle name="Normal 2 7 3 4 2 4" xfId="33007" xr:uid="{00000000-0005-0000-0000-0000F2800000}"/>
    <cellStyle name="Normal 2 7 3 4 2 4 2" xfId="33008" xr:uid="{00000000-0005-0000-0000-0000F3800000}"/>
    <cellStyle name="Normal 2 7 3 4 2 4 3" xfId="33009" xr:uid="{00000000-0005-0000-0000-0000F4800000}"/>
    <cellStyle name="Normal 2 7 3 4 2 4 4" xfId="33010" xr:uid="{00000000-0005-0000-0000-0000F5800000}"/>
    <cellStyle name="Normal 2 7 3 4 2 5" xfId="33011" xr:uid="{00000000-0005-0000-0000-0000F6800000}"/>
    <cellStyle name="Normal 2 7 3 4 2 5 2" xfId="33012" xr:uid="{00000000-0005-0000-0000-0000F7800000}"/>
    <cellStyle name="Normal 2 7 3 4 2 6" xfId="33013" xr:uid="{00000000-0005-0000-0000-0000F8800000}"/>
    <cellStyle name="Normal 2 7 3 4 2 7" xfId="33014" xr:uid="{00000000-0005-0000-0000-0000F9800000}"/>
    <cellStyle name="Normal 2 7 3 4 2 8" xfId="33015" xr:uid="{00000000-0005-0000-0000-0000FA800000}"/>
    <cellStyle name="Normal 2 7 3 4 2 9" xfId="33016" xr:uid="{00000000-0005-0000-0000-0000FB800000}"/>
    <cellStyle name="Normal 2 7 3 4 3" xfId="33017" xr:uid="{00000000-0005-0000-0000-0000FC800000}"/>
    <cellStyle name="Normal 2 7 3 4 3 2" xfId="33018" xr:uid="{00000000-0005-0000-0000-0000FD800000}"/>
    <cellStyle name="Normal 2 7 3 4 3 2 2" xfId="33019" xr:uid="{00000000-0005-0000-0000-0000FE800000}"/>
    <cellStyle name="Normal 2 7 3 4 3 2 2 2" xfId="33020" xr:uid="{00000000-0005-0000-0000-0000FF800000}"/>
    <cellStyle name="Normal 2 7 3 4 3 2 2 3" xfId="33021" xr:uid="{00000000-0005-0000-0000-000000810000}"/>
    <cellStyle name="Normal 2 7 3 4 3 2 3" xfId="33022" xr:uid="{00000000-0005-0000-0000-000001810000}"/>
    <cellStyle name="Normal 2 7 3 4 3 2 4" xfId="33023" xr:uid="{00000000-0005-0000-0000-000002810000}"/>
    <cellStyle name="Normal 2 7 3 4 3 2 5" xfId="33024" xr:uid="{00000000-0005-0000-0000-000003810000}"/>
    <cellStyle name="Normal 2 7 3 4 3 2 6" xfId="33025" xr:uid="{00000000-0005-0000-0000-000004810000}"/>
    <cellStyle name="Normal 2 7 3 4 3 3" xfId="33026" xr:uid="{00000000-0005-0000-0000-000005810000}"/>
    <cellStyle name="Normal 2 7 3 4 3 3 2" xfId="33027" xr:uid="{00000000-0005-0000-0000-000006810000}"/>
    <cellStyle name="Normal 2 7 3 4 3 3 2 2" xfId="33028" xr:uid="{00000000-0005-0000-0000-000007810000}"/>
    <cellStyle name="Normal 2 7 3 4 3 3 3" xfId="33029" xr:uid="{00000000-0005-0000-0000-000008810000}"/>
    <cellStyle name="Normal 2 7 3 4 3 3 4" xfId="33030" xr:uid="{00000000-0005-0000-0000-000009810000}"/>
    <cellStyle name="Normal 2 7 3 4 3 3 5" xfId="33031" xr:uid="{00000000-0005-0000-0000-00000A810000}"/>
    <cellStyle name="Normal 2 7 3 4 3 4" xfId="33032" xr:uid="{00000000-0005-0000-0000-00000B810000}"/>
    <cellStyle name="Normal 2 7 3 4 3 4 2" xfId="33033" xr:uid="{00000000-0005-0000-0000-00000C810000}"/>
    <cellStyle name="Normal 2 7 3 4 3 4 3" xfId="33034" xr:uid="{00000000-0005-0000-0000-00000D810000}"/>
    <cellStyle name="Normal 2 7 3 4 3 4 4" xfId="33035" xr:uid="{00000000-0005-0000-0000-00000E810000}"/>
    <cellStyle name="Normal 2 7 3 4 3 5" xfId="33036" xr:uid="{00000000-0005-0000-0000-00000F810000}"/>
    <cellStyle name="Normal 2 7 3 4 3 5 2" xfId="33037" xr:uid="{00000000-0005-0000-0000-000010810000}"/>
    <cellStyle name="Normal 2 7 3 4 3 6" xfId="33038" xr:uid="{00000000-0005-0000-0000-000011810000}"/>
    <cellStyle name="Normal 2 7 3 4 3 7" xfId="33039" xr:uid="{00000000-0005-0000-0000-000012810000}"/>
    <cellStyle name="Normal 2 7 3 4 3 8" xfId="33040" xr:uid="{00000000-0005-0000-0000-000013810000}"/>
    <cellStyle name="Normal 2 7 3 4 3 9" xfId="33041" xr:uid="{00000000-0005-0000-0000-000014810000}"/>
    <cellStyle name="Normal 2 7 3 4 4" xfId="33042" xr:uid="{00000000-0005-0000-0000-000015810000}"/>
    <cellStyle name="Normal 2 7 3 4 4 2" xfId="33043" xr:uid="{00000000-0005-0000-0000-000016810000}"/>
    <cellStyle name="Normal 2 7 3 4 4 2 2" xfId="33044" xr:uid="{00000000-0005-0000-0000-000017810000}"/>
    <cellStyle name="Normal 2 7 3 4 4 2 3" xfId="33045" xr:uid="{00000000-0005-0000-0000-000018810000}"/>
    <cellStyle name="Normal 2 7 3 4 4 3" xfId="33046" xr:uid="{00000000-0005-0000-0000-000019810000}"/>
    <cellStyle name="Normal 2 7 3 4 4 4" xfId="33047" xr:uid="{00000000-0005-0000-0000-00001A810000}"/>
    <cellStyle name="Normal 2 7 3 4 4 5" xfId="33048" xr:uid="{00000000-0005-0000-0000-00001B810000}"/>
    <cellStyle name="Normal 2 7 3 4 4 6" xfId="33049" xr:uid="{00000000-0005-0000-0000-00001C810000}"/>
    <cellStyle name="Normal 2 7 3 4 5" xfId="33050" xr:uid="{00000000-0005-0000-0000-00001D810000}"/>
    <cellStyle name="Normal 2 7 3 4 5 2" xfId="33051" xr:uid="{00000000-0005-0000-0000-00001E810000}"/>
    <cellStyle name="Normal 2 7 3 4 5 2 2" xfId="33052" xr:uid="{00000000-0005-0000-0000-00001F810000}"/>
    <cellStyle name="Normal 2 7 3 4 5 3" xfId="33053" xr:uid="{00000000-0005-0000-0000-000020810000}"/>
    <cellStyle name="Normal 2 7 3 4 5 4" xfId="33054" xr:uid="{00000000-0005-0000-0000-000021810000}"/>
    <cellStyle name="Normal 2 7 3 4 5 5" xfId="33055" xr:uid="{00000000-0005-0000-0000-000022810000}"/>
    <cellStyle name="Normal 2 7 3 4 6" xfId="33056" xr:uid="{00000000-0005-0000-0000-000023810000}"/>
    <cellStyle name="Normal 2 7 3 4 6 2" xfId="33057" xr:uid="{00000000-0005-0000-0000-000024810000}"/>
    <cellStyle name="Normal 2 7 3 4 6 3" xfId="33058" xr:uid="{00000000-0005-0000-0000-000025810000}"/>
    <cellStyle name="Normal 2 7 3 4 6 4" xfId="33059" xr:uid="{00000000-0005-0000-0000-000026810000}"/>
    <cellStyle name="Normal 2 7 3 4 7" xfId="33060" xr:uid="{00000000-0005-0000-0000-000027810000}"/>
    <cellStyle name="Normal 2 7 3 4 7 2" xfId="33061" xr:uid="{00000000-0005-0000-0000-000028810000}"/>
    <cellStyle name="Normal 2 7 3 4 8" xfId="33062" xr:uid="{00000000-0005-0000-0000-000029810000}"/>
    <cellStyle name="Normal 2 7 3 4 9" xfId="33063" xr:uid="{00000000-0005-0000-0000-00002A810000}"/>
    <cellStyle name="Normal 2 7 3 5" xfId="33064" xr:uid="{00000000-0005-0000-0000-00002B810000}"/>
    <cellStyle name="Normal 2 7 3 5 10" xfId="33065" xr:uid="{00000000-0005-0000-0000-00002C810000}"/>
    <cellStyle name="Normal 2 7 3 5 11" xfId="33066" xr:uid="{00000000-0005-0000-0000-00002D810000}"/>
    <cellStyle name="Normal 2 7 3 5 2" xfId="33067" xr:uid="{00000000-0005-0000-0000-00002E810000}"/>
    <cellStyle name="Normal 2 7 3 5 2 2" xfId="33068" xr:uid="{00000000-0005-0000-0000-00002F810000}"/>
    <cellStyle name="Normal 2 7 3 5 2 2 2" xfId="33069" xr:uid="{00000000-0005-0000-0000-000030810000}"/>
    <cellStyle name="Normal 2 7 3 5 2 2 2 2" xfId="33070" xr:uid="{00000000-0005-0000-0000-000031810000}"/>
    <cellStyle name="Normal 2 7 3 5 2 2 2 3" xfId="33071" xr:uid="{00000000-0005-0000-0000-000032810000}"/>
    <cellStyle name="Normal 2 7 3 5 2 2 3" xfId="33072" xr:uid="{00000000-0005-0000-0000-000033810000}"/>
    <cellStyle name="Normal 2 7 3 5 2 2 4" xfId="33073" xr:uid="{00000000-0005-0000-0000-000034810000}"/>
    <cellStyle name="Normal 2 7 3 5 2 2 5" xfId="33074" xr:uid="{00000000-0005-0000-0000-000035810000}"/>
    <cellStyle name="Normal 2 7 3 5 2 2 6" xfId="33075" xr:uid="{00000000-0005-0000-0000-000036810000}"/>
    <cellStyle name="Normal 2 7 3 5 2 3" xfId="33076" xr:uid="{00000000-0005-0000-0000-000037810000}"/>
    <cellStyle name="Normal 2 7 3 5 2 3 2" xfId="33077" xr:uid="{00000000-0005-0000-0000-000038810000}"/>
    <cellStyle name="Normal 2 7 3 5 2 3 2 2" xfId="33078" xr:uid="{00000000-0005-0000-0000-000039810000}"/>
    <cellStyle name="Normal 2 7 3 5 2 3 3" xfId="33079" xr:uid="{00000000-0005-0000-0000-00003A810000}"/>
    <cellStyle name="Normal 2 7 3 5 2 3 4" xfId="33080" xr:uid="{00000000-0005-0000-0000-00003B810000}"/>
    <cellStyle name="Normal 2 7 3 5 2 3 5" xfId="33081" xr:uid="{00000000-0005-0000-0000-00003C810000}"/>
    <cellStyle name="Normal 2 7 3 5 2 4" xfId="33082" xr:uid="{00000000-0005-0000-0000-00003D810000}"/>
    <cellStyle name="Normal 2 7 3 5 2 4 2" xfId="33083" xr:uid="{00000000-0005-0000-0000-00003E810000}"/>
    <cellStyle name="Normal 2 7 3 5 2 4 3" xfId="33084" xr:uid="{00000000-0005-0000-0000-00003F810000}"/>
    <cellStyle name="Normal 2 7 3 5 2 4 4" xfId="33085" xr:uid="{00000000-0005-0000-0000-000040810000}"/>
    <cellStyle name="Normal 2 7 3 5 2 5" xfId="33086" xr:uid="{00000000-0005-0000-0000-000041810000}"/>
    <cellStyle name="Normal 2 7 3 5 2 5 2" xfId="33087" xr:uid="{00000000-0005-0000-0000-000042810000}"/>
    <cellStyle name="Normal 2 7 3 5 2 6" xfId="33088" xr:uid="{00000000-0005-0000-0000-000043810000}"/>
    <cellStyle name="Normal 2 7 3 5 2 7" xfId="33089" xr:uid="{00000000-0005-0000-0000-000044810000}"/>
    <cellStyle name="Normal 2 7 3 5 2 8" xfId="33090" xr:uid="{00000000-0005-0000-0000-000045810000}"/>
    <cellStyle name="Normal 2 7 3 5 2 9" xfId="33091" xr:uid="{00000000-0005-0000-0000-000046810000}"/>
    <cellStyle name="Normal 2 7 3 5 3" xfId="33092" xr:uid="{00000000-0005-0000-0000-000047810000}"/>
    <cellStyle name="Normal 2 7 3 5 3 2" xfId="33093" xr:uid="{00000000-0005-0000-0000-000048810000}"/>
    <cellStyle name="Normal 2 7 3 5 3 2 2" xfId="33094" xr:uid="{00000000-0005-0000-0000-000049810000}"/>
    <cellStyle name="Normal 2 7 3 5 3 2 2 2" xfId="33095" xr:uid="{00000000-0005-0000-0000-00004A810000}"/>
    <cellStyle name="Normal 2 7 3 5 3 2 2 3" xfId="33096" xr:uid="{00000000-0005-0000-0000-00004B810000}"/>
    <cellStyle name="Normal 2 7 3 5 3 2 3" xfId="33097" xr:uid="{00000000-0005-0000-0000-00004C810000}"/>
    <cellStyle name="Normal 2 7 3 5 3 2 4" xfId="33098" xr:uid="{00000000-0005-0000-0000-00004D810000}"/>
    <cellStyle name="Normal 2 7 3 5 3 2 5" xfId="33099" xr:uid="{00000000-0005-0000-0000-00004E810000}"/>
    <cellStyle name="Normal 2 7 3 5 3 2 6" xfId="33100" xr:uid="{00000000-0005-0000-0000-00004F810000}"/>
    <cellStyle name="Normal 2 7 3 5 3 3" xfId="33101" xr:uid="{00000000-0005-0000-0000-000050810000}"/>
    <cellStyle name="Normal 2 7 3 5 3 3 2" xfId="33102" xr:uid="{00000000-0005-0000-0000-000051810000}"/>
    <cellStyle name="Normal 2 7 3 5 3 3 2 2" xfId="33103" xr:uid="{00000000-0005-0000-0000-000052810000}"/>
    <cellStyle name="Normal 2 7 3 5 3 3 3" xfId="33104" xr:uid="{00000000-0005-0000-0000-000053810000}"/>
    <cellStyle name="Normal 2 7 3 5 3 3 4" xfId="33105" xr:uid="{00000000-0005-0000-0000-000054810000}"/>
    <cellStyle name="Normal 2 7 3 5 3 3 5" xfId="33106" xr:uid="{00000000-0005-0000-0000-000055810000}"/>
    <cellStyle name="Normal 2 7 3 5 3 4" xfId="33107" xr:uid="{00000000-0005-0000-0000-000056810000}"/>
    <cellStyle name="Normal 2 7 3 5 3 4 2" xfId="33108" xr:uid="{00000000-0005-0000-0000-000057810000}"/>
    <cellStyle name="Normal 2 7 3 5 3 4 3" xfId="33109" xr:uid="{00000000-0005-0000-0000-000058810000}"/>
    <cellStyle name="Normal 2 7 3 5 3 4 4" xfId="33110" xr:uid="{00000000-0005-0000-0000-000059810000}"/>
    <cellStyle name="Normal 2 7 3 5 3 5" xfId="33111" xr:uid="{00000000-0005-0000-0000-00005A810000}"/>
    <cellStyle name="Normal 2 7 3 5 3 5 2" xfId="33112" xr:uid="{00000000-0005-0000-0000-00005B810000}"/>
    <cellStyle name="Normal 2 7 3 5 3 6" xfId="33113" xr:uid="{00000000-0005-0000-0000-00005C810000}"/>
    <cellStyle name="Normal 2 7 3 5 3 7" xfId="33114" xr:uid="{00000000-0005-0000-0000-00005D810000}"/>
    <cellStyle name="Normal 2 7 3 5 3 8" xfId="33115" xr:uid="{00000000-0005-0000-0000-00005E810000}"/>
    <cellStyle name="Normal 2 7 3 5 3 9" xfId="33116" xr:uid="{00000000-0005-0000-0000-00005F810000}"/>
    <cellStyle name="Normal 2 7 3 5 4" xfId="33117" xr:uid="{00000000-0005-0000-0000-000060810000}"/>
    <cellStyle name="Normal 2 7 3 5 4 2" xfId="33118" xr:uid="{00000000-0005-0000-0000-000061810000}"/>
    <cellStyle name="Normal 2 7 3 5 4 2 2" xfId="33119" xr:uid="{00000000-0005-0000-0000-000062810000}"/>
    <cellStyle name="Normal 2 7 3 5 4 2 3" xfId="33120" xr:uid="{00000000-0005-0000-0000-000063810000}"/>
    <cellStyle name="Normal 2 7 3 5 4 3" xfId="33121" xr:uid="{00000000-0005-0000-0000-000064810000}"/>
    <cellStyle name="Normal 2 7 3 5 4 4" xfId="33122" xr:uid="{00000000-0005-0000-0000-000065810000}"/>
    <cellStyle name="Normal 2 7 3 5 4 5" xfId="33123" xr:uid="{00000000-0005-0000-0000-000066810000}"/>
    <cellStyle name="Normal 2 7 3 5 4 6" xfId="33124" xr:uid="{00000000-0005-0000-0000-000067810000}"/>
    <cellStyle name="Normal 2 7 3 5 5" xfId="33125" xr:uid="{00000000-0005-0000-0000-000068810000}"/>
    <cellStyle name="Normal 2 7 3 5 5 2" xfId="33126" xr:uid="{00000000-0005-0000-0000-000069810000}"/>
    <cellStyle name="Normal 2 7 3 5 5 2 2" xfId="33127" xr:uid="{00000000-0005-0000-0000-00006A810000}"/>
    <cellStyle name="Normal 2 7 3 5 5 3" xfId="33128" xr:uid="{00000000-0005-0000-0000-00006B810000}"/>
    <cellStyle name="Normal 2 7 3 5 5 4" xfId="33129" xr:uid="{00000000-0005-0000-0000-00006C810000}"/>
    <cellStyle name="Normal 2 7 3 5 5 5" xfId="33130" xr:uid="{00000000-0005-0000-0000-00006D810000}"/>
    <cellStyle name="Normal 2 7 3 5 6" xfId="33131" xr:uid="{00000000-0005-0000-0000-00006E810000}"/>
    <cellStyle name="Normal 2 7 3 5 6 2" xfId="33132" xr:uid="{00000000-0005-0000-0000-00006F810000}"/>
    <cellStyle name="Normal 2 7 3 5 6 3" xfId="33133" xr:uid="{00000000-0005-0000-0000-000070810000}"/>
    <cellStyle name="Normal 2 7 3 5 6 4" xfId="33134" xr:uid="{00000000-0005-0000-0000-000071810000}"/>
    <cellStyle name="Normal 2 7 3 5 7" xfId="33135" xr:uid="{00000000-0005-0000-0000-000072810000}"/>
    <cellStyle name="Normal 2 7 3 5 7 2" xfId="33136" xr:uid="{00000000-0005-0000-0000-000073810000}"/>
    <cellStyle name="Normal 2 7 3 5 8" xfId="33137" xr:uid="{00000000-0005-0000-0000-000074810000}"/>
    <cellStyle name="Normal 2 7 3 5 9" xfId="33138" xr:uid="{00000000-0005-0000-0000-000075810000}"/>
    <cellStyle name="Normal 2 7 3 6" xfId="33139" xr:uid="{00000000-0005-0000-0000-000076810000}"/>
    <cellStyle name="Normal 2 7 3 6 10" xfId="33140" xr:uid="{00000000-0005-0000-0000-000077810000}"/>
    <cellStyle name="Normal 2 7 3 6 11" xfId="33141" xr:uid="{00000000-0005-0000-0000-000078810000}"/>
    <cellStyle name="Normal 2 7 3 6 2" xfId="33142" xr:uid="{00000000-0005-0000-0000-000079810000}"/>
    <cellStyle name="Normal 2 7 3 6 2 2" xfId="33143" xr:uid="{00000000-0005-0000-0000-00007A810000}"/>
    <cellStyle name="Normal 2 7 3 6 2 2 2" xfId="33144" xr:uid="{00000000-0005-0000-0000-00007B810000}"/>
    <cellStyle name="Normal 2 7 3 6 2 2 2 2" xfId="33145" xr:uid="{00000000-0005-0000-0000-00007C810000}"/>
    <cellStyle name="Normal 2 7 3 6 2 2 2 3" xfId="33146" xr:uid="{00000000-0005-0000-0000-00007D810000}"/>
    <cellStyle name="Normal 2 7 3 6 2 2 3" xfId="33147" xr:uid="{00000000-0005-0000-0000-00007E810000}"/>
    <cellStyle name="Normal 2 7 3 6 2 2 4" xfId="33148" xr:uid="{00000000-0005-0000-0000-00007F810000}"/>
    <cellStyle name="Normal 2 7 3 6 2 2 5" xfId="33149" xr:uid="{00000000-0005-0000-0000-000080810000}"/>
    <cellStyle name="Normal 2 7 3 6 2 2 6" xfId="33150" xr:uid="{00000000-0005-0000-0000-000081810000}"/>
    <cellStyle name="Normal 2 7 3 6 2 3" xfId="33151" xr:uid="{00000000-0005-0000-0000-000082810000}"/>
    <cellStyle name="Normal 2 7 3 6 2 3 2" xfId="33152" xr:uid="{00000000-0005-0000-0000-000083810000}"/>
    <cellStyle name="Normal 2 7 3 6 2 3 2 2" xfId="33153" xr:uid="{00000000-0005-0000-0000-000084810000}"/>
    <cellStyle name="Normal 2 7 3 6 2 3 3" xfId="33154" xr:uid="{00000000-0005-0000-0000-000085810000}"/>
    <cellStyle name="Normal 2 7 3 6 2 3 4" xfId="33155" xr:uid="{00000000-0005-0000-0000-000086810000}"/>
    <cellStyle name="Normal 2 7 3 6 2 3 5" xfId="33156" xr:uid="{00000000-0005-0000-0000-000087810000}"/>
    <cellStyle name="Normal 2 7 3 6 2 4" xfId="33157" xr:uid="{00000000-0005-0000-0000-000088810000}"/>
    <cellStyle name="Normal 2 7 3 6 2 4 2" xfId="33158" xr:uid="{00000000-0005-0000-0000-000089810000}"/>
    <cellStyle name="Normal 2 7 3 6 2 4 3" xfId="33159" xr:uid="{00000000-0005-0000-0000-00008A810000}"/>
    <cellStyle name="Normal 2 7 3 6 2 4 4" xfId="33160" xr:uid="{00000000-0005-0000-0000-00008B810000}"/>
    <cellStyle name="Normal 2 7 3 6 2 5" xfId="33161" xr:uid="{00000000-0005-0000-0000-00008C810000}"/>
    <cellStyle name="Normal 2 7 3 6 2 5 2" xfId="33162" xr:uid="{00000000-0005-0000-0000-00008D810000}"/>
    <cellStyle name="Normal 2 7 3 6 2 6" xfId="33163" xr:uid="{00000000-0005-0000-0000-00008E810000}"/>
    <cellStyle name="Normal 2 7 3 6 2 7" xfId="33164" xr:uid="{00000000-0005-0000-0000-00008F810000}"/>
    <cellStyle name="Normal 2 7 3 6 2 8" xfId="33165" xr:uid="{00000000-0005-0000-0000-000090810000}"/>
    <cellStyle name="Normal 2 7 3 6 2 9" xfId="33166" xr:uid="{00000000-0005-0000-0000-000091810000}"/>
    <cellStyle name="Normal 2 7 3 6 3" xfId="33167" xr:uid="{00000000-0005-0000-0000-000092810000}"/>
    <cellStyle name="Normal 2 7 3 6 3 2" xfId="33168" xr:uid="{00000000-0005-0000-0000-000093810000}"/>
    <cellStyle name="Normal 2 7 3 6 3 2 2" xfId="33169" xr:uid="{00000000-0005-0000-0000-000094810000}"/>
    <cellStyle name="Normal 2 7 3 6 3 2 2 2" xfId="33170" xr:uid="{00000000-0005-0000-0000-000095810000}"/>
    <cellStyle name="Normal 2 7 3 6 3 2 2 3" xfId="33171" xr:uid="{00000000-0005-0000-0000-000096810000}"/>
    <cellStyle name="Normal 2 7 3 6 3 2 3" xfId="33172" xr:uid="{00000000-0005-0000-0000-000097810000}"/>
    <cellStyle name="Normal 2 7 3 6 3 2 4" xfId="33173" xr:uid="{00000000-0005-0000-0000-000098810000}"/>
    <cellStyle name="Normal 2 7 3 6 3 2 5" xfId="33174" xr:uid="{00000000-0005-0000-0000-000099810000}"/>
    <cellStyle name="Normal 2 7 3 6 3 2 6" xfId="33175" xr:uid="{00000000-0005-0000-0000-00009A810000}"/>
    <cellStyle name="Normal 2 7 3 6 3 3" xfId="33176" xr:uid="{00000000-0005-0000-0000-00009B810000}"/>
    <cellStyle name="Normal 2 7 3 6 3 3 2" xfId="33177" xr:uid="{00000000-0005-0000-0000-00009C810000}"/>
    <cellStyle name="Normal 2 7 3 6 3 3 2 2" xfId="33178" xr:uid="{00000000-0005-0000-0000-00009D810000}"/>
    <cellStyle name="Normal 2 7 3 6 3 3 3" xfId="33179" xr:uid="{00000000-0005-0000-0000-00009E810000}"/>
    <cellStyle name="Normal 2 7 3 6 3 3 4" xfId="33180" xr:uid="{00000000-0005-0000-0000-00009F810000}"/>
    <cellStyle name="Normal 2 7 3 6 3 3 5" xfId="33181" xr:uid="{00000000-0005-0000-0000-0000A0810000}"/>
    <cellStyle name="Normal 2 7 3 6 3 4" xfId="33182" xr:uid="{00000000-0005-0000-0000-0000A1810000}"/>
    <cellStyle name="Normal 2 7 3 6 3 4 2" xfId="33183" xr:uid="{00000000-0005-0000-0000-0000A2810000}"/>
    <cellStyle name="Normal 2 7 3 6 3 4 3" xfId="33184" xr:uid="{00000000-0005-0000-0000-0000A3810000}"/>
    <cellStyle name="Normal 2 7 3 6 3 4 4" xfId="33185" xr:uid="{00000000-0005-0000-0000-0000A4810000}"/>
    <cellStyle name="Normal 2 7 3 6 3 5" xfId="33186" xr:uid="{00000000-0005-0000-0000-0000A5810000}"/>
    <cellStyle name="Normal 2 7 3 6 3 5 2" xfId="33187" xr:uid="{00000000-0005-0000-0000-0000A6810000}"/>
    <cellStyle name="Normal 2 7 3 6 3 6" xfId="33188" xr:uid="{00000000-0005-0000-0000-0000A7810000}"/>
    <cellStyle name="Normal 2 7 3 6 3 7" xfId="33189" xr:uid="{00000000-0005-0000-0000-0000A8810000}"/>
    <cellStyle name="Normal 2 7 3 6 3 8" xfId="33190" xr:uid="{00000000-0005-0000-0000-0000A9810000}"/>
    <cellStyle name="Normal 2 7 3 6 3 9" xfId="33191" xr:uid="{00000000-0005-0000-0000-0000AA810000}"/>
    <cellStyle name="Normal 2 7 3 6 4" xfId="33192" xr:uid="{00000000-0005-0000-0000-0000AB810000}"/>
    <cellStyle name="Normal 2 7 3 6 4 2" xfId="33193" xr:uid="{00000000-0005-0000-0000-0000AC810000}"/>
    <cellStyle name="Normal 2 7 3 6 4 2 2" xfId="33194" xr:uid="{00000000-0005-0000-0000-0000AD810000}"/>
    <cellStyle name="Normal 2 7 3 6 4 2 3" xfId="33195" xr:uid="{00000000-0005-0000-0000-0000AE810000}"/>
    <cellStyle name="Normal 2 7 3 6 4 3" xfId="33196" xr:uid="{00000000-0005-0000-0000-0000AF810000}"/>
    <cellStyle name="Normal 2 7 3 6 4 4" xfId="33197" xr:uid="{00000000-0005-0000-0000-0000B0810000}"/>
    <cellStyle name="Normal 2 7 3 6 4 5" xfId="33198" xr:uid="{00000000-0005-0000-0000-0000B1810000}"/>
    <cellStyle name="Normal 2 7 3 6 4 6" xfId="33199" xr:uid="{00000000-0005-0000-0000-0000B2810000}"/>
    <cellStyle name="Normal 2 7 3 6 5" xfId="33200" xr:uid="{00000000-0005-0000-0000-0000B3810000}"/>
    <cellStyle name="Normal 2 7 3 6 5 2" xfId="33201" xr:uid="{00000000-0005-0000-0000-0000B4810000}"/>
    <cellStyle name="Normal 2 7 3 6 5 2 2" xfId="33202" xr:uid="{00000000-0005-0000-0000-0000B5810000}"/>
    <cellStyle name="Normal 2 7 3 6 5 3" xfId="33203" xr:uid="{00000000-0005-0000-0000-0000B6810000}"/>
    <cellStyle name="Normal 2 7 3 6 5 4" xfId="33204" xr:uid="{00000000-0005-0000-0000-0000B7810000}"/>
    <cellStyle name="Normal 2 7 3 6 5 5" xfId="33205" xr:uid="{00000000-0005-0000-0000-0000B8810000}"/>
    <cellStyle name="Normal 2 7 3 6 6" xfId="33206" xr:uid="{00000000-0005-0000-0000-0000B9810000}"/>
    <cellStyle name="Normal 2 7 3 6 6 2" xfId="33207" xr:uid="{00000000-0005-0000-0000-0000BA810000}"/>
    <cellStyle name="Normal 2 7 3 6 6 3" xfId="33208" xr:uid="{00000000-0005-0000-0000-0000BB810000}"/>
    <cellStyle name="Normal 2 7 3 6 6 4" xfId="33209" xr:uid="{00000000-0005-0000-0000-0000BC810000}"/>
    <cellStyle name="Normal 2 7 3 6 7" xfId="33210" xr:uid="{00000000-0005-0000-0000-0000BD810000}"/>
    <cellStyle name="Normal 2 7 3 6 7 2" xfId="33211" xr:uid="{00000000-0005-0000-0000-0000BE810000}"/>
    <cellStyle name="Normal 2 7 3 6 8" xfId="33212" xr:uid="{00000000-0005-0000-0000-0000BF810000}"/>
    <cellStyle name="Normal 2 7 3 6 9" xfId="33213" xr:uid="{00000000-0005-0000-0000-0000C0810000}"/>
    <cellStyle name="Normal 2 7 3 7" xfId="33214" xr:uid="{00000000-0005-0000-0000-0000C1810000}"/>
    <cellStyle name="Normal 2 7 3 7 10" xfId="33215" xr:uid="{00000000-0005-0000-0000-0000C2810000}"/>
    <cellStyle name="Normal 2 7 3 7 11" xfId="33216" xr:uid="{00000000-0005-0000-0000-0000C3810000}"/>
    <cellStyle name="Normal 2 7 3 7 2" xfId="33217" xr:uid="{00000000-0005-0000-0000-0000C4810000}"/>
    <cellStyle name="Normal 2 7 3 7 2 2" xfId="33218" xr:uid="{00000000-0005-0000-0000-0000C5810000}"/>
    <cellStyle name="Normal 2 7 3 7 2 2 2" xfId="33219" xr:uid="{00000000-0005-0000-0000-0000C6810000}"/>
    <cellStyle name="Normal 2 7 3 7 2 2 2 2" xfId="33220" xr:uid="{00000000-0005-0000-0000-0000C7810000}"/>
    <cellStyle name="Normal 2 7 3 7 2 2 2 3" xfId="33221" xr:uid="{00000000-0005-0000-0000-0000C8810000}"/>
    <cellStyle name="Normal 2 7 3 7 2 2 3" xfId="33222" xr:uid="{00000000-0005-0000-0000-0000C9810000}"/>
    <cellStyle name="Normal 2 7 3 7 2 2 4" xfId="33223" xr:uid="{00000000-0005-0000-0000-0000CA810000}"/>
    <cellStyle name="Normal 2 7 3 7 2 2 5" xfId="33224" xr:uid="{00000000-0005-0000-0000-0000CB810000}"/>
    <cellStyle name="Normal 2 7 3 7 2 2 6" xfId="33225" xr:uid="{00000000-0005-0000-0000-0000CC810000}"/>
    <cellStyle name="Normal 2 7 3 7 2 3" xfId="33226" xr:uid="{00000000-0005-0000-0000-0000CD810000}"/>
    <cellStyle name="Normal 2 7 3 7 2 3 2" xfId="33227" xr:uid="{00000000-0005-0000-0000-0000CE810000}"/>
    <cellStyle name="Normal 2 7 3 7 2 3 2 2" xfId="33228" xr:uid="{00000000-0005-0000-0000-0000CF810000}"/>
    <cellStyle name="Normal 2 7 3 7 2 3 3" xfId="33229" xr:uid="{00000000-0005-0000-0000-0000D0810000}"/>
    <cellStyle name="Normal 2 7 3 7 2 3 4" xfId="33230" xr:uid="{00000000-0005-0000-0000-0000D1810000}"/>
    <cellStyle name="Normal 2 7 3 7 2 3 5" xfId="33231" xr:uid="{00000000-0005-0000-0000-0000D2810000}"/>
    <cellStyle name="Normal 2 7 3 7 2 4" xfId="33232" xr:uid="{00000000-0005-0000-0000-0000D3810000}"/>
    <cellStyle name="Normal 2 7 3 7 2 4 2" xfId="33233" xr:uid="{00000000-0005-0000-0000-0000D4810000}"/>
    <cellStyle name="Normal 2 7 3 7 2 4 3" xfId="33234" xr:uid="{00000000-0005-0000-0000-0000D5810000}"/>
    <cellStyle name="Normal 2 7 3 7 2 4 4" xfId="33235" xr:uid="{00000000-0005-0000-0000-0000D6810000}"/>
    <cellStyle name="Normal 2 7 3 7 2 5" xfId="33236" xr:uid="{00000000-0005-0000-0000-0000D7810000}"/>
    <cellStyle name="Normal 2 7 3 7 2 5 2" xfId="33237" xr:uid="{00000000-0005-0000-0000-0000D8810000}"/>
    <cellStyle name="Normal 2 7 3 7 2 6" xfId="33238" xr:uid="{00000000-0005-0000-0000-0000D9810000}"/>
    <cellStyle name="Normal 2 7 3 7 2 7" xfId="33239" xr:uid="{00000000-0005-0000-0000-0000DA810000}"/>
    <cellStyle name="Normal 2 7 3 7 2 8" xfId="33240" xr:uid="{00000000-0005-0000-0000-0000DB810000}"/>
    <cellStyle name="Normal 2 7 3 7 2 9" xfId="33241" xr:uid="{00000000-0005-0000-0000-0000DC810000}"/>
    <cellStyle name="Normal 2 7 3 7 3" xfId="33242" xr:uid="{00000000-0005-0000-0000-0000DD810000}"/>
    <cellStyle name="Normal 2 7 3 7 3 2" xfId="33243" xr:uid="{00000000-0005-0000-0000-0000DE810000}"/>
    <cellStyle name="Normal 2 7 3 7 3 2 2" xfId="33244" xr:uid="{00000000-0005-0000-0000-0000DF810000}"/>
    <cellStyle name="Normal 2 7 3 7 3 2 2 2" xfId="33245" xr:uid="{00000000-0005-0000-0000-0000E0810000}"/>
    <cellStyle name="Normal 2 7 3 7 3 2 2 3" xfId="33246" xr:uid="{00000000-0005-0000-0000-0000E1810000}"/>
    <cellStyle name="Normal 2 7 3 7 3 2 3" xfId="33247" xr:uid="{00000000-0005-0000-0000-0000E2810000}"/>
    <cellStyle name="Normal 2 7 3 7 3 2 4" xfId="33248" xr:uid="{00000000-0005-0000-0000-0000E3810000}"/>
    <cellStyle name="Normal 2 7 3 7 3 2 5" xfId="33249" xr:uid="{00000000-0005-0000-0000-0000E4810000}"/>
    <cellStyle name="Normal 2 7 3 7 3 2 6" xfId="33250" xr:uid="{00000000-0005-0000-0000-0000E5810000}"/>
    <cellStyle name="Normal 2 7 3 7 3 3" xfId="33251" xr:uid="{00000000-0005-0000-0000-0000E6810000}"/>
    <cellStyle name="Normal 2 7 3 7 3 3 2" xfId="33252" xr:uid="{00000000-0005-0000-0000-0000E7810000}"/>
    <cellStyle name="Normal 2 7 3 7 3 3 2 2" xfId="33253" xr:uid="{00000000-0005-0000-0000-0000E8810000}"/>
    <cellStyle name="Normal 2 7 3 7 3 3 3" xfId="33254" xr:uid="{00000000-0005-0000-0000-0000E9810000}"/>
    <cellStyle name="Normal 2 7 3 7 3 3 4" xfId="33255" xr:uid="{00000000-0005-0000-0000-0000EA810000}"/>
    <cellStyle name="Normal 2 7 3 7 3 3 5" xfId="33256" xr:uid="{00000000-0005-0000-0000-0000EB810000}"/>
    <cellStyle name="Normal 2 7 3 7 3 4" xfId="33257" xr:uid="{00000000-0005-0000-0000-0000EC810000}"/>
    <cellStyle name="Normal 2 7 3 7 3 4 2" xfId="33258" xr:uid="{00000000-0005-0000-0000-0000ED810000}"/>
    <cellStyle name="Normal 2 7 3 7 3 4 3" xfId="33259" xr:uid="{00000000-0005-0000-0000-0000EE810000}"/>
    <cellStyle name="Normal 2 7 3 7 3 4 4" xfId="33260" xr:uid="{00000000-0005-0000-0000-0000EF810000}"/>
    <cellStyle name="Normal 2 7 3 7 3 5" xfId="33261" xr:uid="{00000000-0005-0000-0000-0000F0810000}"/>
    <cellStyle name="Normal 2 7 3 7 3 5 2" xfId="33262" xr:uid="{00000000-0005-0000-0000-0000F1810000}"/>
    <cellStyle name="Normal 2 7 3 7 3 6" xfId="33263" xr:uid="{00000000-0005-0000-0000-0000F2810000}"/>
    <cellStyle name="Normal 2 7 3 7 3 7" xfId="33264" xr:uid="{00000000-0005-0000-0000-0000F3810000}"/>
    <cellStyle name="Normal 2 7 3 7 3 8" xfId="33265" xr:uid="{00000000-0005-0000-0000-0000F4810000}"/>
    <cellStyle name="Normal 2 7 3 7 3 9" xfId="33266" xr:uid="{00000000-0005-0000-0000-0000F5810000}"/>
    <cellStyle name="Normal 2 7 3 7 4" xfId="33267" xr:uid="{00000000-0005-0000-0000-0000F6810000}"/>
    <cellStyle name="Normal 2 7 3 7 4 2" xfId="33268" xr:uid="{00000000-0005-0000-0000-0000F7810000}"/>
    <cellStyle name="Normal 2 7 3 7 4 2 2" xfId="33269" xr:uid="{00000000-0005-0000-0000-0000F8810000}"/>
    <cellStyle name="Normal 2 7 3 7 4 2 3" xfId="33270" xr:uid="{00000000-0005-0000-0000-0000F9810000}"/>
    <cellStyle name="Normal 2 7 3 7 4 3" xfId="33271" xr:uid="{00000000-0005-0000-0000-0000FA810000}"/>
    <cellStyle name="Normal 2 7 3 7 4 4" xfId="33272" xr:uid="{00000000-0005-0000-0000-0000FB810000}"/>
    <cellStyle name="Normal 2 7 3 7 4 5" xfId="33273" xr:uid="{00000000-0005-0000-0000-0000FC810000}"/>
    <cellStyle name="Normal 2 7 3 7 4 6" xfId="33274" xr:uid="{00000000-0005-0000-0000-0000FD810000}"/>
    <cellStyle name="Normal 2 7 3 7 5" xfId="33275" xr:uid="{00000000-0005-0000-0000-0000FE810000}"/>
    <cellStyle name="Normal 2 7 3 7 5 2" xfId="33276" xr:uid="{00000000-0005-0000-0000-0000FF810000}"/>
    <cellStyle name="Normal 2 7 3 7 5 2 2" xfId="33277" xr:uid="{00000000-0005-0000-0000-000000820000}"/>
    <cellStyle name="Normal 2 7 3 7 5 3" xfId="33278" xr:uid="{00000000-0005-0000-0000-000001820000}"/>
    <cellStyle name="Normal 2 7 3 7 5 4" xfId="33279" xr:uid="{00000000-0005-0000-0000-000002820000}"/>
    <cellStyle name="Normal 2 7 3 7 5 5" xfId="33280" xr:uid="{00000000-0005-0000-0000-000003820000}"/>
    <cellStyle name="Normal 2 7 3 7 6" xfId="33281" xr:uid="{00000000-0005-0000-0000-000004820000}"/>
    <cellStyle name="Normal 2 7 3 7 6 2" xfId="33282" xr:uid="{00000000-0005-0000-0000-000005820000}"/>
    <cellStyle name="Normal 2 7 3 7 6 3" xfId="33283" xr:uid="{00000000-0005-0000-0000-000006820000}"/>
    <cellStyle name="Normal 2 7 3 7 6 4" xfId="33284" xr:uid="{00000000-0005-0000-0000-000007820000}"/>
    <cellStyle name="Normal 2 7 3 7 7" xfId="33285" xr:uid="{00000000-0005-0000-0000-000008820000}"/>
    <cellStyle name="Normal 2 7 3 7 7 2" xfId="33286" xr:uid="{00000000-0005-0000-0000-000009820000}"/>
    <cellStyle name="Normal 2 7 3 7 8" xfId="33287" xr:uid="{00000000-0005-0000-0000-00000A820000}"/>
    <cellStyle name="Normal 2 7 3 7 9" xfId="33288" xr:uid="{00000000-0005-0000-0000-00000B820000}"/>
    <cellStyle name="Normal 2 7 3 8" xfId="33289" xr:uid="{00000000-0005-0000-0000-00000C820000}"/>
    <cellStyle name="Normal 2 7 3 8 10" xfId="33290" xr:uid="{00000000-0005-0000-0000-00000D820000}"/>
    <cellStyle name="Normal 2 7 3 8 2" xfId="33291" xr:uid="{00000000-0005-0000-0000-00000E820000}"/>
    <cellStyle name="Normal 2 7 3 8 2 2" xfId="33292" xr:uid="{00000000-0005-0000-0000-00000F820000}"/>
    <cellStyle name="Normal 2 7 3 8 2 2 2" xfId="33293" xr:uid="{00000000-0005-0000-0000-000010820000}"/>
    <cellStyle name="Normal 2 7 3 8 2 2 3" xfId="33294" xr:uid="{00000000-0005-0000-0000-000011820000}"/>
    <cellStyle name="Normal 2 7 3 8 2 3" xfId="33295" xr:uid="{00000000-0005-0000-0000-000012820000}"/>
    <cellStyle name="Normal 2 7 3 8 2 4" xfId="33296" xr:uid="{00000000-0005-0000-0000-000013820000}"/>
    <cellStyle name="Normal 2 7 3 8 2 5" xfId="33297" xr:uid="{00000000-0005-0000-0000-000014820000}"/>
    <cellStyle name="Normal 2 7 3 8 2 6" xfId="33298" xr:uid="{00000000-0005-0000-0000-000015820000}"/>
    <cellStyle name="Normal 2 7 3 8 3" xfId="33299" xr:uid="{00000000-0005-0000-0000-000016820000}"/>
    <cellStyle name="Normal 2 7 3 8 3 2" xfId="33300" xr:uid="{00000000-0005-0000-0000-000017820000}"/>
    <cellStyle name="Normal 2 7 3 8 3 2 2" xfId="33301" xr:uid="{00000000-0005-0000-0000-000018820000}"/>
    <cellStyle name="Normal 2 7 3 8 3 2 3" xfId="33302" xr:uid="{00000000-0005-0000-0000-000019820000}"/>
    <cellStyle name="Normal 2 7 3 8 3 3" xfId="33303" xr:uid="{00000000-0005-0000-0000-00001A820000}"/>
    <cellStyle name="Normal 2 7 3 8 3 4" xfId="33304" xr:uid="{00000000-0005-0000-0000-00001B820000}"/>
    <cellStyle name="Normal 2 7 3 8 3 5" xfId="33305" xr:uid="{00000000-0005-0000-0000-00001C820000}"/>
    <cellStyle name="Normal 2 7 3 8 3 6" xfId="33306" xr:uid="{00000000-0005-0000-0000-00001D820000}"/>
    <cellStyle name="Normal 2 7 3 8 4" xfId="33307" xr:uid="{00000000-0005-0000-0000-00001E820000}"/>
    <cellStyle name="Normal 2 7 3 8 4 2" xfId="33308" xr:uid="{00000000-0005-0000-0000-00001F820000}"/>
    <cellStyle name="Normal 2 7 3 8 4 2 2" xfId="33309" xr:uid="{00000000-0005-0000-0000-000020820000}"/>
    <cellStyle name="Normal 2 7 3 8 4 3" xfId="33310" xr:uid="{00000000-0005-0000-0000-000021820000}"/>
    <cellStyle name="Normal 2 7 3 8 4 4" xfId="33311" xr:uid="{00000000-0005-0000-0000-000022820000}"/>
    <cellStyle name="Normal 2 7 3 8 4 5" xfId="33312" xr:uid="{00000000-0005-0000-0000-000023820000}"/>
    <cellStyle name="Normal 2 7 3 8 5" xfId="33313" xr:uid="{00000000-0005-0000-0000-000024820000}"/>
    <cellStyle name="Normal 2 7 3 8 5 2" xfId="33314" xr:uid="{00000000-0005-0000-0000-000025820000}"/>
    <cellStyle name="Normal 2 7 3 8 5 3" xfId="33315" xr:uid="{00000000-0005-0000-0000-000026820000}"/>
    <cellStyle name="Normal 2 7 3 8 5 4" xfId="33316" xr:uid="{00000000-0005-0000-0000-000027820000}"/>
    <cellStyle name="Normal 2 7 3 8 6" xfId="33317" xr:uid="{00000000-0005-0000-0000-000028820000}"/>
    <cellStyle name="Normal 2 7 3 8 6 2" xfId="33318" xr:uid="{00000000-0005-0000-0000-000029820000}"/>
    <cellStyle name="Normal 2 7 3 8 7" xfId="33319" xr:uid="{00000000-0005-0000-0000-00002A820000}"/>
    <cellStyle name="Normal 2 7 3 8 8" xfId="33320" xr:uid="{00000000-0005-0000-0000-00002B820000}"/>
    <cellStyle name="Normal 2 7 3 8 9" xfId="33321" xr:uid="{00000000-0005-0000-0000-00002C820000}"/>
    <cellStyle name="Normal 2 7 3 9" xfId="33322" xr:uid="{00000000-0005-0000-0000-00002D820000}"/>
    <cellStyle name="Normal 2 7 3 9 10" xfId="33323" xr:uid="{00000000-0005-0000-0000-00002E820000}"/>
    <cellStyle name="Normal 2 7 3 9 2" xfId="33324" xr:uid="{00000000-0005-0000-0000-00002F820000}"/>
    <cellStyle name="Normal 2 7 3 9 2 2" xfId="33325" xr:uid="{00000000-0005-0000-0000-000030820000}"/>
    <cellStyle name="Normal 2 7 3 9 2 2 2" xfId="33326" xr:uid="{00000000-0005-0000-0000-000031820000}"/>
    <cellStyle name="Normal 2 7 3 9 2 2 3" xfId="33327" xr:uid="{00000000-0005-0000-0000-000032820000}"/>
    <cellStyle name="Normal 2 7 3 9 2 3" xfId="33328" xr:uid="{00000000-0005-0000-0000-000033820000}"/>
    <cellStyle name="Normal 2 7 3 9 2 4" xfId="33329" xr:uid="{00000000-0005-0000-0000-000034820000}"/>
    <cellStyle name="Normal 2 7 3 9 2 5" xfId="33330" xr:uid="{00000000-0005-0000-0000-000035820000}"/>
    <cellStyle name="Normal 2 7 3 9 2 6" xfId="33331" xr:uid="{00000000-0005-0000-0000-000036820000}"/>
    <cellStyle name="Normal 2 7 3 9 3" xfId="33332" xr:uid="{00000000-0005-0000-0000-000037820000}"/>
    <cellStyle name="Normal 2 7 3 9 3 2" xfId="33333" xr:uid="{00000000-0005-0000-0000-000038820000}"/>
    <cellStyle name="Normal 2 7 3 9 3 2 2" xfId="33334" xr:uid="{00000000-0005-0000-0000-000039820000}"/>
    <cellStyle name="Normal 2 7 3 9 3 2 3" xfId="33335" xr:uid="{00000000-0005-0000-0000-00003A820000}"/>
    <cellStyle name="Normal 2 7 3 9 3 3" xfId="33336" xr:uid="{00000000-0005-0000-0000-00003B820000}"/>
    <cellStyle name="Normal 2 7 3 9 3 4" xfId="33337" xr:uid="{00000000-0005-0000-0000-00003C820000}"/>
    <cellStyle name="Normal 2 7 3 9 3 5" xfId="33338" xr:uid="{00000000-0005-0000-0000-00003D820000}"/>
    <cellStyle name="Normal 2 7 3 9 3 6" xfId="33339" xr:uid="{00000000-0005-0000-0000-00003E820000}"/>
    <cellStyle name="Normal 2 7 3 9 4" xfId="33340" xr:uid="{00000000-0005-0000-0000-00003F820000}"/>
    <cellStyle name="Normal 2 7 3 9 4 2" xfId="33341" xr:uid="{00000000-0005-0000-0000-000040820000}"/>
    <cellStyle name="Normal 2 7 3 9 4 2 2" xfId="33342" xr:uid="{00000000-0005-0000-0000-000041820000}"/>
    <cellStyle name="Normal 2 7 3 9 4 3" xfId="33343" xr:uid="{00000000-0005-0000-0000-000042820000}"/>
    <cellStyle name="Normal 2 7 3 9 4 4" xfId="33344" xr:uid="{00000000-0005-0000-0000-000043820000}"/>
    <cellStyle name="Normal 2 7 3 9 4 5" xfId="33345" xr:uid="{00000000-0005-0000-0000-000044820000}"/>
    <cellStyle name="Normal 2 7 3 9 5" xfId="33346" xr:uid="{00000000-0005-0000-0000-000045820000}"/>
    <cellStyle name="Normal 2 7 3 9 5 2" xfId="33347" xr:uid="{00000000-0005-0000-0000-000046820000}"/>
    <cellStyle name="Normal 2 7 3 9 5 3" xfId="33348" xr:uid="{00000000-0005-0000-0000-000047820000}"/>
    <cellStyle name="Normal 2 7 3 9 5 4" xfId="33349" xr:uid="{00000000-0005-0000-0000-000048820000}"/>
    <cellStyle name="Normal 2 7 3 9 6" xfId="33350" xr:uid="{00000000-0005-0000-0000-000049820000}"/>
    <cellStyle name="Normal 2 7 3 9 6 2" xfId="33351" xr:uid="{00000000-0005-0000-0000-00004A820000}"/>
    <cellStyle name="Normal 2 7 3 9 7" xfId="33352" xr:uid="{00000000-0005-0000-0000-00004B820000}"/>
    <cellStyle name="Normal 2 7 3 9 8" xfId="33353" xr:uid="{00000000-0005-0000-0000-00004C820000}"/>
    <cellStyle name="Normal 2 7 3 9 9" xfId="33354" xr:uid="{00000000-0005-0000-0000-00004D820000}"/>
    <cellStyle name="Normal 2 7 30" xfId="33355" xr:uid="{00000000-0005-0000-0000-00004E820000}"/>
    <cellStyle name="Normal 2 7 30 2" xfId="33356" xr:uid="{00000000-0005-0000-0000-00004F820000}"/>
    <cellStyle name="Normal 2 7 30 2 2" xfId="33357" xr:uid="{00000000-0005-0000-0000-000050820000}"/>
    <cellStyle name="Normal 2 7 30 2 2 2" xfId="33358" xr:uid="{00000000-0005-0000-0000-000051820000}"/>
    <cellStyle name="Normal 2 7 30 2 2 3" xfId="33359" xr:uid="{00000000-0005-0000-0000-000052820000}"/>
    <cellStyle name="Normal 2 7 30 2 3" xfId="33360" xr:uid="{00000000-0005-0000-0000-000053820000}"/>
    <cellStyle name="Normal 2 7 30 2 4" xfId="33361" xr:uid="{00000000-0005-0000-0000-000054820000}"/>
    <cellStyle name="Normal 2 7 30 2 5" xfId="33362" xr:uid="{00000000-0005-0000-0000-000055820000}"/>
    <cellStyle name="Normal 2 7 30 2 6" xfId="33363" xr:uid="{00000000-0005-0000-0000-000056820000}"/>
    <cellStyle name="Normal 2 7 30 3" xfId="33364" xr:uid="{00000000-0005-0000-0000-000057820000}"/>
    <cellStyle name="Normal 2 7 30 3 2" xfId="33365" xr:uid="{00000000-0005-0000-0000-000058820000}"/>
    <cellStyle name="Normal 2 7 30 3 2 2" xfId="33366" xr:uid="{00000000-0005-0000-0000-000059820000}"/>
    <cellStyle name="Normal 2 7 30 3 3" xfId="33367" xr:uid="{00000000-0005-0000-0000-00005A820000}"/>
    <cellStyle name="Normal 2 7 30 3 4" xfId="33368" xr:uid="{00000000-0005-0000-0000-00005B820000}"/>
    <cellStyle name="Normal 2 7 30 3 5" xfId="33369" xr:uid="{00000000-0005-0000-0000-00005C820000}"/>
    <cellStyle name="Normal 2 7 30 4" xfId="33370" xr:uid="{00000000-0005-0000-0000-00005D820000}"/>
    <cellStyle name="Normal 2 7 30 4 2" xfId="33371" xr:uid="{00000000-0005-0000-0000-00005E820000}"/>
    <cellStyle name="Normal 2 7 30 4 3" xfId="33372" xr:uid="{00000000-0005-0000-0000-00005F820000}"/>
    <cellStyle name="Normal 2 7 30 4 4" xfId="33373" xr:uid="{00000000-0005-0000-0000-000060820000}"/>
    <cellStyle name="Normal 2 7 30 5" xfId="33374" xr:uid="{00000000-0005-0000-0000-000061820000}"/>
    <cellStyle name="Normal 2 7 30 5 2" xfId="33375" xr:uid="{00000000-0005-0000-0000-000062820000}"/>
    <cellStyle name="Normal 2 7 30 6" xfId="33376" xr:uid="{00000000-0005-0000-0000-000063820000}"/>
    <cellStyle name="Normal 2 7 30 7" xfId="33377" xr:uid="{00000000-0005-0000-0000-000064820000}"/>
    <cellStyle name="Normal 2 7 30 8" xfId="33378" xr:uid="{00000000-0005-0000-0000-000065820000}"/>
    <cellStyle name="Normal 2 7 30 9" xfId="33379" xr:uid="{00000000-0005-0000-0000-000066820000}"/>
    <cellStyle name="Normal 2 7 31" xfId="33380" xr:uid="{00000000-0005-0000-0000-000067820000}"/>
    <cellStyle name="Normal 2 7 31 2" xfId="33381" xr:uid="{00000000-0005-0000-0000-000068820000}"/>
    <cellStyle name="Normal 2 7 31 2 2" xfId="33382" xr:uid="{00000000-0005-0000-0000-000069820000}"/>
    <cellStyle name="Normal 2 7 31 2 2 2" xfId="33383" xr:uid="{00000000-0005-0000-0000-00006A820000}"/>
    <cellStyle name="Normal 2 7 31 2 2 3" xfId="33384" xr:uid="{00000000-0005-0000-0000-00006B820000}"/>
    <cellStyle name="Normal 2 7 31 2 3" xfId="33385" xr:uid="{00000000-0005-0000-0000-00006C820000}"/>
    <cellStyle name="Normal 2 7 31 2 4" xfId="33386" xr:uid="{00000000-0005-0000-0000-00006D820000}"/>
    <cellStyle name="Normal 2 7 31 2 5" xfId="33387" xr:uid="{00000000-0005-0000-0000-00006E820000}"/>
    <cellStyle name="Normal 2 7 31 2 6" xfId="33388" xr:uid="{00000000-0005-0000-0000-00006F820000}"/>
    <cellStyle name="Normal 2 7 31 3" xfId="33389" xr:uid="{00000000-0005-0000-0000-000070820000}"/>
    <cellStyle name="Normal 2 7 31 3 2" xfId="33390" xr:uid="{00000000-0005-0000-0000-000071820000}"/>
    <cellStyle name="Normal 2 7 31 3 2 2" xfId="33391" xr:uid="{00000000-0005-0000-0000-000072820000}"/>
    <cellStyle name="Normal 2 7 31 3 3" xfId="33392" xr:uid="{00000000-0005-0000-0000-000073820000}"/>
    <cellStyle name="Normal 2 7 31 3 4" xfId="33393" xr:uid="{00000000-0005-0000-0000-000074820000}"/>
    <cellStyle name="Normal 2 7 31 3 5" xfId="33394" xr:uid="{00000000-0005-0000-0000-000075820000}"/>
    <cellStyle name="Normal 2 7 31 4" xfId="33395" xr:uid="{00000000-0005-0000-0000-000076820000}"/>
    <cellStyle name="Normal 2 7 31 4 2" xfId="33396" xr:uid="{00000000-0005-0000-0000-000077820000}"/>
    <cellStyle name="Normal 2 7 31 4 3" xfId="33397" xr:uid="{00000000-0005-0000-0000-000078820000}"/>
    <cellStyle name="Normal 2 7 31 4 4" xfId="33398" xr:uid="{00000000-0005-0000-0000-000079820000}"/>
    <cellStyle name="Normal 2 7 31 5" xfId="33399" xr:uid="{00000000-0005-0000-0000-00007A820000}"/>
    <cellStyle name="Normal 2 7 31 5 2" xfId="33400" xr:uid="{00000000-0005-0000-0000-00007B820000}"/>
    <cellStyle name="Normal 2 7 31 6" xfId="33401" xr:uid="{00000000-0005-0000-0000-00007C820000}"/>
    <cellStyle name="Normal 2 7 31 7" xfId="33402" xr:uid="{00000000-0005-0000-0000-00007D820000}"/>
    <cellStyle name="Normal 2 7 31 8" xfId="33403" xr:uid="{00000000-0005-0000-0000-00007E820000}"/>
    <cellStyle name="Normal 2 7 31 9" xfId="33404" xr:uid="{00000000-0005-0000-0000-00007F820000}"/>
    <cellStyle name="Normal 2 7 32" xfId="33405" xr:uid="{00000000-0005-0000-0000-000080820000}"/>
    <cellStyle name="Normal 2 7 32 2" xfId="33406" xr:uid="{00000000-0005-0000-0000-000081820000}"/>
    <cellStyle name="Normal 2 7 32 2 2" xfId="33407" xr:uid="{00000000-0005-0000-0000-000082820000}"/>
    <cellStyle name="Normal 2 7 32 2 3" xfId="33408" xr:uid="{00000000-0005-0000-0000-000083820000}"/>
    <cellStyle name="Normal 2 7 32 3" xfId="33409" xr:uid="{00000000-0005-0000-0000-000084820000}"/>
    <cellStyle name="Normal 2 7 32 4" xfId="33410" xr:uid="{00000000-0005-0000-0000-000085820000}"/>
    <cellStyle name="Normal 2 7 32 5" xfId="33411" xr:uid="{00000000-0005-0000-0000-000086820000}"/>
    <cellStyle name="Normal 2 7 32 6" xfId="33412" xr:uid="{00000000-0005-0000-0000-000087820000}"/>
    <cellStyle name="Normal 2 7 33" xfId="33413" xr:uid="{00000000-0005-0000-0000-000088820000}"/>
    <cellStyle name="Normal 2 7 33 2" xfId="33414" xr:uid="{00000000-0005-0000-0000-000089820000}"/>
    <cellStyle name="Normal 2 7 33 2 2" xfId="33415" xr:uid="{00000000-0005-0000-0000-00008A820000}"/>
    <cellStyle name="Normal 2 7 33 3" xfId="33416" xr:uid="{00000000-0005-0000-0000-00008B820000}"/>
    <cellStyle name="Normal 2 7 33 4" xfId="33417" xr:uid="{00000000-0005-0000-0000-00008C820000}"/>
    <cellStyle name="Normal 2 7 33 5" xfId="33418" xr:uid="{00000000-0005-0000-0000-00008D820000}"/>
    <cellStyle name="Normal 2 7 34" xfId="33419" xr:uid="{00000000-0005-0000-0000-00008E820000}"/>
    <cellStyle name="Normal 2 7 34 2" xfId="33420" xr:uid="{00000000-0005-0000-0000-00008F820000}"/>
    <cellStyle name="Normal 2 7 34 2 2" xfId="33421" xr:uid="{00000000-0005-0000-0000-000090820000}"/>
    <cellStyle name="Normal 2 7 34 3" xfId="33422" xr:uid="{00000000-0005-0000-0000-000091820000}"/>
    <cellStyle name="Normal 2 7 34 4" xfId="33423" xr:uid="{00000000-0005-0000-0000-000092820000}"/>
    <cellStyle name="Normal 2 7 34 5" xfId="33424" xr:uid="{00000000-0005-0000-0000-000093820000}"/>
    <cellStyle name="Normal 2 7 35" xfId="33425" xr:uid="{00000000-0005-0000-0000-000094820000}"/>
    <cellStyle name="Normal 2 7 35 2" xfId="33426" xr:uid="{00000000-0005-0000-0000-000095820000}"/>
    <cellStyle name="Normal 2 7 36" xfId="33427" xr:uid="{00000000-0005-0000-0000-000096820000}"/>
    <cellStyle name="Normal 2 7 37" xfId="33428" xr:uid="{00000000-0005-0000-0000-000097820000}"/>
    <cellStyle name="Normal 2 7 38" xfId="33429" xr:uid="{00000000-0005-0000-0000-000098820000}"/>
    <cellStyle name="Normal 2 7 39" xfId="33430" xr:uid="{00000000-0005-0000-0000-000099820000}"/>
    <cellStyle name="Normal 2 7 4" xfId="33431" xr:uid="{00000000-0005-0000-0000-00009A820000}"/>
    <cellStyle name="Normal 2 7 4 10" xfId="33432" xr:uid="{00000000-0005-0000-0000-00009B820000}"/>
    <cellStyle name="Normal 2 7 4 10 10" xfId="33433" xr:uid="{00000000-0005-0000-0000-00009C820000}"/>
    <cellStyle name="Normal 2 7 4 10 2" xfId="33434" xr:uid="{00000000-0005-0000-0000-00009D820000}"/>
    <cellStyle name="Normal 2 7 4 10 2 2" xfId="33435" xr:uid="{00000000-0005-0000-0000-00009E820000}"/>
    <cellStyle name="Normal 2 7 4 10 2 2 2" xfId="33436" xr:uid="{00000000-0005-0000-0000-00009F820000}"/>
    <cellStyle name="Normal 2 7 4 10 2 2 3" xfId="33437" xr:uid="{00000000-0005-0000-0000-0000A0820000}"/>
    <cellStyle name="Normal 2 7 4 10 2 3" xfId="33438" xr:uid="{00000000-0005-0000-0000-0000A1820000}"/>
    <cellStyle name="Normal 2 7 4 10 2 4" xfId="33439" xr:uid="{00000000-0005-0000-0000-0000A2820000}"/>
    <cellStyle name="Normal 2 7 4 10 2 5" xfId="33440" xr:uid="{00000000-0005-0000-0000-0000A3820000}"/>
    <cellStyle name="Normal 2 7 4 10 2 6" xfId="33441" xr:uid="{00000000-0005-0000-0000-0000A4820000}"/>
    <cellStyle name="Normal 2 7 4 10 3" xfId="33442" xr:uid="{00000000-0005-0000-0000-0000A5820000}"/>
    <cellStyle name="Normal 2 7 4 10 3 2" xfId="33443" xr:uid="{00000000-0005-0000-0000-0000A6820000}"/>
    <cellStyle name="Normal 2 7 4 10 3 2 2" xfId="33444" xr:uid="{00000000-0005-0000-0000-0000A7820000}"/>
    <cellStyle name="Normal 2 7 4 10 3 2 3" xfId="33445" xr:uid="{00000000-0005-0000-0000-0000A8820000}"/>
    <cellStyle name="Normal 2 7 4 10 3 3" xfId="33446" xr:uid="{00000000-0005-0000-0000-0000A9820000}"/>
    <cellStyle name="Normal 2 7 4 10 3 4" xfId="33447" xr:uid="{00000000-0005-0000-0000-0000AA820000}"/>
    <cellStyle name="Normal 2 7 4 10 3 5" xfId="33448" xr:uid="{00000000-0005-0000-0000-0000AB820000}"/>
    <cellStyle name="Normal 2 7 4 10 3 6" xfId="33449" xr:uid="{00000000-0005-0000-0000-0000AC820000}"/>
    <cellStyle name="Normal 2 7 4 10 4" xfId="33450" xr:uid="{00000000-0005-0000-0000-0000AD820000}"/>
    <cellStyle name="Normal 2 7 4 10 4 2" xfId="33451" xr:uid="{00000000-0005-0000-0000-0000AE820000}"/>
    <cellStyle name="Normal 2 7 4 10 4 2 2" xfId="33452" xr:uid="{00000000-0005-0000-0000-0000AF820000}"/>
    <cellStyle name="Normal 2 7 4 10 4 3" xfId="33453" xr:uid="{00000000-0005-0000-0000-0000B0820000}"/>
    <cellStyle name="Normal 2 7 4 10 4 4" xfId="33454" xr:uid="{00000000-0005-0000-0000-0000B1820000}"/>
    <cellStyle name="Normal 2 7 4 10 4 5" xfId="33455" xr:uid="{00000000-0005-0000-0000-0000B2820000}"/>
    <cellStyle name="Normal 2 7 4 10 5" xfId="33456" xr:uid="{00000000-0005-0000-0000-0000B3820000}"/>
    <cellStyle name="Normal 2 7 4 10 5 2" xfId="33457" xr:uid="{00000000-0005-0000-0000-0000B4820000}"/>
    <cellStyle name="Normal 2 7 4 10 5 3" xfId="33458" xr:uid="{00000000-0005-0000-0000-0000B5820000}"/>
    <cellStyle name="Normal 2 7 4 10 5 4" xfId="33459" xr:uid="{00000000-0005-0000-0000-0000B6820000}"/>
    <cellStyle name="Normal 2 7 4 10 6" xfId="33460" xr:uid="{00000000-0005-0000-0000-0000B7820000}"/>
    <cellStyle name="Normal 2 7 4 10 6 2" xfId="33461" xr:uid="{00000000-0005-0000-0000-0000B8820000}"/>
    <cellStyle name="Normal 2 7 4 10 7" xfId="33462" xr:uid="{00000000-0005-0000-0000-0000B9820000}"/>
    <cellStyle name="Normal 2 7 4 10 8" xfId="33463" xr:uid="{00000000-0005-0000-0000-0000BA820000}"/>
    <cellStyle name="Normal 2 7 4 10 9" xfId="33464" xr:uid="{00000000-0005-0000-0000-0000BB820000}"/>
    <cellStyle name="Normal 2 7 4 11" xfId="33465" xr:uid="{00000000-0005-0000-0000-0000BC820000}"/>
    <cellStyle name="Normal 2 7 4 11 10" xfId="33466" xr:uid="{00000000-0005-0000-0000-0000BD820000}"/>
    <cellStyle name="Normal 2 7 4 11 2" xfId="33467" xr:uid="{00000000-0005-0000-0000-0000BE820000}"/>
    <cellStyle name="Normal 2 7 4 11 2 2" xfId="33468" xr:uid="{00000000-0005-0000-0000-0000BF820000}"/>
    <cellStyle name="Normal 2 7 4 11 2 2 2" xfId="33469" xr:uid="{00000000-0005-0000-0000-0000C0820000}"/>
    <cellStyle name="Normal 2 7 4 11 2 2 3" xfId="33470" xr:uid="{00000000-0005-0000-0000-0000C1820000}"/>
    <cellStyle name="Normal 2 7 4 11 2 3" xfId="33471" xr:uid="{00000000-0005-0000-0000-0000C2820000}"/>
    <cellStyle name="Normal 2 7 4 11 2 4" xfId="33472" xr:uid="{00000000-0005-0000-0000-0000C3820000}"/>
    <cellStyle name="Normal 2 7 4 11 2 5" xfId="33473" xr:uid="{00000000-0005-0000-0000-0000C4820000}"/>
    <cellStyle name="Normal 2 7 4 11 2 6" xfId="33474" xr:uid="{00000000-0005-0000-0000-0000C5820000}"/>
    <cellStyle name="Normal 2 7 4 11 3" xfId="33475" xr:uid="{00000000-0005-0000-0000-0000C6820000}"/>
    <cellStyle name="Normal 2 7 4 11 3 2" xfId="33476" xr:uid="{00000000-0005-0000-0000-0000C7820000}"/>
    <cellStyle name="Normal 2 7 4 11 3 2 2" xfId="33477" xr:uid="{00000000-0005-0000-0000-0000C8820000}"/>
    <cellStyle name="Normal 2 7 4 11 3 2 3" xfId="33478" xr:uid="{00000000-0005-0000-0000-0000C9820000}"/>
    <cellStyle name="Normal 2 7 4 11 3 3" xfId="33479" xr:uid="{00000000-0005-0000-0000-0000CA820000}"/>
    <cellStyle name="Normal 2 7 4 11 3 4" xfId="33480" xr:uid="{00000000-0005-0000-0000-0000CB820000}"/>
    <cellStyle name="Normal 2 7 4 11 3 5" xfId="33481" xr:uid="{00000000-0005-0000-0000-0000CC820000}"/>
    <cellStyle name="Normal 2 7 4 11 3 6" xfId="33482" xr:uid="{00000000-0005-0000-0000-0000CD820000}"/>
    <cellStyle name="Normal 2 7 4 11 4" xfId="33483" xr:uid="{00000000-0005-0000-0000-0000CE820000}"/>
    <cellStyle name="Normal 2 7 4 11 4 2" xfId="33484" xr:uid="{00000000-0005-0000-0000-0000CF820000}"/>
    <cellStyle name="Normal 2 7 4 11 4 2 2" xfId="33485" xr:uid="{00000000-0005-0000-0000-0000D0820000}"/>
    <cellStyle name="Normal 2 7 4 11 4 3" xfId="33486" xr:uid="{00000000-0005-0000-0000-0000D1820000}"/>
    <cellStyle name="Normal 2 7 4 11 4 4" xfId="33487" xr:uid="{00000000-0005-0000-0000-0000D2820000}"/>
    <cellStyle name="Normal 2 7 4 11 4 5" xfId="33488" xr:uid="{00000000-0005-0000-0000-0000D3820000}"/>
    <cellStyle name="Normal 2 7 4 11 5" xfId="33489" xr:uid="{00000000-0005-0000-0000-0000D4820000}"/>
    <cellStyle name="Normal 2 7 4 11 5 2" xfId="33490" xr:uid="{00000000-0005-0000-0000-0000D5820000}"/>
    <cellStyle name="Normal 2 7 4 11 5 3" xfId="33491" xr:uid="{00000000-0005-0000-0000-0000D6820000}"/>
    <cellStyle name="Normal 2 7 4 11 5 4" xfId="33492" xr:uid="{00000000-0005-0000-0000-0000D7820000}"/>
    <cellStyle name="Normal 2 7 4 11 6" xfId="33493" xr:uid="{00000000-0005-0000-0000-0000D8820000}"/>
    <cellStyle name="Normal 2 7 4 11 6 2" xfId="33494" xr:uid="{00000000-0005-0000-0000-0000D9820000}"/>
    <cellStyle name="Normal 2 7 4 11 7" xfId="33495" xr:uid="{00000000-0005-0000-0000-0000DA820000}"/>
    <cellStyle name="Normal 2 7 4 11 8" xfId="33496" xr:uid="{00000000-0005-0000-0000-0000DB820000}"/>
    <cellStyle name="Normal 2 7 4 11 9" xfId="33497" xr:uid="{00000000-0005-0000-0000-0000DC820000}"/>
    <cellStyle name="Normal 2 7 4 12" xfId="33498" xr:uid="{00000000-0005-0000-0000-0000DD820000}"/>
    <cellStyle name="Normal 2 7 4 12 10" xfId="33499" xr:uid="{00000000-0005-0000-0000-0000DE820000}"/>
    <cellStyle name="Normal 2 7 4 12 2" xfId="33500" xr:uid="{00000000-0005-0000-0000-0000DF820000}"/>
    <cellStyle name="Normal 2 7 4 12 2 2" xfId="33501" xr:uid="{00000000-0005-0000-0000-0000E0820000}"/>
    <cellStyle name="Normal 2 7 4 12 2 2 2" xfId="33502" xr:uid="{00000000-0005-0000-0000-0000E1820000}"/>
    <cellStyle name="Normal 2 7 4 12 2 2 3" xfId="33503" xr:uid="{00000000-0005-0000-0000-0000E2820000}"/>
    <cellStyle name="Normal 2 7 4 12 2 3" xfId="33504" xr:uid="{00000000-0005-0000-0000-0000E3820000}"/>
    <cellStyle name="Normal 2 7 4 12 2 4" xfId="33505" xr:uid="{00000000-0005-0000-0000-0000E4820000}"/>
    <cellStyle name="Normal 2 7 4 12 2 5" xfId="33506" xr:uid="{00000000-0005-0000-0000-0000E5820000}"/>
    <cellStyle name="Normal 2 7 4 12 2 6" xfId="33507" xr:uid="{00000000-0005-0000-0000-0000E6820000}"/>
    <cellStyle name="Normal 2 7 4 12 3" xfId="33508" xr:uid="{00000000-0005-0000-0000-0000E7820000}"/>
    <cellStyle name="Normal 2 7 4 12 3 2" xfId="33509" xr:uid="{00000000-0005-0000-0000-0000E8820000}"/>
    <cellStyle name="Normal 2 7 4 12 3 2 2" xfId="33510" xr:uid="{00000000-0005-0000-0000-0000E9820000}"/>
    <cellStyle name="Normal 2 7 4 12 3 2 3" xfId="33511" xr:uid="{00000000-0005-0000-0000-0000EA820000}"/>
    <cellStyle name="Normal 2 7 4 12 3 3" xfId="33512" xr:uid="{00000000-0005-0000-0000-0000EB820000}"/>
    <cellStyle name="Normal 2 7 4 12 3 4" xfId="33513" xr:uid="{00000000-0005-0000-0000-0000EC820000}"/>
    <cellStyle name="Normal 2 7 4 12 3 5" xfId="33514" xr:uid="{00000000-0005-0000-0000-0000ED820000}"/>
    <cellStyle name="Normal 2 7 4 12 3 6" xfId="33515" xr:uid="{00000000-0005-0000-0000-0000EE820000}"/>
    <cellStyle name="Normal 2 7 4 12 4" xfId="33516" xr:uid="{00000000-0005-0000-0000-0000EF820000}"/>
    <cellStyle name="Normal 2 7 4 12 4 2" xfId="33517" xr:uid="{00000000-0005-0000-0000-0000F0820000}"/>
    <cellStyle name="Normal 2 7 4 12 4 2 2" xfId="33518" xr:uid="{00000000-0005-0000-0000-0000F1820000}"/>
    <cellStyle name="Normal 2 7 4 12 4 3" xfId="33519" xr:uid="{00000000-0005-0000-0000-0000F2820000}"/>
    <cellStyle name="Normal 2 7 4 12 4 4" xfId="33520" xr:uid="{00000000-0005-0000-0000-0000F3820000}"/>
    <cellStyle name="Normal 2 7 4 12 4 5" xfId="33521" xr:uid="{00000000-0005-0000-0000-0000F4820000}"/>
    <cellStyle name="Normal 2 7 4 12 5" xfId="33522" xr:uid="{00000000-0005-0000-0000-0000F5820000}"/>
    <cellStyle name="Normal 2 7 4 12 5 2" xfId="33523" xr:uid="{00000000-0005-0000-0000-0000F6820000}"/>
    <cellStyle name="Normal 2 7 4 12 5 3" xfId="33524" xr:uid="{00000000-0005-0000-0000-0000F7820000}"/>
    <cellStyle name="Normal 2 7 4 12 5 4" xfId="33525" xr:uid="{00000000-0005-0000-0000-0000F8820000}"/>
    <cellStyle name="Normal 2 7 4 12 6" xfId="33526" xr:uid="{00000000-0005-0000-0000-0000F9820000}"/>
    <cellStyle name="Normal 2 7 4 12 6 2" xfId="33527" xr:uid="{00000000-0005-0000-0000-0000FA820000}"/>
    <cellStyle name="Normal 2 7 4 12 7" xfId="33528" xr:uid="{00000000-0005-0000-0000-0000FB820000}"/>
    <cellStyle name="Normal 2 7 4 12 8" xfId="33529" xr:uid="{00000000-0005-0000-0000-0000FC820000}"/>
    <cellStyle name="Normal 2 7 4 12 9" xfId="33530" xr:uid="{00000000-0005-0000-0000-0000FD820000}"/>
    <cellStyle name="Normal 2 7 4 13" xfId="33531" xr:uid="{00000000-0005-0000-0000-0000FE820000}"/>
    <cellStyle name="Normal 2 7 4 13 2" xfId="33532" xr:uid="{00000000-0005-0000-0000-0000FF820000}"/>
    <cellStyle name="Normal 2 7 4 13 2 2" xfId="33533" xr:uid="{00000000-0005-0000-0000-000000830000}"/>
    <cellStyle name="Normal 2 7 4 13 2 2 2" xfId="33534" xr:uid="{00000000-0005-0000-0000-000001830000}"/>
    <cellStyle name="Normal 2 7 4 13 2 2 3" xfId="33535" xr:uid="{00000000-0005-0000-0000-000002830000}"/>
    <cellStyle name="Normal 2 7 4 13 2 3" xfId="33536" xr:uid="{00000000-0005-0000-0000-000003830000}"/>
    <cellStyle name="Normal 2 7 4 13 2 4" xfId="33537" xr:uid="{00000000-0005-0000-0000-000004830000}"/>
    <cellStyle name="Normal 2 7 4 13 2 5" xfId="33538" xr:uid="{00000000-0005-0000-0000-000005830000}"/>
    <cellStyle name="Normal 2 7 4 13 2 6" xfId="33539" xr:uid="{00000000-0005-0000-0000-000006830000}"/>
    <cellStyle name="Normal 2 7 4 13 3" xfId="33540" xr:uid="{00000000-0005-0000-0000-000007830000}"/>
    <cellStyle name="Normal 2 7 4 13 3 2" xfId="33541" xr:uid="{00000000-0005-0000-0000-000008830000}"/>
    <cellStyle name="Normal 2 7 4 13 3 2 2" xfId="33542" xr:uid="{00000000-0005-0000-0000-000009830000}"/>
    <cellStyle name="Normal 2 7 4 13 3 3" xfId="33543" xr:uid="{00000000-0005-0000-0000-00000A830000}"/>
    <cellStyle name="Normal 2 7 4 13 3 4" xfId="33544" xr:uid="{00000000-0005-0000-0000-00000B830000}"/>
    <cellStyle name="Normal 2 7 4 13 3 5" xfId="33545" xr:uid="{00000000-0005-0000-0000-00000C830000}"/>
    <cellStyle name="Normal 2 7 4 13 4" xfId="33546" xr:uid="{00000000-0005-0000-0000-00000D830000}"/>
    <cellStyle name="Normal 2 7 4 13 4 2" xfId="33547" xr:uid="{00000000-0005-0000-0000-00000E830000}"/>
    <cellStyle name="Normal 2 7 4 13 4 3" xfId="33548" xr:uid="{00000000-0005-0000-0000-00000F830000}"/>
    <cellStyle name="Normal 2 7 4 13 4 4" xfId="33549" xr:uid="{00000000-0005-0000-0000-000010830000}"/>
    <cellStyle name="Normal 2 7 4 13 5" xfId="33550" xr:uid="{00000000-0005-0000-0000-000011830000}"/>
    <cellStyle name="Normal 2 7 4 13 5 2" xfId="33551" xr:uid="{00000000-0005-0000-0000-000012830000}"/>
    <cellStyle name="Normal 2 7 4 13 6" xfId="33552" xr:uid="{00000000-0005-0000-0000-000013830000}"/>
    <cellStyle name="Normal 2 7 4 13 7" xfId="33553" xr:uid="{00000000-0005-0000-0000-000014830000}"/>
    <cellStyle name="Normal 2 7 4 13 8" xfId="33554" xr:uid="{00000000-0005-0000-0000-000015830000}"/>
    <cellStyle name="Normal 2 7 4 13 9" xfId="33555" xr:uid="{00000000-0005-0000-0000-000016830000}"/>
    <cellStyle name="Normal 2 7 4 14" xfId="33556" xr:uid="{00000000-0005-0000-0000-000017830000}"/>
    <cellStyle name="Normal 2 7 4 14 2" xfId="33557" xr:uid="{00000000-0005-0000-0000-000018830000}"/>
    <cellStyle name="Normal 2 7 4 14 2 2" xfId="33558" xr:uid="{00000000-0005-0000-0000-000019830000}"/>
    <cellStyle name="Normal 2 7 4 14 2 2 2" xfId="33559" xr:uid="{00000000-0005-0000-0000-00001A830000}"/>
    <cellStyle name="Normal 2 7 4 14 2 2 3" xfId="33560" xr:uid="{00000000-0005-0000-0000-00001B830000}"/>
    <cellStyle name="Normal 2 7 4 14 2 3" xfId="33561" xr:uid="{00000000-0005-0000-0000-00001C830000}"/>
    <cellStyle name="Normal 2 7 4 14 2 4" xfId="33562" xr:uid="{00000000-0005-0000-0000-00001D830000}"/>
    <cellStyle name="Normal 2 7 4 14 2 5" xfId="33563" xr:uid="{00000000-0005-0000-0000-00001E830000}"/>
    <cellStyle name="Normal 2 7 4 14 2 6" xfId="33564" xr:uid="{00000000-0005-0000-0000-00001F830000}"/>
    <cellStyle name="Normal 2 7 4 14 3" xfId="33565" xr:uid="{00000000-0005-0000-0000-000020830000}"/>
    <cellStyle name="Normal 2 7 4 14 3 2" xfId="33566" xr:uid="{00000000-0005-0000-0000-000021830000}"/>
    <cellStyle name="Normal 2 7 4 14 3 2 2" xfId="33567" xr:uid="{00000000-0005-0000-0000-000022830000}"/>
    <cellStyle name="Normal 2 7 4 14 3 3" xfId="33568" xr:uid="{00000000-0005-0000-0000-000023830000}"/>
    <cellStyle name="Normal 2 7 4 14 3 4" xfId="33569" xr:uid="{00000000-0005-0000-0000-000024830000}"/>
    <cellStyle name="Normal 2 7 4 14 3 5" xfId="33570" xr:uid="{00000000-0005-0000-0000-000025830000}"/>
    <cellStyle name="Normal 2 7 4 14 4" xfId="33571" xr:uid="{00000000-0005-0000-0000-000026830000}"/>
    <cellStyle name="Normal 2 7 4 14 4 2" xfId="33572" xr:uid="{00000000-0005-0000-0000-000027830000}"/>
    <cellStyle name="Normal 2 7 4 14 4 3" xfId="33573" xr:uid="{00000000-0005-0000-0000-000028830000}"/>
    <cellStyle name="Normal 2 7 4 14 4 4" xfId="33574" xr:uid="{00000000-0005-0000-0000-000029830000}"/>
    <cellStyle name="Normal 2 7 4 14 5" xfId="33575" xr:uid="{00000000-0005-0000-0000-00002A830000}"/>
    <cellStyle name="Normal 2 7 4 14 5 2" xfId="33576" xr:uid="{00000000-0005-0000-0000-00002B830000}"/>
    <cellStyle name="Normal 2 7 4 14 6" xfId="33577" xr:uid="{00000000-0005-0000-0000-00002C830000}"/>
    <cellStyle name="Normal 2 7 4 14 7" xfId="33578" xr:uid="{00000000-0005-0000-0000-00002D830000}"/>
    <cellStyle name="Normal 2 7 4 14 8" xfId="33579" xr:uid="{00000000-0005-0000-0000-00002E830000}"/>
    <cellStyle name="Normal 2 7 4 14 9" xfId="33580" xr:uid="{00000000-0005-0000-0000-00002F830000}"/>
    <cellStyle name="Normal 2 7 4 15" xfId="33581" xr:uid="{00000000-0005-0000-0000-000030830000}"/>
    <cellStyle name="Normal 2 7 4 15 2" xfId="33582" xr:uid="{00000000-0005-0000-0000-000031830000}"/>
    <cellStyle name="Normal 2 7 4 15 2 2" xfId="33583" xr:uid="{00000000-0005-0000-0000-000032830000}"/>
    <cellStyle name="Normal 2 7 4 15 2 3" xfId="33584" xr:uid="{00000000-0005-0000-0000-000033830000}"/>
    <cellStyle name="Normal 2 7 4 15 3" xfId="33585" xr:uid="{00000000-0005-0000-0000-000034830000}"/>
    <cellStyle name="Normal 2 7 4 15 4" xfId="33586" xr:uid="{00000000-0005-0000-0000-000035830000}"/>
    <cellStyle name="Normal 2 7 4 15 5" xfId="33587" xr:uid="{00000000-0005-0000-0000-000036830000}"/>
    <cellStyle name="Normal 2 7 4 15 6" xfId="33588" xr:uid="{00000000-0005-0000-0000-000037830000}"/>
    <cellStyle name="Normal 2 7 4 16" xfId="33589" xr:uid="{00000000-0005-0000-0000-000038830000}"/>
    <cellStyle name="Normal 2 7 4 16 2" xfId="33590" xr:uid="{00000000-0005-0000-0000-000039830000}"/>
    <cellStyle name="Normal 2 7 4 16 2 2" xfId="33591" xr:uid="{00000000-0005-0000-0000-00003A830000}"/>
    <cellStyle name="Normal 2 7 4 16 3" xfId="33592" xr:uid="{00000000-0005-0000-0000-00003B830000}"/>
    <cellStyle name="Normal 2 7 4 16 4" xfId="33593" xr:uid="{00000000-0005-0000-0000-00003C830000}"/>
    <cellStyle name="Normal 2 7 4 16 5" xfId="33594" xr:uid="{00000000-0005-0000-0000-00003D830000}"/>
    <cellStyle name="Normal 2 7 4 17" xfId="33595" xr:uid="{00000000-0005-0000-0000-00003E830000}"/>
    <cellStyle name="Normal 2 7 4 17 2" xfId="33596" xr:uid="{00000000-0005-0000-0000-00003F830000}"/>
    <cellStyle name="Normal 2 7 4 17 2 2" xfId="33597" xr:uid="{00000000-0005-0000-0000-000040830000}"/>
    <cellStyle name="Normal 2 7 4 17 3" xfId="33598" xr:uid="{00000000-0005-0000-0000-000041830000}"/>
    <cellStyle name="Normal 2 7 4 17 4" xfId="33599" xr:uid="{00000000-0005-0000-0000-000042830000}"/>
    <cellStyle name="Normal 2 7 4 17 5" xfId="33600" xr:uid="{00000000-0005-0000-0000-000043830000}"/>
    <cellStyle name="Normal 2 7 4 18" xfId="33601" xr:uid="{00000000-0005-0000-0000-000044830000}"/>
    <cellStyle name="Normal 2 7 4 18 2" xfId="33602" xr:uid="{00000000-0005-0000-0000-000045830000}"/>
    <cellStyle name="Normal 2 7 4 19" xfId="33603" xr:uid="{00000000-0005-0000-0000-000046830000}"/>
    <cellStyle name="Normal 2 7 4 2" xfId="33604" xr:uid="{00000000-0005-0000-0000-000047830000}"/>
    <cellStyle name="Normal 2 7 4 2 10" xfId="33605" xr:uid="{00000000-0005-0000-0000-000048830000}"/>
    <cellStyle name="Normal 2 7 4 2 11" xfId="33606" xr:uid="{00000000-0005-0000-0000-000049830000}"/>
    <cellStyle name="Normal 2 7 4 2 2" xfId="33607" xr:uid="{00000000-0005-0000-0000-00004A830000}"/>
    <cellStyle name="Normal 2 7 4 2 2 2" xfId="33608" xr:uid="{00000000-0005-0000-0000-00004B830000}"/>
    <cellStyle name="Normal 2 7 4 2 2 2 2" xfId="33609" xr:uid="{00000000-0005-0000-0000-00004C830000}"/>
    <cellStyle name="Normal 2 7 4 2 2 2 2 2" xfId="33610" xr:uid="{00000000-0005-0000-0000-00004D830000}"/>
    <cellStyle name="Normal 2 7 4 2 2 2 2 3" xfId="33611" xr:uid="{00000000-0005-0000-0000-00004E830000}"/>
    <cellStyle name="Normal 2 7 4 2 2 2 3" xfId="33612" xr:uid="{00000000-0005-0000-0000-00004F830000}"/>
    <cellStyle name="Normal 2 7 4 2 2 2 4" xfId="33613" xr:uid="{00000000-0005-0000-0000-000050830000}"/>
    <cellStyle name="Normal 2 7 4 2 2 2 5" xfId="33614" xr:uid="{00000000-0005-0000-0000-000051830000}"/>
    <cellStyle name="Normal 2 7 4 2 2 2 6" xfId="33615" xr:uid="{00000000-0005-0000-0000-000052830000}"/>
    <cellStyle name="Normal 2 7 4 2 2 3" xfId="33616" xr:uid="{00000000-0005-0000-0000-000053830000}"/>
    <cellStyle name="Normal 2 7 4 2 2 3 2" xfId="33617" xr:uid="{00000000-0005-0000-0000-000054830000}"/>
    <cellStyle name="Normal 2 7 4 2 2 3 2 2" xfId="33618" xr:uid="{00000000-0005-0000-0000-000055830000}"/>
    <cellStyle name="Normal 2 7 4 2 2 3 3" xfId="33619" xr:uid="{00000000-0005-0000-0000-000056830000}"/>
    <cellStyle name="Normal 2 7 4 2 2 3 4" xfId="33620" xr:uid="{00000000-0005-0000-0000-000057830000}"/>
    <cellStyle name="Normal 2 7 4 2 2 3 5" xfId="33621" xr:uid="{00000000-0005-0000-0000-000058830000}"/>
    <cellStyle name="Normal 2 7 4 2 2 4" xfId="33622" xr:uid="{00000000-0005-0000-0000-000059830000}"/>
    <cellStyle name="Normal 2 7 4 2 2 4 2" xfId="33623" xr:uid="{00000000-0005-0000-0000-00005A830000}"/>
    <cellStyle name="Normal 2 7 4 2 2 4 3" xfId="33624" xr:uid="{00000000-0005-0000-0000-00005B830000}"/>
    <cellStyle name="Normal 2 7 4 2 2 4 4" xfId="33625" xr:uid="{00000000-0005-0000-0000-00005C830000}"/>
    <cellStyle name="Normal 2 7 4 2 2 5" xfId="33626" xr:uid="{00000000-0005-0000-0000-00005D830000}"/>
    <cellStyle name="Normal 2 7 4 2 2 5 2" xfId="33627" xr:uid="{00000000-0005-0000-0000-00005E830000}"/>
    <cellStyle name="Normal 2 7 4 2 2 6" xfId="33628" xr:uid="{00000000-0005-0000-0000-00005F830000}"/>
    <cellStyle name="Normal 2 7 4 2 2 7" xfId="33629" xr:uid="{00000000-0005-0000-0000-000060830000}"/>
    <cellStyle name="Normal 2 7 4 2 2 8" xfId="33630" xr:uid="{00000000-0005-0000-0000-000061830000}"/>
    <cellStyle name="Normal 2 7 4 2 2 9" xfId="33631" xr:uid="{00000000-0005-0000-0000-000062830000}"/>
    <cellStyle name="Normal 2 7 4 2 3" xfId="33632" xr:uid="{00000000-0005-0000-0000-000063830000}"/>
    <cellStyle name="Normal 2 7 4 2 3 2" xfId="33633" xr:uid="{00000000-0005-0000-0000-000064830000}"/>
    <cellStyle name="Normal 2 7 4 2 3 2 2" xfId="33634" xr:uid="{00000000-0005-0000-0000-000065830000}"/>
    <cellStyle name="Normal 2 7 4 2 3 2 2 2" xfId="33635" xr:uid="{00000000-0005-0000-0000-000066830000}"/>
    <cellStyle name="Normal 2 7 4 2 3 2 2 3" xfId="33636" xr:uid="{00000000-0005-0000-0000-000067830000}"/>
    <cellStyle name="Normal 2 7 4 2 3 2 3" xfId="33637" xr:uid="{00000000-0005-0000-0000-000068830000}"/>
    <cellStyle name="Normal 2 7 4 2 3 2 4" xfId="33638" xr:uid="{00000000-0005-0000-0000-000069830000}"/>
    <cellStyle name="Normal 2 7 4 2 3 2 5" xfId="33639" xr:uid="{00000000-0005-0000-0000-00006A830000}"/>
    <cellStyle name="Normal 2 7 4 2 3 2 6" xfId="33640" xr:uid="{00000000-0005-0000-0000-00006B830000}"/>
    <cellStyle name="Normal 2 7 4 2 3 3" xfId="33641" xr:uid="{00000000-0005-0000-0000-00006C830000}"/>
    <cellStyle name="Normal 2 7 4 2 3 3 2" xfId="33642" xr:uid="{00000000-0005-0000-0000-00006D830000}"/>
    <cellStyle name="Normal 2 7 4 2 3 3 2 2" xfId="33643" xr:uid="{00000000-0005-0000-0000-00006E830000}"/>
    <cellStyle name="Normal 2 7 4 2 3 3 3" xfId="33644" xr:uid="{00000000-0005-0000-0000-00006F830000}"/>
    <cellStyle name="Normal 2 7 4 2 3 3 4" xfId="33645" xr:uid="{00000000-0005-0000-0000-000070830000}"/>
    <cellStyle name="Normal 2 7 4 2 3 3 5" xfId="33646" xr:uid="{00000000-0005-0000-0000-000071830000}"/>
    <cellStyle name="Normal 2 7 4 2 3 4" xfId="33647" xr:uid="{00000000-0005-0000-0000-000072830000}"/>
    <cellStyle name="Normal 2 7 4 2 3 4 2" xfId="33648" xr:uid="{00000000-0005-0000-0000-000073830000}"/>
    <cellStyle name="Normal 2 7 4 2 3 4 3" xfId="33649" xr:uid="{00000000-0005-0000-0000-000074830000}"/>
    <cellStyle name="Normal 2 7 4 2 3 4 4" xfId="33650" xr:uid="{00000000-0005-0000-0000-000075830000}"/>
    <cellStyle name="Normal 2 7 4 2 3 5" xfId="33651" xr:uid="{00000000-0005-0000-0000-000076830000}"/>
    <cellStyle name="Normal 2 7 4 2 3 5 2" xfId="33652" xr:uid="{00000000-0005-0000-0000-000077830000}"/>
    <cellStyle name="Normal 2 7 4 2 3 6" xfId="33653" xr:uid="{00000000-0005-0000-0000-000078830000}"/>
    <cellStyle name="Normal 2 7 4 2 3 7" xfId="33654" xr:uid="{00000000-0005-0000-0000-000079830000}"/>
    <cellStyle name="Normal 2 7 4 2 3 8" xfId="33655" xr:uid="{00000000-0005-0000-0000-00007A830000}"/>
    <cellStyle name="Normal 2 7 4 2 3 9" xfId="33656" xr:uid="{00000000-0005-0000-0000-00007B830000}"/>
    <cellStyle name="Normal 2 7 4 2 4" xfId="33657" xr:uid="{00000000-0005-0000-0000-00007C830000}"/>
    <cellStyle name="Normal 2 7 4 2 4 2" xfId="33658" xr:uid="{00000000-0005-0000-0000-00007D830000}"/>
    <cellStyle name="Normal 2 7 4 2 4 2 2" xfId="33659" xr:uid="{00000000-0005-0000-0000-00007E830000}"/>
    <cellStyle name="Normal 2 7 4 2 4 2 3" xfId="33660" xr:uid="{00000000-0005-0000-0000-00007F830000}"/>
    <cellStyle name="Normal 2 7 4 2 4 3" xfId="33661" xr:uid="{00000000-0005-0000-0000-000080830000}"/>
    <cellStyle name="Normal 2 7 4 2 4 4" xfId="33662" xr:uid="{00000000-0005-0000-0000-000081830000}"/>
    <cellStyle name="Normal 2 7 4 2 4 5" xfId="33663" xr:uid="{00000000-0005-0000-0000-000082830000}"/>
    <cellStyle name="Normal 2 7 4 2 4 6" xfId="33664" xr:uid="{00000000-0005-0000-0000-000083830000}"/>
    <cellStyle name="Normal 2 7 4 2 5" xfId="33665" xr:uid="{00000000-0005-0000-0000-000084830000}"/>
    <cellStyle name="Normal 2 7 4 2 5 2" xfId="33666" xr:uid="{00000000-0005-0000-0000-000085830000}"/>
    <cellStyle name="Normal 2 7 4 2 5 2 2" xfId="33667" xr:uid="{00000000-0005-0000-0000-000086830000}"/>
    <cellStyle name="Normal 2 7 4 2 5 3" xfId="33668" xr:uid="{00000000-0005-0000-0000-000087830000}"/>
    <cellStyle name="Normal 2 7 4 2 5 4" xfId="33669" xr:uid="{00000000-0005-0000-0000-000088830000}"/>
    <cellStyle name="Normal 2 7 4 2 5 5" xfId="33670" xr:uid="{00000000-0005-0000-0000-000089830000}"/>
    <cellStyle name="Normal 2 7 4 2 6" xfId="33671" xr:uid="{00000000-0005-0000-0000-00008A830000}"/>
    <cellStyle name="Normal 2 7 4 2 6 2" xfId="33672" xr:uid="{00000000-0005-0000-0000-00008B830000}"/>
    <cellStyle name="Normal 2 7 4 2 6 3" xfId="33673" xr:uid="{00000000-0005-0000-0000-00008C830000}"/>
    <cellStyle name="Normal 2 7 4 2 6 4" xfId="33674" xr:uid="{00000000-0005-0000-0000-00008D830000}"/>
    <cellStyle name="Normal 2 7 4 2 7" xfId="33675" xr:uid="{00000000-0005-0000-0000-00008E830000}"/>
    <cellStyle name="Normal 2 7 4 2 7 2" xfId="33676" xr:uid="{00000000-0005-0000-0000-00008F830000}"/>
    <cellStyle name="Normal 2 7 4 2 8" xfId="33677" xr:uid="{00000000-0005-0000-0000-000090830000}"/>
    <cellStyle name="Normal 2 7 4 2 9" xfId="33678" xr:uid="{00000000-0005-0000-0000-000091830000}"/>
    <cellStyle name="Normal 2 7 4 20" xfId="33679" xr:uid="{00000000-0005-0000-0000-000092830000}"/>
    <cellStyle name="Normal 2 7 4 21" xfId="33680" xr:uid="{00000000-0005-0000-0000-000093830000}"/>
    <cellStyle name="Normal 2 7 4 22" xfId="33681" xr:uid="{00000000-0005-0000-0000-000094830000}"/>
    <cellStyle name="Normal 2 7 4 3" xfId="33682" xr:uid="{00000000-0005-0000-0000-000095830000}"/>
    <cellStyle name="Normal 2 7 4 3 10" xfId="33683" xr:uid="{00000000-0005-0000-0000-000096830000}"/>
    <cellStyle name="Normal 2 7 4 3 11" xfId="33684" xr:uid="{00000000-0005-0000-0000-000097830000}"/>
    <cellStyle name="Normal 2 7 4 3 2" xfId="33685" xr:uid="{00000000-0005-0000-0000-000098830000}"/>
    <cellStyle name="Normal 2 7 4 3 2 2" xfId="33686" xr:uid="{00000000-0005-0000-0000-000099830000}"/>
    <cellStyle name="Normal 2 7 4 3 2 2 2" xfId="33687" xr:uid="{00000000-0005-0000-0000-00009A830000}"/>
    <cellStyle name="Normal 2 7 4 3 2 2 2 2" xfId="33688" xr:uid="{00000000-0005-0000-0000-00009B830000}"/>
    <cellStyle name="Normal 2 7 4 3 2 2 2 3" xfId="33689" xr:uid="{00000000-0005-0000-0000-00009C830000}"/>
    <cellStyle name="Normal 2 7 4 3 2 2 3" xfId="33690" xr:uid="{00000000-0005-0000-0000-00009D830000}"/>
    <cellStyle name="Normal 2 7 4 3 2 2 4" xfId="33691" xr:uid="{00000000-0005-0000-0000-00009E830000}"/>
    <cellStyle name="Normal 2 7 4 3 2 2 5" xfId="33692" xr:uid="{00000000-0005-0000-0000-00009F830000}"/>
    <cellStyle name="Normal 2 7 4 3 2 2 6" xfId="33693" xr:uid="{00000000-0005-0000-0000-0000A0830000}"/>
    <cellStyle name="Normal 2 7 4 3 2 3" xfId="33694" xr:uid="{00000000-0005-0000-0000-0000A1830000}"/>
    <cellStyle name="Normal 2 7 4 3 2 3 2" xfId="33695" xr:uid="{00000000-0005-0000-0000-0000A2830000}"/>
    <cellStyle name="Normal 2 7 4 3 2 3 2 2" xfId="33696" xr:uid="{00000000-0005-0000-0000-0000A3830000}"/>
    <cellStyle name="Normal 2 7 4 3 2 3 3" xfId="33697" xr:uid="{00000000-0005-0000-0000-0000A4830000}"/>
    <cellStyle name="Normal 2 7 4 3 2 3 4" xfId="33698" xr:uid="{00000000-0005-0000-0000-0000A5830000}"/>
    <cellStyle name="Normal 2 7 4 3 2 3 5" xfId="33699" xr:uid="{00000000-0005-0000-0000-0000A6830000}"/>
    <cellStyle name="Normal 2 7 4 3 2 4" xfId="33700" xr:uid="{00000000-0005-0000-0000-0000A7830000}"/>
    <cellStyle name="Normal 2 7 4 3 2 4 2" xfId="33701" xr:uid="{00000000-0005-0000-0000-0000A8830000}"/>
    <cellStyle name="Normal 2 7 4 3 2 4 3" xfId="33702" xr:uid="{00000000-0005-0000-0000-0000A9830000}"/>
    <cellStyle name="Normal 2 7 4 3 2 4 4" xfId="33703" xr:uid="{00000000-0005-0000-0000-0000AA830000}"/>
    <cellStyle name="Normal 2 7 4 3 2 5" xfId="33704" xr:uid="{00000000-0005-0000-0000-0000AB830000}"/>
    <cellStyle name="Normal 2 7 4 3 2 5 2" xfId="33705" xr:uid="{00000000-0005-0000-0000-0000AC830000}"/>
    <cellStyle name="Normal 2 7 4 3 2 6" xfId="33706" xr:uid="{00000000-0005-0000-0000-0000AD830000}"/>
    <cellStyle name="Normal 2 7 4 3 2 7" xfId="33707" xr:uid="{00000000-0005-0000-0000-0000AE830000}"/>
    <cellStyle name="Normal 2 7 4 3 2 8" xfId="33708" xr:uid="{00000000-0005-0000-0000-0000AF830000}"/>
    <cellStyle name="Normal 2 7 4 3 2 9" xfId="33709" xr:uid="{00000000-0005-0000-0000-0000B0830000}"/>
    <cellStyle name="Normal 2 7 4 3 3" xfId="33710" xr:uid="{00000000-0005-0000-0000-0000B1830000}"/>
    <cellStyle name="Normal 2 7 4 3 3 2" xfId="33711" xr:uid="{00000000-0005-0000-0000-0000B2830000}"/>
    <cellStyle name="Normal 2 7 4 3 3 2 2" xfId="33712" xr:uid="{00000000-0005-0000-0000-0000B3830000}"/>
    <cellStyle name="Normal 2 7 4 3 3 2 2 2" xfId="33713" xr:uid="{00000000-0005-0000-0000-0000B4830000}"/>
    <cellStyle name="Normal 2 7 4 3 3 2 2 3" xfId="33714" xr:uid="{00000000-0005-0000-0000-0000B5830000}"/>
    <cellStyle name="Normal 2 7 4 3 3 2 3" xfId="33715" xr:uid="{00000000-0005-0000-0000-0000B6830000}"/>
    <cellStyle name="Normal 2 7 4 3 3 2 4" xfId="33716" xr:uid="{00000000-0005-0000-0000-0000B7830000}"/>
    <cellStyle name="Normal 2 7 4 3 3 2 5" xfId="33717" xr:uid="{00000000-0005-0000-0000-0000B8830000}"/>
    <cellStyle name="Normal 2 7 4 3 3 2 6" xfId="33718" xr:uid="{00000000-0005-0000-0000-0000B9830000}"/>
    <cellStyle name="Normal 2 7 4 3 3 3" xfId="33719" xr:uid="{00000000-0005-0000-0000-0000BA830000}"/>
    <cellStyle name="Normal 2 7 4 3 3 3 2" xfId="33720" xr:uid="{00000000-0005-0000-0000-0000BB830000}"/>
    <cellStyle name="Normal 2 7 4 3 3 3 2 2" xfId="33721" xr:uid="{00000000-0005-0000-0000-0000BC830000}"/>
    <cellStyle name="Normal 2 7 4 3 3 3 3" xfId="33722" xr:uid="{00000000-0005-0000-0000-0000BD830000}"/>
    <cellStyle name="Normal 2 7 4 3 3 3 4" xfId="33723" xr:uid="{00000000-0005-0000-0000-0000BE830000}"/>
    <cellStyle name="Normal 2 7 4 3 3 3 5" xfId="33724" xr:uid="{00000000-0005-0000-0000-0000BF830000}"/>
    <cellStyle name="Normal 2 7 4 3 3 4" xfId="33725" xr:uid="{00000000-0005-0000-0000-0000C0830000}"/>
    <cellStyle name="Normal 2 7 4 3 3 4 2" xfId="33726" xr:uid="{00000000-0005-0000-0000-0000C1830000}"/>
    <cellStyle name="Normal 2 7 4 3 3 4 3" xfId="33727" xr:uid="{00000000-0005-0000-0000-0000C2830000}"/>
    <cellStyle name="Normal 2 7 4 3 3 4 4" xfId="33728" xr:uid="{00000000-0005-0000-0000-0000C3830000}"/>
    <cellStyle name="Normal 2 7 4 3 3 5" xfId="33729" xr:uid="{00000000-0005-0000-0000-0000C4830000}"/>
    <cellStyle name="Normal 2 7 4 3 3 5 2" xfId="33730" xr:uid="{00000000-0005-0000-0000-0000C5830000}"/>
    <cellStyle name="Normal 2 7 4 3 3 6" xfId="33731" xr:uid="{00000000-0005-0000-0000-0000C6830000}"/>
    <cellStyle name="Normal 2 7 4 3 3 7" xfId="33732" xr:uid="{00000000-0005-0000-0000-0000C7830000}"/>
    <cellStyle name="Normal 2 7 4 3 3 8" xfId="33733" xr:uid="{00000000-0005-0000-0000-0000C8830000}"/>
    <cellStyle name="Normal 2 7 4 3 3 9" xfId="33734" xr:uid="{00000000-0005-0000-0000-0000C9830000}"/>
    <cellStyle name="Normal 2 7 4 3 4" xfId="33735" xr:uid="{00000000-0005-0000-0000-0000CA830000}"/>
    <cellStyle name="Normal 2 7 4 3 4 2" xfId="33736" xr:uid="{00000000-0005-0000-0000-0000CB830000}"/>
    <cellStyle name="Normal 2 7 4 3 4 2 2" xfId="33737" xr:uid="{00000000-0005-0000-0000-0000CC830000}"/>
    <cellStyle name="Normal 2 7 4 3 4 2 3" xfId="33738" xr:uid="{00000000-0005-0000-0000-0000CD830000}"/>
    <cellStyle name="Normal 2 7 4 3 4 3" xfId="33739" xr:uid="{00000000-0005-0000-0000-0000CE830000}"/>
    <cellStyle name="Normal 2 7 4 3 4 4" xfId="33740" xr:uid="{00000000-0005-0000-0000-0000CF830000}"/>
    <cellStyle name="Normal 2 7 4 3 4 5" xfId="33741" xr:uid="{00000000-0005-0000-0000-0000D0830000}"/>
    <cellStyle name="Normal 2 7 4 3 4 6" xfId="33742" xr:uid="{00000000-0005-0000-0000-0000D1830000}"/>
    <cellStyle name="Normal 2 7 4 3 5" xfId="33743" xr:uid="{00000000-0005-0000-0000-0000D2830000}"/>
    <cellStyle name="Normal 2 7 4 3 5 2" xfId="33744" xr:uid="{00000000-0005-0000-0000-0000D3830000}"/>
    <cellStyle name="Normal 2 7 4 3 5 2 2" xfId="33745" xr:uid="{00000000-0005-0000-0000-0000D4830000}"/>
    <cellStyle name="Normal 2 7 4 3 5 3" xfId="33746" xr:uid="{00000000-0005-0000-0000-0000D5830000}"/>
    <cellStyle name="Normal 2 7 4 3 5 4" xfId="33747" xr:uid="{00000000-0005-0000-0000-0000D6830000}"/>
    <cellStyle name="Normal 2 7 4 3 5 5" xfId="33748" xr:uid="{00000000-0005-0000-0000-0000D7830000}"/>
    <cellStyle name="Normal 2 7 4 3 6" xfId="33749" xr:uid="{00000000-0005-0000-0000-0000D8830000}"/>
    <cellStyle name="Normal 2 7 4 3 6 2" xfId="33750" xr:uid="{00000000-0005-0000-0000-0000D9830000}"/>
    <cellStyle name="Normal 2 7 4 3 6 3" xfId="33751" xr:uid="{00000000-0005-0000-0000-0000DA830000}"/>
    <cellStyle name="Normal 2 7 4 3 6 4" xfId="33752" xr:uid="{00000000-0005-0000-0000-0000DB830000}"/>
    <cellStyle name="Normal 2 7 4 3 7" xfId="33753" xr:uid="{00000000-0005-0000-0000-0000DC830000}"/>
    <cellStyle name="Normal 2 7 4 3 7 2" xfId="33754" xr:uid="{00000000-0005-0000-0000-0000DD830000}"/>
    <cellStyle name="Normal 2 7 4 3 8" xfId="33755" xr:uid="{00000000-0005-0000-0000-0000DE830000}"/>
    <cellStyle name="Normal 2 7 4 3 9" xfId="33756" xr:uid="{00000000-0005-0000-0000-0000DF830000}"/>
    <cellStyle name="Normal 2 7 4 4" xfId="33757" xr:uid="{00000000-0005-0000-0000-0000E0830000}"/>
    <cellStyle name="Normal 2 7 4 4 10" xfId="33758" xr:uid="{00000000-0005-0000-0000-0000E1830000}"/>
    <cellStyle name="Normal 2 7 4 4 11" xfId="33759" xr:uid="{00000000-0005-0000-0000-0000E2830000}"/>
    <cellStyle name="Normal 2 7 4 4 2" xfId="33760" xr:uid="{00000000-0005-0000-0000-0000E3830000}"/>
    <cellStyle name="Normal 2 7 4 4 2 2" xfId="33761" xr:uid="{00000000-0005-0000-0000-0000E4830000}"/>
    <cellStyle name="Normal 2 7 4 4 2 2 2" xfId="33762" xr:uid="{00000000-0005-0000-0000-0000E5830000}"/>
    <cellStyle name="Normal 2 7 4 4 2 2 2 2" xfId="33763" xr:uid="{00000000-0005-0000-0000-0000E6830000}"/>
    <cellStyle name="Normal 2 7 4 4 2 2 2 3" xfId="33764" xr:uid="{00000000-0005-0000-0000-0000E7830000}"/>
    <cellStyle name="Normal 2 7 4 4 2 2 3" xfId="33765" xr:uid="{00000000-0005-0000-0000-0000E8830000}"/>
    <cellStyle name="Normal 2 7 4 4 2 2 4" xfId="33766" xr:uid="{00000000-0005-0000-0000-0000E9830000}"/>
    <cellStyle name="Normal 2 7 4 4 2 2 5" xfId="33767" xr:uid="{00000000-0005-0000-0000-0000EA830000}"/>
    <cellStyle name="Normal 2 7 4 4 2 2 6" xfId="33768" xr:uid="{00000000-0005-0000-0000-0000EB830000}"/>
    <cellStyle name="Normal 2 7 4 4 2 3" xfId="33769" xr:uid="{00000000-0005-0000-0000-0000EC830000}"/>
    <cellStyle name="Normal 2 7 4 4 2 3 2" xfId="33770" xr:uid="{00000000-0005-0000-0000-0000ED830000}"/>
    <cellStyle name="Normal 2 7 4 4 2 3 2 2" xfId="33771" xr:uid="{00000000-0005-0000-0000-0000EE830000}"/>
    <cellStyle name="Normal 2 7 4 4 2 3 3" xfId="33772" xr:uid="{00000000-0005-0000-0000-0000EF830000}"/>
    <cellStyle name="Normal 2 7 4 4 2 3 4" xfId="33773" xr:uid="{00000000-0005-0000-0000-0000F0830000}"/>
    <cellStyle name="Normal 2 7 4 4 2 3 5" xfId="33774" xr:uid="{00000000-0005-0000-0000-0000F1830000}"/>
    <cellStyle name="Normal 2 7 4 4 2 4" xfId="33775" xr:uid="{00000000-0005-0000-0000-0000F2830000}"/>
    <cellStyle name="Normal 2 7 4 4 2 4 2" xfId="33776" xr:uid="{00000000-0005-0000-0000-0000F3830000}"/>
    <cellStyle name="Normal 2 7 4 4 2 4 3" xfId="33777" xr:uid="{00000000-0005-0000-0000-0000F4830000}"/>
    <cellStyle name="Normal 2 7 4 4 2 4 4" xfId="33778" xr:uid="{00000000-0005-0000-0000-0000F5830000}"/>
    <cellStyle name="Normal 2 7 4 4 2 5" xfId="33779" xr:uid="{00000000-0005-0000-0000-0000F6830000}"/>
    <cellStyle name="Normal 2 7 4 4 2 5 2" xfId="33780" xr:uid="{00000000-0005-0000-0000-0000F7830000}"/>
    <cellStyle name="Normal 2 7 4 4 2 6" xfId="33781" xr:uid="{00000000-0005-0000-0000-0000F8830000}"/>
    <cellStyle name="Normal 2 7 4 4 2 7" xfId="33782" xr:uid="{00000000-0005-0000-0000-0000F9830000}"/>
    <cellStyle name="Normal 2 7 4 4 2 8" xfId="33783" xr:uid="{00000000-0005-0000-0000-0000FA830000}"/>
    <cellStyle name="Normal 2 7 4 4 2 9" xfId="33784" xr:uid="{00000000-0005-0000-0000-0000FB830000}"/>
    <cellStyle name="Normal 2 7 4 4 3" xfId="33785" xr:uid="{00000000-0005-0000-0000-0000FC830000}"/>
    <cellStyle name="Normal 2 7 4 4 3 2" xfId="33786" xr:uid="{00000000-0005-0000-0000-0000FD830000}"/>
    <cellStyle name="Normal 2 7 4 4 3 2 2" xfId="33787" xr:uid="{00000000-0005-0000-0000-0000FE830000}"/>
    <cellStyle name="Normal 2 7 4 4 3 2 2 2" xfId="33788" xr:uid="{00000000-0005-0000-0000-0000FF830000}"/>
    <cellStyle name="Normal 2 7 4 4 3 2 2 3" xfId="33789" xr:uid="{00000000-0005-0000-0000-000000840000}"/>
    <cellStyle name="Normal 2 7 4 4 3 2 3" xfId="33790" xr:uid="{00000000-0005-0000-0000-000001840000}"/>
    <cellStyle name="Normal 2 7 4 4 3 2 4" xfId="33791" xr:uid="{00000000-0005-0000-0000-000002840000}"/>
    <cellStyle name="Normal 2 7 4 4 3 2 5" xfId="33792" xr:uid="{00000000-0005-0000-0000-000003840000}"/>
    <cellStyle name="Normal 2 7 4 4 3 2 6" xfId="33793" xr:uid="{00000000-0005-0000-0000-000004840000}"/>
    <cellStyle name="Normal 2 7 4 4 3 3" xfId="33794" xr:uid="{00000000-0005-0000-0000-000005840000}"/>
    <cellStyle name="Normal 2 7 4 4 3 3 2" xfId="33795" xr:uid="{00000000-0005-0000-0000-000006840000}"/>
    <cellStyle name="Normal 2 7 4 4 3 3 2 2" xfId="33796" xr:uid="{00000000-0005-0000-0000-000007840000}"/>
    <cellStyle name="Normal 2 7 4 4 3 3 3" xfId="33797" xr:uid="{00000000-0005-0000-0000-000008840000}"/>
    <cellStyle name="Normal 2 7 4 4 3 3 4" xfId="33798" xr:uid="{00000000-0005-0000-0000-000009840000}"/>
    <cellStyle name="Normal 2 7 4 4 3 3 5" xfId="33799" xr:uid="{00000000-0005-0000-0000-00000A840000}"/>
    <cellStyle name="Normal 2 7 4 4 3 4" xfId="33800" xr:uid="{00000000-0005-0000-0000-00000B840000}"/>
    <cellStyle name="Normal 2 7 4 4 3 4 2" xfId="33801" xr:uid="{00000000-0005-0000-0000-00000C840000}"/>
    <cellStyle name="Normal 2 7 4 4 3 4 3" xfId="33802" xr:uid="{00000000-0005-0000-0000-00000D840000}"/>
    <cellStyle name="Normal 2 7 4 4 3 4 4" xfId="33803" xr:uid="{00000000-0005-0000-0000-00000E840000}"/>
    <cellStyle name="Normal 2 7 4 4 3 5" xfId="33804" xr:uid="{00000000-0005-0000-0000-00000F840000}"/>
    <cellStyle name="Normal 2 7 4 4 3 5 2" xfId="33805" xr:uid="{00000000-0005-0000-0000-000010840000}"/>
    <cellStyle name="Normal 2 7 4 4 3 6" xfId="33806" xr:uid="{00000000-0005-0000-0000-000011840000}"/>
    <cellStyle name="Normal 2 7 4 4 3 7" xfId="33807" xr:uid="{00000000-0005-0000-0000-000012840000}"/>
    <cellStyle name="Normal 2 7 4 4 3 8" xfId="33808" xr:uid="{00000000-0005-0000-0000-000013840000}"/>
    <cellStyle name="Normal 2 7 4 4 3 9" xfId="33809" xr:uid="{00000000-0005-0000-0000-000014840000}"/>
    <cellStyle name="Normal 2 7 4 4 4" xfId="33810" xr:uid="{00000000-0005-0000-0000-000015840000}"/>
    <cellStyle name="Normal 2 7 4 4 4 2" xfId="33811" xr:uid="{00000000-0005-0000-0000-000016840000}"/>
    <cellStyle name="Normal 2 7 4 4 4 2 2" xfId="33812" xr:uid="{00000000-0005-0000-0000-000017840000}"/>
    <cellStyle name="Normal 2 7 4 4 4 2 3" xfId="33813" xr:uid="{00000000-0005-0000-0000-000018840000}"/>
    <cellStyle name="Normal 2 7 4 4 4 3" xfId="33814" xr:uid="{00000000-0005-0000-0000-000019840000}"/>
    <cellStyle name="Normal 2 7 4 4 4 4" xfId="33815" xr:uid="{00000000-0005-0000-0000-00001A840000}"/>
    <cellStyle name="Normal 2 7 4 4 4 5" xfId="33816" xr:uid="{00000000-0005-0000-0000-00001B840000}"/>
    <cellStyle name="Normal 2 7 4 4 4 6" xfId="33817" xr:uid="{00000000-0005-0000-0000-00001C840000}"/>
    <cellStyle name="Normal 2 7 4 4 5" xfId="33818" xr:uid="{00000000-0005-0000-0000-00001D840000}"/>
    <cellStyle name="Normal 2 7 4 4 5 2" xfId="33819" xr:uid="{00000000-0005-0000-0000-00001E840000}"/>
    <cellStyle name="Normal 2 7 4 4 5 2 2" xfId="33820" xr:uid="{00000000-0005-0000-0000-00001F840000}"/>
    <cellStyle name="Normal 2 7 4 4 5 3" xfId="33821" xr:uid="{00000000-0005-0000-0000-000020840000}"/>
    <cellStyle name="Normal 2 7 4 4 5 4" xfId="33822" xr:uid="{00000000-0005-0000-0000-000021840000}"/>
    <cellStyle name="Normal 2 7 4 4 5 5" xfId="33823" xr:uid="{00000000-0005-0000-0000-000022840000}"/>
    <cellStyle name="Normal 2 7 4 4 6" xfId="33824" xr:uid="{00000000-0005-0000-0000-000023840000}"/>
    <cellStyle name="Normal 2 7 4 4 6 2" xfId="33825" xr:uid="{00000000-0005-0000-0000-000024840000}"/>
    <cellStyle name="Normal 2 7 4 4 6 3" xfId="33826" xr:uid="{00000000-0005-0000-0000-000025840000}"/>
    <cellStyle name="Normal 2 7 4 4 6 4" xfId="33827" xr:uid="{00000000-0005-0000-0000-000026840000}"/>
    <cellStyle name="Normal 2 7 4 4 7" xfId="33828" xr:uid="{00000000-0005-0000-0000-000027840000}"/>
    <cellStyle name="Normal 2 7 4 4 7 2" xfId="33829" xr:uid="{00000000-0005-0000-0000-000028840000}"/>
    <cellStyle name="Normal 2 7 4 4 8" xfId="33830" xr:uid="{00000000-0005-0000-0000-000029840000}"/>
    <cellStyle name="Normal 2 7 4 4 9" xfId="33831" xr:uid="{00000000-0005-0000-0000-00002A840000}"/>
    <cellStyle name="Normal 2 7 4 5" xfId="33832" xr:uid="{00000000-0005-0000-0000-00002B840000}"/>
    <cellStyle name="Normal 2 7 4 5 10" xfId="33833" xr:uid="{00000000-0005-0000-0000-00002C840000}"/>
    <cellStyle name="Normal 2 7 4 5 11" xfId="33834" xr:uid="{00000000-0005-0000-0000-00002D840000}"/>
    <cellStyle name="Normal 2 7 4 5 2" xfId="33835" xr:uid="{00000000-0005-0000-0000-00002E840000}"/>
    <cellStyle name="Normal 2 7 4 5 2 2" xfId="33836" xr:uid="{00000000-0005-0000-0000-00002F840000}"/>
    <cellStyle name="Normal 2 7 4 5 2 2 2" xfId="33837" xr:uid="{00000000-0005-0000-0000-000030840000}"/>
    <cellStyle name="Normal 2 7 4 5 2 2 2 2" xfId="33838" xr:uid="{00000000-0005-0000-0000-000031840000}"/>
    <cellStyle name="Normal 2 7 4 5 2 2 2 3" xfId="33839" xr:uid="{00000000-0005-0000-0000-000032840000}"/>
    <cellStyle name="Normal 2 7 4 5 2 2 3" xfId="33840" xr:uid="{00000000-0005-0000-0000-000033840000}"/>
    <cellStyle name="Normal 2 7 4 5 2 2 4" xfId="33841" xr:uid="{00000000-0005-0000-0000-000034840000}"/>
    <cellStyle name="Normal 2 7 4 5 2 2 5" xfId="33842" xr:uid="{00000000-0005-0000-0000-000035840000}"/>
    <cellStyle name="Normal 2 7 4 5 2 2 6" xfId="33843" xr:uid="{00000000-0005-0000-0000-000036840000}"/>
    <cellStyle name="Normal 2 7 4 5 2 3" xfId="33844" xr:uid="{00000000-0005-0000-0000-000037840000}"/>
    <cellStyle name="Normal 2 7 4 5 2 3 2" xfId="33845" xr:uid="{00000000-0005-0000-0000-000038840000}"/>
    <cellStyle name="Normal 2 7 4 5 2 3 2 2" xfId="33846" xr:uid="{00000000-0005-0000-0000-000039840000}"/>
    <cellStyle name="Normal 2 7 4 5 2 3 3" xfId="33847" xr:uid="{00000000-0005-0000-0000-00003A840000}"/>
    <cellStyle name="Normal 2 7 4 5 2 3 4" xfId="33848" xr:uid="{00000000-0005-0000-0000-00003B840000}"/>
    <cellStyle name="Normal 2 7 4 5 2 3 5" xfId="33849" xr:uid="{00000000-0005-0000-0000-00003C840000}"/>
    <cellStyle name="Normal 2 7 4 5 2 4" xfId="33850" xr:uid="{00000000-0005-0000-0000-00003D840000}"/>
    <cellStyle name="Normal 2 7 4 5 2 4 2" xfId="33851" xr:uid="{00000000-0005-0000-0000-00003E840000}"/>
    <cellStyle name="Normal 2 7 4 5 2 4 3" xfId="33852" xr:uid="{00000000-0005-0000-0000-00003F840000}"/>
    <cellStyle name="Normal 2 7 4 5 2 4 4" xfId="33853" xr:uid="{00000000-0005-0000-0000-000040840000}"/>
    <cellStyle name="Normal 2 7 4 5 2 5" xfId="33854" xr:uid="{00000000-0005-0000-0000-000041840000}"/>
    <cellStyle name="Normal 2 7 4 5 2 5 2" xfId="33855" xr:uid="{00000000-0005-0000-0000-000042840000}"/>
    <cellStyle name="Normal 2 7 4 5 2 6" xfId="33856" xr:uid="{00000000-0005-0000-0000-000043840000}"/>
    <cellStyle name="Normal 2 7 4 5 2 7" xfId="33857" xr:uid="{00000000-0005-0000-0000-000044840000}"/>
    <cellStyle name="Normal 2 7 4 5 2 8" xfId="33858" xr:uid="{00000000-0005-0000-0000-000045840000}"/>
    <cellStyle name="Normal 2 7 4 5 2 9" xfId="33859" xr:uid="{00000000-0005-0000-0000-000046840000}"/>
    <cellStyle name="Normal 2 7 4 5 3" xfId="33860" xr:uid="{00000000-0005-0000-0000-000047840000}"/>
    <cellStyle name="Normal 2 7 4 5 3 2" xfId="33861" xr:uid="{00000000-0005-0000-0000-000048840000}"/>
    <cellStyle name="Normal 2 7 4 5 3 2 2" xfId="33862" xr:uid="{00000000-0005-0000-0000-000049840000}"/>
    <cellStyle name="Normal 2 7 4 5 3 2 2 2" xfId="33863" xr:uid="{00000000-0005-0000-0000-00004A840000}"/>
    <cellStyle name="Normal 2 7 4 5 3 2 2 3" xfId="33864" xr:uid="{00000000-0005-0000-0000-00004B840000}"/>
    <cellStyle name="Normal 2 7 4 5 3 2 3" xfId="33865" xr:uid="{00000000-0005-0000-0000-00004C840000}"/>
    <cellStyle name="Normal 2 7 4 5 3 2 4" xfId="33866" xr:uid="{00000000-0005-0000-0000-00004D840000}"/>
    <cellStyle name="Normal 2 7 4 5 3 2 5" xfId="33867" xr:uid="{00000000-0005-0000-0000-00004E840000}"/>
    <cellStyle name="Normal 2 7 4 5 3 2 6" xfId="33868" xr:uid="{00000000-0005-0000-0000-00004F840000}"/>
    <cellStyle name="Normal 2 7 4 5 3 3" xfId="33869" xr:uid="{00000000-0005-0000-0000-000050840000}"/>
    <cellStyle name="Normal 2 7 4 5 3 3 2" xfId="33870" xr:uid="{00000000-0005-0000-0000-000051840000}"/>
    <cellStyle name="Normal 2 7 4 5 3 3 2 2" xfId="33871" xr:uid="{00000000-0005-0000-0000-000052840000}"/>
    <cellStyle name="Normal 2 7 4 5 3 3 3" xfId="33872" xr:uid="{00000000-0005-0000-0000-000053840000}"/>
    <cellStyle name="Normal 2 7 4 5 3 3 4" xfId="33873" xr:uid="{00000000-0005-0000-0000-000054840000}"/>
    <cellStyle name="Normal 2 7 4 5 3 3 5" xfId="33874" xr:uid="{00000000-0005-0000-0000-000055840000}"/>
    <cellStyle name="Normal 2 7 4 5 3 4" xfId="33875" xr:uid="{00000000-0005-0000-0000-000056840000}"/>
    <cellStyle name="Normal 2 7 4 5 3 4 2" xfId="33876" xr:uid="{00000000-0005-0000-0000-000057840000}"/>
    <cellStyle name="Normal 2 7 4 5 3 4 3" xfId="33877" xr:uid="{00000000-0005-0000-0000-000058840000}"/>
    <cellStyle name="Normal 2 7 4 5 3 4 4" xfId="33878" xr:uid="{00000000-0005-0000-0000-000059840000}"/>
    <cellStyle name="Normal 2 7 4 5 3 5" xfId="33879" xr:uid="{00000000-0005-0000-0000-00005A840000}"/>
    <cellStyle name="Normal 2 7 4 5 3 5 2" xfId="33880" xr:uid="{00000000-0005-0000-0000-00005B840000}"/>
    <cellStyle name="Normal 2 7 4 5 3 6" xfId="33881" xr:uid="{00000000-0005-0000-0000-00005C840000}"/>
    <cellStyle name="Normal 2 7 4 5 3 7" xfId="33882" xr:uid="{00000000-0005-0000-0000-00005D840000}"/>
    <cellStyle name="Normal 2 7 4 5 3 8" xfId="33883" xr:uid="{00000000-0005-0000-0000-00005E840000}"/>
    <cellStyle name="Normal 2 7 4 5 3 9" xfId="33884" xr:uid="{00000000-0005-0000-0000-00005F840000}"/>
    <cellStyle name="Normal 2 7 4 5 4" xfId="33885" xr:uid="{00000000-0005-0000-0000-000060840000}"/>
    <cellStyle name="Normal 2 7 4 5 4 2" xfId="33886" xr:uid="{00000000-0005-0000-0000-000061840000}"/>
    <cellStyle name="Normal 2 7 4 5 4 2 2" xfId="33887" xr:uid="{00000000-0005-0000-0000-000062840000}"/>
    <cellStyle name="Normal 2 7 4 5 4 2 3" xfId="33888" xr:uid="{00000000-0005-0000-0000-000063840000}"/>
    <cellStyle name="Normal 2 7 4 5 4 3" xfId="33889" xr:uid="{00000000-0005-0000-0000-000064840000}"/>
    <cellStyle name="Normal 2 7 4 5 4 4" xfId="33890" xr:uid="{00000000-0005-0000-0000-000065840000}"/>
    <cellStyle name="Normal 2 7 4 5 4 5" xfId="33891" xr:uid="{00000000-0005-0000-0000-000066840000}"/>
    <cellStyle name="Normal 2 7 4 5 4 6" xfId="33892" xr:uid="{00000000-0005-0000-0000-000067840000}"/>
    <cellStyle name="Normal 2 7 4 5 5" xfId="33893" xr:uid="{00000000-0005-0000-0000-000068840000}"/>
    <cellStyle name="Normal 2 7 4 5 5 2" xfId="33894" xr:uid="{00000000-0005-0000-0000-000069840000}"/>
    <cellStyle name="Normal 2 7 4 5 5 2 2" xfId="33895" xr:uid="{00000000-0005-0000-0000-00006A840000}"/>
    <cellStyle name="Normal 2 7 4 5 5 3" xfId="33896" xr:uid="{00000000-0005-0000-0000-00006B840000}"/>
    <cellStyle name="Normal 2 7 4 5 5 4" xfId="33897" xr:uid="{00000000-0005-0000-0000-00006C840000}"/>
    <cellStyle name="Normal 2 7 4 5 5 5" xfId="33898" xr:uid="{00000000-0005-0000-0000-00006D840000}"/>
    <cellStyle name="Normal 2 7 4 5 6" xfId="33899" xr:uid="{00000000-0005-0000-0000-00006E840000}"/>
    <cellStyle name="Normal 2 7 4 5 6 2" xfId="33900" xr:uid="{00000000-0005-0000-0000-00006F840000}"/>
    <cellStyle name="Normal 2 7 4 5 6 3" xfId="33901" xr:uid="{00000000-0005-0000-0000-000070840000}"/>
    <cellStyle name="Normal 2 7 4 5 6 4" xfId="33902" xr:uid="{00000000-0005-0000-0000-000071840000}"/>
    <cellStyle name="Normal 2 7 4 5 7" xfId="33903" xr:uid="{00000000-0005-0000-0000-000072840000}"/>
    <cellStyle name="Normal 2 7 4 5 7 2" xfId="33904" xr:uid="{00000000-0005-0000-0000-000073840000}"/>
    <cellStyle name="Normal 2 7 4 5 8" xfId="33905" xr:uid="{00000000-0005-0000-0000-000074840000}"/>
    <cellStyle name="Normal 2 7 4 5 9" xfId="33906" xr:uid="{00000000-0005-0000-0000-000075840000}"/>
    <cellStyle name="Normal 2 7 4 6" xfId="33907" xr:uid="{00000000-0005-0000-0000-000076840000}"/>
    <cellStyle name="Normal 2 7 4 6 10" xfId="33908" xr:uid="{00000000-0005-0000-0000-000077840000}"/>
    <cellStyle name="Normal 2 7 4 6 11" xfId="33909" xr:uid="{00000000-0005-0000-0000-000078840000}"/>
    <cellStyle name="Normal 2 7 4 6 2" xfId="33910" xr:uid="{00000000-0005-0000-0000-000079840000}"/>
    <cellStyle name="Normal 2 7 4 6 2 2" xfId="33911" xr:uid="{00000000-0005-0000-0000-00007A840000}"/>
    <cellStyle name="Normal 2 7 4 6 2 2 2" xfId="33912" xr:uid="{00000000-0005-0000-0000-00007B840000}"/>
    <cellStyle name="Normal 2 7 4 6 2 2 2 2" xfId="33913" xr:uid="{00000000-0005-0000-0000-00007C840000}"/>
    <cellStyle name="Normal 2 7 4 6 2 2 2 3" xfId="33914" xr:uid="{00000000-0005-0000-0000-00007D840000}"/>
    <cellStyle name="Normal 2 7 4 6 2 2 3" xfId="33915" xr:uid="{00000000-0005-0000-0000-00007E840000}"/>
    <cellStyle name="Normal 2 7 4 6 2 2 4" xfId="33916" xr:uid="{00000000-0005-0000-0000-00007F840000}"/>
    <cellStyle name="Normal 2 7 4 6 2 2 5" xfId="33917" xr:uid="{00000000-0005-0000-0000-000080840000}"/>
    <cellStyle name="Normal 2 7 4 6 2 2 6" xfId="33918" xr:uid="{00000000-0005-0000-0000-000081840000}"/>
    <cellStyle name="Normal 2 7 4 6 2 3" xfId="33919" xr:uid="{00000000-0005-0000-0000-000082840000}"/>
    <cellStyle name="Normal 2 7 4 6 2 3 2" xfId="33920" xr:uid="{00000000-0005-0000-0000-000083840000}"/>
    <cellStyle name="Normal 2 7 4 6 2 3 2 2" xfId="33921" xr:uid="{00000000-0005-0000-0000-000084840000}"/>
    <cellStyle name="Normal 2 7 4 6 2 3 3" xfId="33922" xr:uid="{00000000-0005-0000-0000-000085840000}"/>
    <cellStyle name="Normal 2 7 4 6 2 3 4" xfId="33923" xr:uid="{00000000-0005-0000-0000-000086840000}"/>
    <cellStyle name="Normal 2 7 4 6 2 3 5" xfId="33924" xr:uid="{00000000-0005-0000-0000-000087840000}"/>
    <cellStyle name="Normal 2 7 4 6 2 4" xfId="33925" xr:uid="{00000000-0005-0000-0000-000088840000}"/>
    <cellStyle name="Normal 2 7 4 6 2 4 2" xfId="33926" xr:uid="{00000000-0005-0000-0000-000089840000}"/>
    <cellStyle name="Normal 2 7 4 6 2 4 3" xfId="33927" xr:uid="{00000000-0005-0000-0000-00008A840000}"/>
    <cellStyle name="Normal 2 7 4 6 2 4 4" xfId="33928" xr:uid="{00000000-0005-0000-0000-00008B840000}"/>
    <cellStyle name="Normal 2 7 4 6 2 5" xfId="33929" xr:uid="{00000000-0005-0000-0000-00008C840000}"/>
    <cellStyle name="Normal 2 7 4 6 2 5 2" xfId="33930" xr:uid="{00000000-0005-0000-0000-00008D840000}"/>
    <cellStyle name="Normal 2 7 4 6 2 6" xfId="33931" xr:uid="{00000000-0005-0000-0000-00008E840000}"/>
    <cellStyle name="Normal 2 7 4 6 2 7" xfId="33932" xr:uid="{00000000-0005-0000-0000-00008F840000}"/>
    <cellStyle name="Normal 2 7 4 6 2 8" xfId="33933" xr:uid="{00000000-0005-0000-0000-000090840000}"/>
    <cellStyle name="Normal 2 7 4 6 2 9" xfId="33934" xr:uid="{00000000-0005-0000-0000-000091840000}"/>
    <cellStyle name="Normal 2 7 4 6 3" xfId="33935" xr:uid="{00000000-0005-0000-0000-000092840000}"/>
    <cellStyle name="Normal 2 7 4 6 3 2" xfId="33936" xr:uid="{00000000-0005-0000-0000-000093840000}"/>
    <cellStyle name="Normal 2 7 4 6 3 2 2" xfId="33937" xr:uid="{00000000-0005-0000-0000-000094840000}"/>
    <cellStyle name="Normal 2 7 4 6 3 2 2 2" xfId="33938" xr:uid="{00000000-0005-0000-0000-000095840000}"/>
    <cellStyle name="Normal 2 7 4 6 3 2 2 3" xfId="33939" xr:uid="{00000000-0005-0000-0000-000096840000}"/>
    <cellStyle name="Normal 2 7 4 6 3 2 3" xfId="33940" xr:uid="{00000000-0005-0000-0000-000097840000}"/>
    <cellStyle name="Normal 2 7 4 6 3 2 4" xfId="33941" xr:uid="{00000000-0005-0000-0000-000098840000}"/>
    <cellStyle name="Normal 2 7 4 6 3 2 5" xfId="33942" xr:uid="{00000000-0005-0000-0000-000099840000}"/>
    <cellStyle name="Normal 2 7 4 6 3 2 6" xfId="33943" xr:uid="{00000000-0005-0000-0000-00009A840000}"/>
    <cellStyle name="Normal 2 7 4 6 3 3" xfId="33944" xr:uid="{00000000-0005-0000-0000-00009B840000}"/>
    <cellStyle name="Normal 2 7 4 6 3 3 2" xfId="33945" xr:uid="{00000000-0005-0000-0000-00009C840000}"/>
    <cellStyle name="Normal 2 7 4 6 3 3 2 2" xfId="33946" xr:uid="{00000000-0005-0000-0000-00009D840000}"/>
    <cellStyle name="Normal 2 7 4 6 3 3 3" xfId="33947" xr:uid="{00000000-0005-0000-0000-00009E840000}"/>
    <cellStyle name="Normal 2 7 4 6 3 3 4" xfId="33948" xr:uid="{00000000-0005-0000-0000-00009F840000}"/>
    <cellStyle name="Normal 2 7 4 6 3 3 5" xfId="33949" xr:uid="{00000000-0005-0000-0000-0000A0840000}"/>
    <cellStyle name="Normal 2 7 4 6 3 4" xfId="33950" xr:uid="{00000000-0005-0000-0000-0000A1840000}"/>
    <cellStyle name="Normal 2 7 4 6 3 4 2" xfId="33951" xr:uid="{00000000-0005-0000-0000-0000A2840000}"/>
    <cellStyle name="Normal 2 7 4 6 3 4 3" xfId="33952" xr:uid="{00000000-0005-0000-0000-0000A3840000}"/>
    <cellStyle name="Normal 2 7 4 6 3 4 4" xfId="33953" xr:uid="{00000000-0005-0000-0000-0000A4840000}"/>
    <cellStyle name="Normal 2 7 4 6 3 5" xfId="33954" xr:uid="{00000000-0005-0000-0000-0000A5840000}"/>
    <cellStyle name="Normal 2 7 4 6 3 5 2" xfId="33955" xr:uid="{00000000-0005-0000-0000-0000A6840000}"/>
    <cellStyle name="Normal 2 7 4 6 3 6" xfId="33956" xr:uid="{00000000-0005-0000-0000-0000A7840000}"/>
    <cellStyle name="Normal 2 7 4 6 3 7" xfId="33957" xr:uid="{00000000-0005-0000-0000-0000A8840000}"/>
    <cellStyle name="Normal 2 7 4 6 3 8" xfId="33958" xr:uid="{00000000-0005-0000-0000-0000A9840000}"/>
    <cellStyle name="Normal 2 7 4 6 3 9" xfId="33959" xr:uid="{00000000-0005-0000-0000-0000AA840000}"/>
    <cellStyle name="Normal 2 7 4 6 4" xfId="33960" xr:uid="{00000000-0005-0000-0000-0000AB840000}"/>
    <cellStyle name="Normal 2 7 4 6 4 2" xfId="33961" xr:uid="{00000000-0005-0000-0000-0000AC840000}"/>
    <cellStyle name="Normal 2 7 4 6 4 2 2" xfId="33962" xr:uid="{00000000-0005-0000-0000-0000AD840000}"/>
    <cellStyle name="Normal 2 7 4 6 4 2 3" xfId="33963" xr:uid="{00000000-0005-0000-0000-0000AE840000}"/>
    <cellStyle name="Normal 2 7 4 6 4 3" xfId="33964" xr:uid="{00000000-0005-0000-0000-0000AF840000}"/>
    <cellStyle name="Normal 2 7 4 6 4 4" xfId="33965" xr:uid="{00000000-0005-0000-0000-0000B0840000}"/>
    <cellStyle name="Normal 2 7 4 6 4 5" xfId="33966" xr:uid="{00000000-0005-0000-0000-0000B1840000}"/>
    <cellStyle name="Normal 2 7 4 6 4 6" xfId="33967" xr:uid="{00000000-0005-0000-0000-0000B2840000}"/>
    <cellStyle name="Normal 2 7 4 6 5" xfId="33968" xr:uid="{00000000-0005-0000-0000-0000B3840000}"/>
    <cellStyle name="Normal 2 7 4 6 5 2" xfId="33969" xr:uid="{00000000-0005-0000-0000-0000B4840000}"/>
    <cellStyle name="Normal 2 7 4 6 5 2 2" xfId="33970" xr:uid="{00000000-0005-0000-0000-0000B5840000}"/>
    <cellStyle name="Normal 2 7 4 6 5 3" xfId="33971" xr:uid="{00000000-0005-0000-0000-0000B6840000}"/>
    <cellStyle name="Normal 2 7 4 6 5 4" xfId="33972" xr:uid="{00000000-0005-0000-0000-0000B7840000}"/>
    <cellStyle name="Normal 2 7 4 6 5 5" xfId="33973" xr:uid="{00000000-0005-0000-0000-0000B8840000}"/>
    <cellStyle name="Normal 2 7 4 6 6" xfId="33974" xr:uid="{00000000-0005-0000-0000-0000B9840000}"/>
    <cellStyle name="Normal 2 7 4 6 6 2" xfId="33975" xr:uid="{00000000-0005-0000-0000-0000BA840000}"/>
    <cellStyle name="Normal 2 7 4 6 6 3" xfId="33976" xr:uid="{00000000-0005-0000-0000-0000BB840000}"/>
    <cellStyle name="Normal 2 7 4 6 6 4" xfId="33977" xr:uid="{00000000-0005-0000-0000-0000BC840000}"/>
    <cellStyle name="Normal 2 7 4 6 7" xfId="33978" xr:uid="{00000000-0005-0000-0000-0000BD840000}"/>
    <cellStyle name="Normal 2 7 4 6 7 2" xfId="33979" xr:uid="{00000000-0005-0000-0000-0000BE840000}"/>
    <cellStyle name="Normal 2 7 4 6 8" xfId="33980" xr:uid="{00000000-0005-0000-0000-0000BF840000}"/>
    <cellStyle name="Normal 2 7 4 6 9" xfId="33981" xr:uid="{00000000-0005-0000-0000-0000C0840000}"/>
    <cellStyle name="Normal 2 7 4 7" xfId="33982" xr:uid="{00000000-0005-0000-0000-0000C1840000}"/>
    <cellStyle name="Normal 2 7 4 7 10" xfId="33983" xr:uid="{00000000-0005-0000-0000-0000C2840000}"/>
    <cellStyle name="Normal 2 7 4 7 11" xfId="33984" xr:uid="{00000000-0005-0000-0000-0000C3840000}"/>
    <cellStyle name="Normal 2 7 4 7 2" xfId="33985" xr:uid="{00000000-0005-0000-0000-0000C4840000}"/>
    <cellStyle name="Normal 2 7 4 7 2 2" xfId="33986" xr:uid="{00000000-0005-0000-0000-0000C5840000}"/>
    <cellStyle name="Normal 2 7 4 7 2 2 2" xfId="33987" xr:uid="{00000000-0005-0000-0000-0000C6840000}"/>
    <cellStyle name="Normal 2 7 4 7 2 2 2 2" xfId="33988" xr:uid="{00000000-0005-0000-0000-0000C7840000}"/>
    <cellStyle name="Normal 2 7 4 7 2 2 2 3" xfId="33989" xr:uid="{00000000-0005-0000-0000-0000C8840000}"/>
    <cellStyle name="Normal 2 7 4 7 2 2 3" xfId="33990" xr:uid="{00000000-0005-0000-0000-0000C9840000}"/>
    <cellStyle name="Normal 2 7 4 7 2 2 4" xfId="33991" xr:uid="{00000000-0005-0000-0000-0000CA840000}"/>
    <cellStyle name="Normal 2 7 4 7 2 2 5" xfId="33992" xr:uid="{00000000-0005-0000-0000-0000CB840000}"/>
    <cellStyle name="Normal 2 7 4 7 2 2 6" xfId="33993" xr:uid="{00000000-0005-0000-0000-0000CC840000}"/>
    <cellStyle name="Normal 2 7 4 7 2 3" xfId="33994" xr:uid="{00000000-0005-0000-0000-0000CD840000}"/>
    <cellStyle name="Normal 2 7 4 7 2 3 2" xfId="33995" xr:uid="{00000000-0005-0000-0000-0000CE840000}"/>
    <cellStyle name="Normal 2 7 4 7 2 3 2 2" xfId="33996" xr:uid="{00000000-0005-0000-0000-0000CF840000}"/>
    <cellStyle name="Normal 2 7 4 7 2 3 3" xfId="33997" xr:uid="{00000000-0005-0000-0000-0000D0840000}"/>
    <cellStyle name="Normal 2 7 4 7 2 3 4" xfId="33998" xr:uid="{00000000-0005-0000-0000-0000D1840000}"/>
    <cellStyle name="Normal 2 7 4 7 2 3 5" xfId="33999" xr:uid="{00000000-0005-0000-0000-0000D2840000}"/>
    <cellStyle name="Normal 2 7 4 7 2 4" xfId="34000" xr:uid="{00000000-0005-0000-0000-0000D3840000}"/>
    <cellStyle name="Normal 2 7 4 7 2 4 2" xfId="34001" xr:uid="{00000000-0005-0000-0000-0000D4840000}"/>
    <cellStyle name="Normal 2 7 4 7 2 4 3" xfId="34002" xr:uid="{00000000-0005-0000-0000-0000D5840000}"/>
    <cellStyle name="Normal 2 7 4 7 2 4 4" xfId="34003" xr:uid="{00000000-0005-0000-0000-0000D6840000}"/>
    <cellStyle name="Normal 2 7 4 7 2 5" xfId="34004" xr:uid="{00000000-0005-0000-0000-0000D7840000}"/>
    <cellStyle name="Normal 2 7 4 7 2 5 2" xfId="34005" xr:uid="{00000000-0005-0000-0000-0000D8840000}"/>
    <cellStyle name="Normal 2 7 4 7 2 6" xfId="34006" xr:uid="{00000000-0005-0000-0000-0000D9840000}"/>
    <cellStyle name="Normal 2 7 4 7 2 7" xfId="34007" xr:uid="{00000000-0005-0000-0000-0000DA840000}"/>
    <cellStyle name="Normal 2 7 4 7 2 8" xfId="34008" xr:uid="{00000000-0005-0000-0000-0000DB840000}"/>
    <cellStyle name="Normal 2 7 4 7 2 9" xfId="34009" xr:uid="{00000000-0005-0000-0000-0000DC840000}"/>
    <cellStyle name="Normal 2 7 4 7 3" xfId="34010" xr:uid="{00000000-0005-0000-0000-0000DD840000}"/>
    <cellStyle name="Normal 2 7 4 7 3 2" xfId="34011" xr:uid="{00000000-0005-0000-0000-0000DE840000}"/>
    <cellStyle name="Normal 2 7 4 7 3 2 2" xfId="34012" xr:uid="{00000000-0005-0000-0000-0000DF840000}"/>
    <cellStyle name="Normal 2 7 4 7 3 2 2 2" xfId="34013" xr:uid="{00000000-0005-0000-0000-0000E0840000}"/>
    <cellStyle name="Normal 2 7 4 7 3 2 2 3" xfId="34014" xr:uid="{00000000-0005-0000-0000-0000E1840000}"/>
    <cellStyle name="Normal 2 7 4 7 3 2 3" xfId="34015" xr:uid="{00000000-0005-0000-0000-0000E2840000}"/>
    <cellStyle name="Normal 2 7 4 7 3 2 4" xfId="34016" xr:uid="{00000000-0005-0000-0000-0000E3840000}"/>
    <cellStyle name="Normal 2 7 4 7 3 2 5" xfId="34017" xr:uid="{00000000-0005-0000-0000-0000E4840000}"/>
    <cellStyle name="Normal 2 7 4 7 3 2 6" xfId="34018" xr:uid="{00000000-0005-0000-0000-0000E5840000}"/>
    <cellStyle name="Normal 2 7 4 7 3 3" xfId="34019" xr:uid="{00000000-0005-0000-0000-0000E6840000}"/>
    <cellStyle name="Normal 2 7 4 7 3 3 2" xfId="34020" xr:uid="{00000000-0005-0000-0000-0000E7840000}"/>
    <cellStyle name="Normal 2 7 4 7 3 3 2 2" xfId="34021" xr:uid="{00000000-0005-0000-0000-0000E8840000}"/>
    <cellStyle name="Normal 2 7 4 7 3 3 3" xfId="34022" xr:uid="{00000000-0005-0000-0000-0000E9840000}"/>
    <cellStyle name="Normal 2 7 4 7 3 3 4" xfId="34023" xr:uid="{00000000-0005-0000-0000-0000EA840000}"/>
    <cellStyle name="Normal 2 7 4 7 3 3 5" xfId="34024" xr:uid="{00000000-0005-0000-0000-0000EB840000}"/>
    <cellStyle name="Normal 2 7 4 7 3 4" xfId="34025" xr:uid="{00000000-0005-0000-0000-0000EC840000}"/>
    <cellStyle name="Normal 2 7 4 7 3 4 2" xfId="34026" xr:uid="{00000000-0005-0000-0000-0000ED840000}"/>
    <cellStyle name="Normal 2 7 4 7 3 4 3" xfId="34027" xr:uid="{00000000-0005-0000-0000-0000EE840000}"/>
    <cellStyle name="Normal 2 7 4 7 3 4 4" xfId="34028" xr:uid="{00000000-0005-0000-0000-0000EF840000}"/>
    <cellStyle name="Normal 2 7 4 7 3 5" xfId="34029" xr:uid="{00000000-0005-0000-0000-0000F0840000}"/>
    <cellStyle name="Normal 2 7 4 7 3 5 2" xfId="34030" xr:uid="{00000000-0005-0000-0000-0000F1840000}"/>
    <cellStyle name="Normal 2 7 4 7 3 6" xfId="34031" xr:uid="{00000000-0005-0000-0000-0000F2840000}"/>
    <cellStyle name="Normal 2 7 4 7 3 7" xfId="34032" xr:uid="{00000000-0005-0000-0000-0000F3840000}"/>
    <cellStyle name="Normal 2 7 4 7 3 8" xfId="34033" xr:uid="{00000000-0005-0000-0000-0000F4840000}"/>
    <cellStyle name="Normal 2 7 4 7 3 9" xfId="34034" xr:uid="{00000000-0005-0000-0000-0000F5840000}"/>
    <cellStyle name="Normal 2 7 4 7 4" xfId="34035" xr:uid="{00000000-0005-0000-0000-0000F6840000}"/>
    <cellStyle name="Normal 2 7 4 7 4 2" xfId="34036" xr:uid="{00000000-0005-0000-0000-0000F7840000}"/>
    <cellStyle name="Normal 2 7 4 7 4 2 2" xfId="34037" xr:uid="{00000000-0005-0000-0000-0000F8840000}"/>
    <cellStyle name="Normal 2 7 4 7 4 2 3" xfId="34038" xr:uid="{00000000-0005-0000-0000-0000F9840000}"/>
    <cellStyle name="Normal 2 7 4 7 4 3" xfId="34039" xr:uid="{00000000-0005-0000-0000-0000FA840000}"/>
    <cellStyle name="Normal 2 7 4 7 4 4" xfId="34040" xr:uid="{00000000-0005-0000-0000-0000FB840000}"/>
    <cellStyle name="Normal 2 7 4 7 4 5" xfId="34041" xr:uid="{00000000-0005-0000-0000-0000FC840000}"/>
    <cellStyle name="Normal 2 7 4 7 4 6" xfId="34042" xr:uid="{00000000-0005-0000-0000-0000FD840000}"/>
    <cellStyle name="Normal 2 7 4 7 5" xfId="34043" xr:uid="{00000000-0005-0000-0000-0000FE840000}"/>
    <cellStyle name="Normal 2 7 4 7 5 2" xfId="34044" xr:uid="{00000000-0005-0000-0000-0000FF840000}"/>
    <cellStyle name="Normal 2 7 4 7 5 2 2" xfId="34045" xr:uid="{00000000-0005-0000-0000-000000850000}"/>
    <cellStyle name="Normal 2 7 4 7 5 3" xfId="34046" xr:uid="{00000000-0005-0000-0000-000001850000}"/>
    <cellStyle name="Normal 2 7 4 7 5 4" xfId="34047" xr:uid="{00000000-0005-0000-0000-000002850000}"/>
    <cellStyle name="Normal 2 7 4 7 5 5" xfId="34048" xr:uid="{00000000-0005-0000-0000-000003850000}"/>
    <cellStyle name="Normal 2 7 4 7 6" xfId="34049" xr:uid="{00000000-0005-0000-0000-000004850000}"/>
    <cellStyle name="Normal 2 7 4 7 6 2" xfId="34050" xr:uid="{00000000-0005-0000-0000-000005850000}"/>
    <cellStyle name="Normal 2 7 4 7 6 3" xfId="34051" xr:uid="{00000000-0005-0000-0000-000006850000}"/>
    <cellStyle name="Normal 2 7 4 7 6 4" xfId="34052" xr:uid="{00000000-0005-0000-0000-000007850000}"/>
    <cellStyle name="Normal 2 7 4 7 7" xfId="34053" xr:uid="{00000000-0005-0000-0000-000008850000}"/>
    <cellStyle name="Normal 2 7 4 7 7 2" xfId="34054" xr:uid="{00000000-0005-0000-0000-000009850000}"/>
    <cellStyle name="Normal 2 7 4 7 8" xfId="34055" xr:uid="{00000000-0005-0000-0000-00000A850000}"/>
    <cellStyle name="Normal 2 7 4 7 9" xfId="34056" xr:uid="{00000000-0005-0000-0000-00000B850000}"/>
    <cellStyle name="Normal 2 7 4 8" xfId="34057" xr:uid="{00000000-0005-0000-0000-00000C850000}"/>
    <cellStyle name="Normal 2 7 4 8 10" xfId="34058" xr:uid="{00000000-0005-0000-0000-00000D850000}"/>
    <cellStyle name="Normal 2 7 4 8 2" xfId="34059" xr:uid="{00000000-0005-0000-0000-00000E850000}"/>
    <cellStyle name="Normal 2 7 4 8 2 2" xfId="34060" xr:uid="{00000000-0005-0000-0000-00000F850000}"/>
    <cellStyle name="Normal 2 7 4 8 2 2 2" xfId="34061" xr:uid="{00000000-0005-0000-0000-000010850000}"/>
    <cellStyle name="Normal 2 7 4 8 2 2 3" xfId="34062" xr:uid="{00000000-0005-0000-0000-000011850000}"/>
    <cellStyle name="Normal 2 7 4 8 2 3" xfId="34063" xr:uid="{00000000-0005-0000-0000-000012850000}"/>
    <cellStyle name="Normal 2 7 4 8 2 4" xfId="34064" xr:uid="{00000000-0005-0000-0000-000013850000}"/>
    <cellStyle name="Normal 2 7 4 8 2 5" xfId="34065" xr:uid="{00000000-0005-0000-0000-000014850000}"/>
    <cellStyle name="Normal 2 7 4 8 2 6" xfId="34066" xr:uid="{00000000-0005-0000-0000-000015850000}"/>
    <cellStyle name="Normal 2 7 4 8 3" xfId="34067" xr:uid="{00000000-0005-0000-0000-000016850000}"/>
    <cellStyle name="Normal 2 7 4 8 3 2" xfId="34068" xr:uid="{00000000-0005-0000-0000-000017850000}"/>
    <cellStyle name="Normal 2 7 4 8 3 2 2" xfId="34069" xr:uid="{00000000-0005-0000-0000-000018850000}"/>
    <cellStyle name="Normal 2 7 4 8 3 2 3" xfId="34070" xr:uid="{00000000-0005-0000-0000-000019850000}"/>
    <cellStyle name="Normal 2 7 4 8 3 3" xfId="34071" xr:uid="{00000000-0005-0000-0000-00001A850000}"/>
    <cellStyle name="Normal 2 7 4 8 3 4" xfId="34072" xr:uid="{00000000-0005-0000-0000-00001B850000}"/>
    <cellStyle name="Normal 2 7 4 8 3 5" xfId="34073" xr:uid="{00000000-0005-0000-0000-00001C850000}"/>
    <cellStyle name="Normal 2 7 4 8 3 6" xfId="34074" xr:uid="{00000000-0005-0000-0000-00001D850000}"/>
    <cellStyle name="Normal 2 7 4 8 4" xfId="34075" xr:uid="{00000000-0005-0000-0000-00001E850000}"/>
    <cellStyle name="Normal 2 7 4 8 4 2" xfId="34076" xr:uid="{00000000-0005-0000-0000-00001F850000}"/>
    <cellStyle name="Normal 2 7 4 8 4 2 2" xfId="34077" xr:uid="{00000000-0005-0000-0000-000020850000}"/>
    <cellStyle name="Normal 2 7 4 8 4 3" xfId="34078" xr:uid="{00000000-0005-0000-0000-000021850000}"/>
    <cellStyle name="Normal 2 7 4 8 4 4" xfId="34079" xr:uid="{00000000-0005-0000-0000-000022850000}"/>
    <cellStyle name="Normal 2 7 4 8 4 5" xfId="34080" xr:uid="{00000000-0005-0000-0000-000023850000}"/>
    <cellStyle name="Normal 2 7 4 8 5" xfId="34081" xr:uid="{00000000-0005-0000-0000-000024850000}"/>
    <cellStyle name="Normal 2 7 4 8 5 2" xfId="34082" xr:uid="{00000000-0005-0000-0000-000025850000}"/>
    <cellStyle name="Normal 2 7 4 8 5 3" xfId="34083" xr:uid="{00000000-0005-0000-0000-000026850000}"/>
    <cellStyle name="Normal 2 7 4 8 5 4" xfId="34084" xr:uid="{00000000-0005-0000-0000-000027850000}"/>
    <cellStyle name="Normal 2 7 4 8 6" xfId="34085" xr:uid="{00000000-0005-0000-0000-000028850000}"/>
    <cellStyle name="Normal 2 7 4 8 6 2" xfId="34086" xr:uid="{00000000-0005-0000-0000-000029850000}"/>
    <cellStyle name="Normal 2 7 4 8 7" xfId="34087" xr:uid="{00000000-0005-0000-0000-00002A850000}"/>
    <cellStyle name="Normal 2 7 4 8 8" xfId="34088" xr:uid="{00000000-0005-0000-0000-00002B850000}"/>
    <cellStyle name="Normal 2 7 4 8 9" xfId="34089" xr:uid="{00000000-0005-0000-0000-00002C850000}"/>
    <cellStyle name="Normal 2 7 4 9" xfId="34090" xr:uid="{00000000-0005-0000-0000-00002D850000}"/>
    <cellStyle name="Normal 2 7 4 9 10" xfId="34091" xr:uid="{00000000-0005-0000-0000-00002E850000}"/>
    <cellStyle name="Normal 2 7 4 9 2" xfId="34092" xr:uid="{00000000-0005-0000-0000-00002F850000}"/>
    <cellStyle name="Normal 2 7 4 9 2 2" xfId="34093" xr:uid="{00000000-0005-0000-0000-000030850000}"/>
    <cellStyle name="Normal 2 7 4 9 2 2 2" xfId="34094" xr:uid="{00000000-0005-0000-0000-000031850000}"/>
    <cellStyle name="Normal 2 7 4 9 2 2 3" xfId="34095" xr:uid="{00000000-0005-0000-0000-000032850000}"/>
    <cellStyle name="Normal 2 7 4 9 2 3" xfId="34096" xr:uid="{00000000-0005-0000-0000-000033850000}"/>
    <cellStyle name="Normal 2 7 4 9 2 4" xfId="34097" xr:uid="{00000000-0005-0000-0000-000034850000}"/>
    <cellStyle name="Normal 2 7 4 9 2 5" xfId="34098" xr:uid="{00000000-0005-0000-0000-000035850000}"/>
    <cellStyle name="Normal 2 7 4 9 2 6" xfId="34099" xr:uid="{00000000-0005-0000-0000-000036850000}"/>
    <cellStyle name="Normal 2 7 4 9 3" xfId="34100" xr:uid="{00000000-0005-0000-0000-000037850000}"/>
    <cellStyle name="Normal 2 7 4 9 3 2" xfId="34101" xr:uid="{00000000-0005-0000-0000-000038850000}"/>
    <cellStyle name="Normal 2 7 4 9 3 2 2" xfId="34102" xr:uid="{00000000-0005-0000-0000-000039850000}"/>
    <cellStyle name="Normal 2 7 4 9 3 2 3" xfId="34103" xr:uid="{00000000-0005-0000-0000-00003A850000}"/>
    <cellStyle name="Normal 2 7 4 9 3 3" xfId="34104" xr:uid="{00000000-0005-0000-0000-00003B850000}"/>
    <cellStyle name="Normal 2 7 4 9 3 4" xfId="34105" xr:uid="{00000000-0005-0000-0000-00003C850000}"/>
    <cellStyle name="Normal 2 7 4 9 3 5" xfId="34106" xr:uid="{00000000-0005-0000-0000-00003D850000}"/>
    <cellStyle name="Normal 2 7 4 9 3 6" xfId="34107" xr:uid="{00000000-0005-0000-0000-00003E850000}"/>
    <cellStyle name="Normal 2 7 4 9 4" xfId="34108" xr:uid="{00000000-0005-0000-0000-00003F850000}"/>
    <cellStyle name="Normal 2 7 4 9 4 2" xfId="34109" xr:uid="{00000000-0005-0000-0000-000040850000}"/>
    <cellStyle name="Normal 2 7 4 9 4 2 2" xfId="34110" xr:uid="{00000000-0005-0000-0000-000041850000}"/>
    <cellStyle name="Normal 2 7 4 9 4 3" xfId="34111" xr:uid="{00000000-0005-0000-0000-000042850000}"/>
    <cellStyle name="Normal 2 7 4 9 4 4" xfId="34112" xr:uid="{00000000-0005-0000-0000-000043850000}"/>
    <cellStyle name="Normal 2 7 4 9 4 5" xfId="34113" xr:uid="{00000000-0005-0000-0000-000044850000}"/>
    <cellStyle name="Normal 2 7 4 9 5" xfId="34114" xr:uid="{00000000-0005-0000-0000-000045850000}"/>
    <cellStyle name="Normal 2 7 4 9 5 2" xfId="34115" xr:uid="{00000000-0005-0000-0000-000046850000}"/>
    <cellStyle name="Normal 2 7 4 9 5 3" xfId="34116" xr:uid="{00000000-0005-0000-0000-000047850000}"/>
    <cellStyle name="Normal 2 7 4 9 5 4" xfId="34117" xr:uid="{00000000-0005-0000-0000-000048850000}"/>
    <cellStyle name="Normal 2 7 4 9 6" xfId="34118" xr:uid="{00000000-0005-0000-0000-000049850000}"/>
    <cellStyle name="Normal 2 7 4 9 6 2" xfId="34119" xr:uid="{00000000-0005-0000-0000-00004A850000}"/>
    <cellStyle name="Normal 2 7 4 9 7" xfId="34120" xr:uid="{00000000-0005-0000-0000-00004B850000}"/>
    <cellStyle name="Normal 2 7 4 9 8" xfId="34121" xr:uid="{00000000-0005-0000-0000-00004C850000}"/>
    <cellStyle name="Normal 2 7 4 9 9" xfId="34122" xr:uid="{00000000-0005-0000-0000-00004D850000}"/>
    <cellStyle name="Normal 2 7 5" xfId="34123" xr:uid="{00000000-0005-0000-0000-00004E850000}"/>
    <cellStyle name="Normal 2 7 5 10" xfId="34124" xr:uid="{00000000-0005-0000-0000-00004F850000}"/>
    <cellStyle name="Normal 2 7 5 11" xfId="34125" xr:uid="{00000000-0005-0000-0000-000050850000}"/>
    <cellStyle name="Normal 2 7 5 2" xfId="34126" xr:uid="{00000000-0005-0000-0000-000051850000}"/>
    <cellStyle name="Normal 2 7 5 2 2" xfId="34127" xr:uid="{00000000-0005-0000-0000-000052850000}"/>
    <cellStyle name="Normal 2 7 5 2 2 2" xfId="34128" xr:uid="{00000000-0005-0000-0000-000053850000}"/>
    <cellStyle name="Normal 2 7 5 2 2 2 2" xfId="34129" xr:uid="{00000000-0005-0000-0000-000054850000}"/>
    <cellStyle name="Normal 2 7 5 2 2 2 3" xfId="34130" xr:uid="{00000000-0005-0000-0000-000055850000}"/>
    <cellStyle name="Normal 2 7 5 2 2 3" xfId="34131" xr:uid="{00000000-0005-0000-0000-000056850000}"/>
    <cellStyle name="Normal 2 7 5 2 2 4" xfId="34132" xr:uid="{00000000-0005-0000-0000-000057850000}"/>
    <cellStyle name="Normal 2 7 5 2 2 5" xfId="34133" xr:uid="{00000000-0005-0000-0000-000058850000}"/>
    <cellStyle name="Normal 2 7 5 2 2 6" xfId="34134" xr:uid="{00000000-0005-0000-0000-000059850000}"/>
    <cellStyle name="Normal 2 7 5 2 3" xfId="34135" xr:uid="{00000000-0005-0000-0000-00005A850000}"/>
    <cellStyle name="Normal 2 7 5 2 3 2" xfId="34136" xr:uid="{00000000-0005-0000-0000-00005B850000}"/>
    <cellStyle name="Normal 2 7 5 2 3 2 2" xfId="34137" xr:uid="{00000000-0005-0000-0000-00005C850000}"/>
    <cellStyle name="Normal 2 7 5 2 3 3" xfId="34138" xr:uid="{00000000-0005-0000-0000-00005D850000}"/>
    <cellStyle name="Normal 2 7 5 2 3 4" xfId="34139" xr:uid="{00000000-0005-0000-0000-00005E850000}"/>
    <cellStyle name="Normal 2 7 5 2 3 5" xfId="34140" xr:uid="{00000000-0005-0000-0000-00005F850000}"/>
    <cellStyle name="Normal 2 7 5 2 4" xfId="34141" xr:uid="{00000000-0005-0000-0000-000060850000}"/>
    <cellStyle name="Normal 2 7 5 2 4 2" xfId="34142" xr:uid="{00000000-0005-0000-0000-000061850000}"/>
    <cellStyle name="Normal 2 7 5 2 4 3" xfId="34143" xr:uid="{00000000-0005-0000-0000-000062850000}"/>
    <cellStyle name="Normal 2 7 5 2 4 4" xfId="34144" xr:uid="{00000000-0005-0000-0000-000063850000}"/>
    <cellStyle name="Normal 2 7 5 2 5" xfId="34145" xr:uid="{00000000-0005-0000-0000-000064850000}"/>
    <cellStyle name="Normal 2 7 5 2 5 2" xfId="34146" xr:uid="{00000000-0005-0000-0000-000065850000}"/>
    <cellStyle name="Normal 2 7 5 2 6" xfId="34147" xr:uid="{00000000-0005-0000-0000-000066850000}"/>
    <cellStyle name="Normal 2 7 5 2 7" xfId="34148" xr:uid="{00000000-0005-0000-0000-000067850000}"/>
    <cellStyle name="Normal 2 7 5 2 8" xfId="34149" xr:uid="{00000000-0005-0000-0000-000068850000}"/>
    <cellStyle name="Normal 2 7 5 2 9" xfId="34150" xr:uid="{00000000-0005-0000-0000-000069850000}"/>
    <cellStyle name="Normal 2 7 5 3" xfId="34151" xr:uid="{00000000-0005-0000-0000-00006A850000}"/>
    <cellStyle name="Normal 2 7 5 3 2" xfId="34152" xr:uid="{00000000-0005-0000-0000-00006B850000}"/>
    <cellStyle name="Normal 2 7 5 3 2 2" xfId="34153" xr:uid="{00000000-0005-0000-0000-00006C850000}"/>
    <cellStyle name="Normal 2 7 5 3 2 2 2" xfId="34154" xr:uid="{00000000-0005-0000-0000-00006D850000}"/>
    <cellStyle name="Normal 2 7 5 3 2 2 3" xfId="34155" xr:uid="{00000000-0005-0000-0000-00006E850000}"/>
    <cellStyle name="Normal 2 7 5 3 2 3" xfId="34156" xr:uid="{00000000-0005-0000-0000-00006F850000}"/>
    <cellStyle name="Normal 2 7 5 3 2 4" xfId="34157" xr:uid="{00000000-0005-0000-0000-000070850000}"/>
    <cellStyle name="Normal 2 7 5 3 2 5" xfId="34158" xr:uid="{00000000-0005-0000-0000-000071850000}"/>
    <cellStyle name="Normal 2 7 5 3 2 6" xfId="34159" xr:uid="{00000000-0005-0000-0000-000072850000}"/>
    <cellStyle name="Normal 2 7 5 3 3" xfId="34160" xr:uid="{00000000-0005-0000-0000-000073850000}"/>
    <cellStyle name="Normal 2 7 5 3 3 2" xfId="34161" xr:uid="{00000000-0005-0000-0000-000074850000}"/>
    <cellStyle name="Normal 2 7 5 3 3 2 2" xfId="34162" xr:uid="{00000000-0005-0000-0000-000075850000}"/>
    <cellStyle name="Normal 2 7 5 3 3 3" xfId="34163" xr:uid="{00000000-0005-0000-0000-000076850000}"/>
    <cellStyle name="Normal 2 7 5 3 3 4" xfId="34164" xr:uid="{00000000-0005-0000-0000-000077850000}"/>
    <cellStyle name="Normal 2 7 5 3 3 5" xfId="34165" xr:uid="{00000000-0005-0000-0000-000078850000}"/>
    <cellStyle name="Normal 2 7 5 3 4" xfId="34166" xr:uid="{00000000-0005-0000-0000-000079850000}"/>
    <cellStyle name="Normal 2 7 5 3 4 2" xfId="34167" xr:uid="{00000000-0005-0000-0000-00007A850000}"/>
    <cellStyle name="Normal 2 7 5 3 4 3" xfId="34168" xr:uid="{00000000-0005-0000-0000-00007B850000}"/>
    <cellStyle name="Normal 2 7 5 3 4 4" xfId="34169" xr:uid="{00000000-0005-0000-0000-00007C850000}"/>
    <cellStyle name="Normal 2 7 5 3 5" xfId="34170" xr:uid="{00000000-0005-0000-0000-00007D850000}"/>
    <cellStyle name="Normal 2 7 5 3 5 2" xfId="34171" xr:uid="{00000000-0005-0000-0000-00007E850000}"/>
    <cellStyle name="Normal 2 7 5 3 6" xfId="34172" xr:uid="{00000000-0005-0000-0000-00007F850000}"/>
    <cellStyle name="Normal 2 7 5 3 7" xfId="34173" xr:uid="{00000000-0005-0000-0000-000080850000}"/>
    <cellStyle name="Normal 2 7 5 3 8" xfId="34174" xr:uid="{00000000-0005-0000-0000-000081850000}"/>
    <cellStyle name="Normal 2 7 5 3 9" xfId="34175" xr:uid="{00000000-0005-0000-0000-000082850000}"/>
    <cellStyle name="Normal 2 7 5 4" xfId="34176" xr:uid="{00000000-0005-0000-0000-000083850000}"/>
    <cellStyle name="Normal 2 7 5 4 2" xfId="34177" xr:uid="{00000000-0005-0000-0000-000084850000}"/>
    <cellStyle name="Normal 2 7 5 4 2 2" xfId="34178" xr:uid="{00000000-0005-0000-0000-000085850000}"/>
    <cellStyle name="Normal 2 7 5 4 2 3" xfId="34179" xr:uid="{00000000-0005-0000-0000-000086850000}"/>
    <cellStyle name="Normal 2 7 5 4 3" xfId="34180" xr:uid="{00000000-0005-0000-0000-000087850000}"/>
    <cellStyle name="Normal 2 7 5 4 4" xfId="34181" xr:uid="{00000000-0005-0000-0000-000088850000}"/>
    <cellStyle name="Normal 2 7 5 4 5" xfId="34182" xr:uid="{00000000-0005-0000-0000-000089850000}"/>
    <cellStyle name="Normal 2 7 5 4 6" xfId="34183" xr:uid="{00000000-0005-0000-0000-00008A850000}"/>
    <cellStyle name="Normal 2 7 5 5" xfId="34184" xr:uid="{00000000-0005-0000-0000-00008B850000}"/>
    <cellStyle name="Normal 2 7 5 5 2" xfId="34185" xr:uid="{00000000-0005-0000-0000-00008C850000}"/>
    <cellStyle name="Normal 2 7 5 5 2 2" xfId="34186" xr:uid="{00000000-0005-0000-0000-00008D850000}"/>
    <cellStyle name="Normal 2 7 5 5 3" xfId="34187" xr:uid="{00000000-0005-0000-0000-00008E850000}"/>
    <cellStyle name="Normal 2 7 5 5 4" xfId="34188" xr:uid="{00000000-0005-0000-0000-00008F850000}"/>
    <cellStyle name="Normal 2 7 5 5 5" xfId="34189" xr:uid="{00000000-0005-0000-0000-000090850000}"/>
    <cellStyle name="Normal 2 7 5 6" xfId="34190" xr:uid="{00000000-0005-0000-0000-000091850000}"/>
    <cellStyle name="Normal 2 7 5 6 2" xfId="34191" xr:uid="{00000000-0005-0000-0000-000092850000}"/>
    <cellStyle name="Normal 2 7 5 6 3" xfId="34192" xr:uid="{00000000-0005-0000-0000-000093850000}"/>
    <cellStyle name="Normal 2 7 5 6 4" xfId="34193" xr:uid="{00000000-0005-0000-0000-000094850000}"/>
    <cellStyle name="Normal 2 7 5 7" xfId="34194" xr:uid="{00000000-0005-0000-0000-000095850000}"/>
    <cellStyle name="Normal 2 7 5 7 2" xfId="34195" xr:uid="{00000000-0005-0000-0000-000096850000}"/>
    <cellStyle name="Normal 2 7 5 8" xfId="34196" xr:uid="{00000000-0005-0000-0000-000097850000}"/>
    <cellStyle name="Normal 2 7 5 9" xfId="34197" xr:uid="{00000000-0005-0000-0000-000098850000}"/>
    <cellStyle name="Normal 2 7 6" xfId="34198" xr:uid="{00000000-0005-0000-0000-000099850000}"/>
    <cellStyle name="Normal 2 7 6 10" xfId="34199" xr:uid="{00000000-0005-0000-0000-00009A850000}"/>
    <cellStyle name="Normal 2 7 6 11" xfId="34200" xr:uid="{00000000-0005-0000-0000-00009B850000}"/>
    <cellStyle name="Normal 2 7 6 2" xfId="34201" xr:uid="{00000000-0005-0000-0000-00009C850000}"/>
    <cellStyle name="Normal 2 7 6 2 2" xfId="34202" xr:uid="{00000000-0005-0000-0000-00009D850000}"/>
    <cellStyle name="Normal 2 7 6 2 2 2" xfId="34203" xr:uid="{00000000-0005-0000-0000-00009E850000}"/>
    <cellStyle name="Normal 2 7 6 2 2 2 2" xfId="34204" xr:uid="{00000000-0005-0000-0000-00009F850000}"/>
    <cellStyle name="Normal 2 7 6 2 2 2 3" xfId="34205" xr:uid="{00000000-0005-0000-0000-0000A0850000}"/>
    <cellStyle name="Normal 2 7 6 2 2 3" xfId="34206" xr:uid="{00000000-0005-0000-0000-0000A1850000}"/>
    <cellStyle name="Normal 2 7 6 2 2 4" xfId="34207" xr:uid="{00000000-0005-0000-0000-0000A2850000}"/>
    <cellStyle name="Normal 2 7 6 2 2 5" xfId="34208" xr:uid="{00000000-0005-0000-0000-0000A3850000}"/>
    <cellStyle name="Normal 2 7 6 2 2 6" xfId="34209" xr:uid="{00000000-0005-0000-0000-0000A4850000}"/>
    <cellStyle name="Normal 2 7 6 2 3" xfId="34210" xr:uid="{00000000-0005-0000-0000-0000A5850000}"/>
    <cellStyle name="Normal 2 7 6 2 3 2" xfId="34211" xr:uid="{00000000-0005-0000-0000-0000A6850000}"/>
    <cellStyle name="Normal 2 7 6 2 3 2 2" xfId="34212" xr:uid="{00000000-0005-0000-0000-0000A7850000}"/>
    <cellStyle name="Normal 2 7 6 2 3 3" xfId="34213" xr:uid="{00000000-0005-0000-0000-0000A8850000}"/>
    <cellStyle name="Normal 2 7 6 2 3 4" xfId="34214" xr:uid="{00000000-0005-0000-0000-0000A9850000}"/>
    <cellStyle name="Normal 2 7 6 2 3 5" xfId="34215" xr:uid="{00000000-0005-0000-0000-0000AA850000}"/>
    <cellStyle name="Normal 2 7 6 2 4" xfId="34216" xr:uid="{00000000-0005-0000-0000-0000AB850000}"/>
    <cellStyle name="Normal 2 7 6 2 4 2" xfId="34217" xr:uid="{00000000-0005-0000-0000-0000AC850000}"/>
    <cellStyle name="Normal 2 7 6 2 4 3" xfId="34218" xr:uid="{00000000-0005-0000-0000-0000AD850000}"/>
    <cellStyle name="Normal 2 7 6 2 4 4" xfId="34219" xr:uid="{00000000-0005-0000-0000-0000AE850000}"/>
    <cellStyle name="Normal 2 7 6 2 5" xfId="34220" xr:uid="{00000000-0005-0000-0000-0000AF850000}"/>
    <cellStyle name="Normal 2 7 6 2 5 2" xfId="34221" xr:uid="{00000000-0005-0000-0000-0000B0850000}"/>
    <cellStyle name="Normal 2 7 6 2 6" xfId="34222" xr:uid="{00000000-0005-0000-0000-0000B1850000}"/>
    <cellStyle name="Normal 2 7 6 2 7" xfId="34223" xr:uid="{00000000-0005-0000-0000-0000B2850000}"/>
    <cellStyle name="Normal 2 7 6 2 8" xfId="34224" xr:uid="{00000000-0005-0000-0000-0000B3850000}"/>
    <cellStyle name="Normal 2 7 6 2 9" xfId="34225" xr:uid="{00000000-0005-0000-0000-0000B4850000}"/>
    <cellStyle name="Normal 2 7 6 3" xfId="34226" xr:uid="{00000000-0005-0000-0000-0000B5850000}"/>
    <cellStyle name="Normal 2 7 6 3 2" xfId="34227" xr:uid="{00000000-0005-0000-0000-0000B6850000}"/>
    <cellStyle name="Normal 2 7 6 3 2 2" xfId="34228" xr:uid="{00000000-0005-0000-0000-0000B7850000}"/>
    <cellStyle name="Normal 2 7 6 3 2 2 2" xfId="34229" xr:uid="{00000000-0005-0000-0000-0000B8850000}"/>
    <cellStyle name="Normal 2 7 6 3 2 2 3" xfId="34230" xr:uid="{00000000-0005-0000-0000-0000B9850000}"/>
    <cellStyle name="Normal 2 7 6 3 2 3" xfId="34231" xr:uid="{00000000-0005-0000-0000-0000BA850000}"/>
    <cellStyle name="Normal 2 7 6 3 2 4" xfId="34232" xr:uid="{00000000-0005-0000-0000-0000BB850000}"/>
    <cellStyle name="Normal 2 7 6 3 2 5" xfId="34233" xr:uid="{00000000-0005-0000-0000-0000BC850000}"/>
    <cellStyle name="Normal 2 7 6 3 2 6" xfId="34234" xr:uid="{00000000-0005-0000-0000-0000BD850000}"/>
    <cellStyle name="Normal 2 7 6 3 3" xfId="34235" xr:uid="{00000000-0005-0000-0000-0000BE850000}"/>
    <cellStyle name="Normal 2 7 6 3 3 2" xfId="34236" xr:uid="{00000000-0005-0000-0000-0000BF850000}"/>
    <cellStyle name="Normal 2 7 6 3 3 2 2" xfId="34237" xr:uid="{00000000-0005-0000-0000-0000C0850000}"/>
    <cellStyle name="Normal 2 7 6 3 3 3" xfId="34238" xr:uid="{00000000-0005-0000-0000-0000C1850000}"/>
    <cellStyle name="Normal 2 7 6 3 3 4" xfId="34239" xr:uid="{00000000-0005-0000-0000-0000C2850000}"/>
    <cellStyle name="Normal 2 7 6 3 3 5" xfId="34240" xr:uid="{00000000-0005-0000-0000-0000C3850000}"/>
    <cellStyle name="Normal 2 7 6 3 4" xfId="34241" xr:uid="{00000000-0005-0000-0000-0000C4850000}"/>
    <cellStyle name="Normal 2 7 6 3 4 2" xfId="34242" xr:uid="{00000000-0005-0000-0000-0000C5850000}"/>
    <cellStyle name="Normal 2 7 6 3 4 3" xfId="34243" xr:uid="{00000000-0005-0000-0000-0000C6850000}"/>
    <cellStyle name="Normal 2 7 6 3 4 4" xfId="34244" xr:uid="{00000000-0005-0000-0000-0000C7850000}"/>
    <cellStyle name="Normal 2 7 6 3 5" xfId="34245" xr:uid="{00000000-0005-0000-0000-0000C8850000}"/>
    <cellStyle name="Normal 2 7 6 3 5 2" xfId="34246" xr:uid="{00000000-0005-0000-0000-0000C9850000}"/>
    <cellStyle name="Normal 2 7 6 3 6" xfId="34247" xr:uid="{00000000-0005-0000-0000-0000CA850000}"/>
    <cellStyle name="Normal 2 7 6 3 7" xfId="34248" xr:uid="{00000000-0005-0000-0000-0000CB850000}"/>
    <cellStyle name="Normal 2 7 6 3 8" xfId="34249" xr:uid="{00000000-0005-0000-0000-0000CC850000}"/>
    <cellStyle name="Normal 2 7 6 3 9" xfId="34250" xr:uid="{00000000-0005-0000-0000-0000CD850000}"/>
    <cellStyle name="Normal 2 7 6 4" xfId="34251" xr:uid="{00000000-0005-0000-0000-0000CE850000}"/>
    <cellStyle name="Normal 2 7 6 4 2" xfId="34252" xr:uid="{00000000-0005-0000-0000-0000CF850000}"/>
    <cellStyle name="Normal 2 7 6 4 2 2" xfId="34253" xr:uid="{00000000-0005-0000-0000-0000D0850000}"/>
    <cellStyle name="Normal 2 7 6 4 2 3" xfId="34254" xr:uid="{00000000-0005-0000-0000-0000D1850000}"/>
    <cellStyle name="Normal 2 7 6 4 3" xfId="34255" xr:uid="{00000000-0005-0000-0000-0000D2850000}"/>
    <cellStyle name="Normal 2 7 6 4 4" xfId="34256" xr:uid="{00000000-0005-0000-0000-0000D3850000}"/>
    <cellStyle name="Normal 2 7 6 4 5" xfId="34257" xr:uid="{00000000-0005-0000-0000-0000D4850000}"/>
    <cellStyle name="Normal 2 7 6 4 6" xfId="34258" xr:uid="{00000000-0005-0000-0000-0000D5850000}"/>
    <cellStyle name="Normal 2 7 6 5" xfId="34259" xr:uid="{00000000-0005-0000-0000-0000D6850000}"/>
    <cellStyle name="Normal 2 7 6 5 2" xfId="34260" xr:uid="{00000000-0005-0000-0000-0000D7850000}"/>
    <cellStyle name="Normal 2 7 6 5 2 2" xfId="34261" xr:uid="{00000000-0005-0000-0000-0000D8850000}"/>
    <cellStyle name="Normal 2 7 6 5 3" xfId="34262" xr:uid="{00000000-0005-0000-0000-0000D9850000}"/>
    <cellStyle name="Normal 2 7 6 5 4" xfId="34263" xr:uid="{00000000-0005-0000-0000-0000DA850000}"/>
    <cellStyle name="Normal 2 7 6 5 5" xfId="34264" xr:uid="{00000000-0005-0000-0000-0000DB850000}"/>
    <cellStyle name="Normal 2 7 6 6" xfId="34265" xr:uid="{00000000-0005-0000-0000-0000DC850000}"/>
    <cellStyle name="Normal 2 7 6 6 2" xfId="34266" xr:uid="{00000000-0005-0000-0000-0000DD850000}"/>
    <cellStyle name="Normal 2 7 6 6 3" xfId="34267" xr:uid="{00000000-0005-0000-0000-0000DE850000}"/>
    <cellStyle name="Normal 2 7 6 6 4" xfId="34268" xr:uid="{00000000-0005-0000-0000-0000DF850000}"/>
    <cellStyle name="Normal 2 7 6 7" xfId="34269" xr:uid="{00000000-0005-0000-0000-0000E0850000}"/>
    <cellStyle name="Normal 2 7 6 7 2" xfId="34270" xr:uid="{00000000-0005-0000-0000-0000E1850000}"/>
    <cellStyle name="Normal 2 7 6 8" xfId="34271" xr:uid="{00000000-0005-0000-0000-0000E2850000}"/>
    <cellStyle name="Normal 2 7 6 9" xfId="34272" xr:uid="{00000000-0005-0000-0000-0000E3850000}"/>
    <cellStyle name="Normal 2 7 7" xfId="34273" xr:uid="{00000000-0005-0000-0000-0000E4850000}"/>
    <cellStyle name="Normal 2 7 7 10" xfId="34274" xr:uid="{00000000-0005-0000-0000-0000E5850000}"/>
    <cellStyle name="Normal 2 7 7 11" xfId="34275" xr:uid="{00000000-0005-0000-0000-0000E6850000}"/>
    <cellStyle name="Normal 2 7 7 2" xfId="34276" xr:uid="{00000000-0005-0000-0000-0000E7850000}"/>
    <cellStyle name="Normal 2 7 7 2 2" xfId="34277" xr:uid="{00000000-0005-0000-0000-0000E8850000}"/>
    <cellStyle name="Normal 2 7 7 2 2 2" xfId="34278" xr:uid="{00000000-0005-0000-0000-0000E9850000}"/>
    <cellStyle name="Normal 2 7 7 2 2 2 2" xfId="34279" xr:uid="{00000000-0005-0000-0000-0000EA850000}"/>
    <cellStyle name="Normal 2 7 7 2 2 2 3" xfId="34280" xr:uid="{00000000-0005-0000-0000-0000EB850000}"/>
    <cellStyle name="Normal 2 7 7 2 2 3" xfId="34281" xr:uid="{00000000-0005-0000-0000-0000EC850000}"/>
    <cellStyle name="Normal 2 7 7 2 2 4" xfId="34282" xr:uid="{00000000-0005-0000-0000-0000ED850000}"/>
    <cellStyle name="Normal 2 7 7 2 2 5" xfId="34283" xr:uid="{00000000-0005-0000-0000-0000EE850000}"/>
    <cellStyle name="Normal 2 7 7 2 2 6" xfId="34284" xr:uid="{00000000-0005-0000-0000-0000EF850000}"/>
    <cellStyle name="Normal 2 7 7 2 3" xfId="34285" xr:uid="{00000000-0005-0000-0000-0000F0850000}"/>
    <cellStyle name="Normal 2 7 7 2 3 2" xfId="34286" xr:uid="{00000000-0005-0000-0000-0000F1850000}"/>
    <cellStyle name="Normal 2 7 7 2 3 2 2" xfId="34287" xr:uid="{00000000-0005-0000-0000-0000F2850000}"/>
    <cellStyle name="Normal 2 7 7 2 3 3" xfId="34288" xr:uid="{00000000-0005-0000-0000-0000F3850000}"/>
    <cellStyle name="Normal 2 7 7 2 3 4" xfId="34289" xr:uid="{00000000-0005-0000-0000-0000F4850000}"/>
    <cellStyle name="Normal 2 7 7 2 3 5" xfId="34290" xr:uid="{00000000-0005-0000-0000-0000F5850000}"/>
    <cellStyle name="Normal 2 7 7 2 4" xfId="34291" xr:uid="{00000000-0005-0000-0000-0000F6850000}"/>
    <cellStyle name="Normal 2 7 7 2 4 2" xfId="34292" xr:uid="{00000000-0005-0000-0000-0000F7850000}"/>
    <cellStyle name="Normal 2 7 7 2 4 3" xfId="34293" xr:uid="{00000000-0005-0000-0000-0000F8850000}"/>
    <cellStyle name="Normal 2 7 7 2 4 4" xfId="34294" xr:uid="{00000000-0005-0000-0000-0000F9850000}"/>
    <cellStyle name="Normal 2 7 7 2 5" xfId="34295" xr:uid="{00000000-0005-0000-0000-0000FA850000}"/>
    <cellStyle name="Normal 2 7 7 2 5 2" xfId="34296" xr:uid="{00000000-0005-0000-0000-0000FB850000}"/>
    <cellStyle name="Normal 2 7 7 2 6" xfId="34297" xr:uid="{00000000-0005-0000-0000-0000FC850000}"/>
    <cellStyle name="Normal 2 7 7 2 7" xfId="34298" xr:uid="{00000000-0005-0000-0000-0000FD850000}"/>
    <cellStyle name="Normal 2 7 7 2 8" xfId="34299" xr:uid="{00000000-0005-0000-0000-0000FE850000}"/>
    <cellStyle name="Normal 2 7 7 2 9" xfId="34300" xr:uid="{00000000-0005-0000-0000-0000FF850000}"/>
    <cellStyle name="Normal 2 7 7 3" xfId="34301" xr:uid="{00000000-0005-0000-0000-000000860000}"/>
    <cellStyle name="Normal 2 7 7 3 2" xfId="34302" xr:uid="{00000000-0005-0000-0000-000001860000}"/>
    <cellStyle name="Normal 2 7 7 3 2 2" xfId="34303" xr:uid="{00000000-0005-0000-0000-000002860000}"/>
    <cellStyle name="Normal 2 7 7 3 2 2 2" xfId="34304" xr:uid="{00000000-0005-0000-0000-000003860000}"/>
    <cellStyle name="Normal 2 7 7 3 2 2 3" xfId="34305" xr:uid="{00000000-0005-0000-0000-000004860000}"/>
    <cellStyle name="Normal 2 7 7 3 2 3" xfId="34306" xr:uid="{00000000-0005-0000-0000-000005860000}"/>
    <cellStyle name="Normal 2 7 7 3 2 4" xfId="34307" xr:uid="{00000000-0005-0000-0000-000006860000}"/>
    <cellStyle name="Normal 2 7 7 3 2 5" xfId="34308" xr:uid="{00000000-0005-0000-0000-000007860000}"/>
    <cellStyle name="Normal 2 7 7 3 2 6" xfId="34309" xr:uid="{00000000-0005-0000-0000-000008860000}"/>
    <cellStyle name="Normal 2 7 7 3 3" xfId="34310" xr:uid="{00000000-0005-0000-0000-000009860000}"/>
    <cellStyle name="Normal 2 7 7 3 3 2" xfId="34311" xr:uid="{00000000-0005-0000-0000-00000A860000}"/>
    <cellStyle name="Normal 2 7 7 3 3 2 2" xfId="34312" xr:uid="{00000000-0005-0000-0000-00000B860000}"/>
    <cellStyle name="Normal 2 7 7 3 3 3" xfId="34313" xr:uid="{00000000-0005-0000-0000-00000C860000}"/>
    <cellStyle name="Normal 2 7 7 3 3 4" xfId="34314" xr:uid="{00000000-0005-0000-0000-00000D860000}"/>
    <cellStyle name="Normal 2 7 7 3 3 5" xfId="34315" xr:uid="{00000000-0005-0000-0000-00000E860000}"/>
    <cellStyle name="Normal 2 7 7 3 4" xfId="34316" xr:uid="{00000000-0005-0000-0000-00000F860000}"/>
    <cellStyle name="Normal 2 7 7 3 4 2" xfId="34317" xr:uid="{00000000-0005-0000-0000-000010860000}"/>
    <cellStyle name="Normal 2 7 7 3 4 3" xfId="34318" xr:uid="{00000000-0005-0000-0000-000011860000}"/>
    <cellStyle name="Normal 2 7 7 3 4 4" xfId="34319" xr:uid="{00000000-0005-0000-0000-000012860000}"/>
    <cellStyle name="Normal 2 7 7 3 5" xfId="34320" xr:uid="{00000000-0005-0000-0000-000013860000}"/>
    <cellStyle name="Normal 2 7 7 3 5 2" xfId="34321" xr:uid="{00000000-0005-0000-0000-000014860000}"/>
    <cellStyle name="Normal 2 7 7 3 6" xfId="34322" xr:uid="{00000000-0005-0000-0000-000015860000}"/>
    <cellStyle name="Normal 2 7 7 3 7" xfId="34323" xr:uid="{00000000-0005-0000-0000-000016860000}"/>
    <cellStyle name="Normal 2 7 7 3 8" xfId="34324" xr:uid="{00000000-0005-0000-0000-000017860000}"/>
    <cellStyle name="Normal 2 7 7 3 9" xfId="34325" xr:uid="{00000000-0005-0000-0000-000018860000}"/>
    <cellStyle name="Normal 2 7 7 4" xfId="34326" xr:uid="{00000000-0005-0000-0000-000019860000}"/>
    <cellStyle name="Normal 2 7 7 4 2" xfId="34327" xr:uid="{00000000-0005-0000-0000-00001A860000}"/>
    <cellStyle name="Normal 2 7 7 4 2 2" xfId="34328" xr:uid="{00000000-0005-0000-0000-00001B860000}"/>
    <cellStyle name="Normal 2 7 7 4 2 3" xfId="34329" xr:uid="{00000000-0005-0000-0000-00001C860000}"/>
    <cellStyle name="Normal 2 7 7 4 3" xfId="34330" xr:uid="{00000000-0005-0000-0000-00001D860000}"/>
    <cellStyle name="Normal 2 7 7 4 4" xfId="34331" xr:uid="{00000000-0005-0000-0000-00001E860000}"/>
    <cellStyle name="Normal 2 7 7 4 5" xfId="34332" xr:uid="{00000000-0005-0000-0000-00001F860000}"/>
    <cellStyle name="Normal 2 7 7 4 6" xfId="34333" xr:uid="{00000000-0005-0000-0000-000020860000}"/>
    <cellStyle name="Normal 2 7 7 5" xfId="34334" xr:uid="{00000000-0005-0000-0000-000021860000}"/>
    <cellStyle name="Normal 2 7 7 5 2" xfId="34335" xr:uid="{00000000-0005-0000-0000-000022860000}"/>
    <cellStyle name="Normal 2 7 7 5 2 2" xfId="34336" xr:uid="{00000000-0005-0000-0000-000023860000}"/>
    <cellStyle name="Normal 2 7 7 5 3" xfId="34337" xr:uid="{00000000-0005-0000-0000-000024860000}"/>
    <cellStyle name="Normal 2 7 7 5 4" xfId="34338" xr:uid="{00000000-0005-0000-0000-000025860000}"/>
    <cellStyle name="Normal 2 7 7 5 5" xfId="34339" xr:uid="{00000000-0005-0000-0000-000026860000}"/>
    <cellStyle name="Normal 2 7 7 6" xfId="34340" xr:uid="{00000000-0005-0000-0000-000027860000}"/>
    <cellStyle name="Normal 2 7 7 6 2" xfId="34341" xr:uid="{00000000-0005-0000-0000-000028860000}"/>
    <cellStyle name="Normal 2 7 7 6 3" xfId="34342" xr:uid="{00000000-0005-0000-0000-000029860000}"/>
    <cellStyle name="Normal 2 7 7 6 4" xfId="34343" xr:uid="{00000000-0005-0000-0000-00002A860000}"/>
    <cellStyle name="Normal 2 7 7 7" xfId="34344" xr:uid="{00000000-0005-0000-0000-00002B860000}"/>
    <cellStyle name="Normal 2 7 7 7 2" xfId="34345" xr:uid="{00000000-0005-0000-0000-00002C860000}"/>
    <cellStyle name="Normal 2 7 7 8" xfId="34346" xr:uid="{00000000-0005-0000-0000-00002D860000}"/>
    <cellStyle name="Normal 2 7 7 9" xfId="34347" xr:uid="{00000000-0005-0000-0000-00002E860000}"/>
    <cellStyle name="Normal 2 7 8" xfId="34348" xr:uid="{00000000-0005-0000-0000-00002F860000}"/>
    <cellStyle name="Normal 2 7 8 10" xfId="34349" xr:uid="{00000000-0005-0000-0000-000030860000}"/>
    <cellStyle name="Normal 2 7 8 11" xfId="34350" xr:uid="{00000000-0005-0000-0000-000031860000}"/>
    <cellStyle name="Normal 2 7 8 2" xfId="34351" xr:uid="{00000000-0005-0000-0000-000032860000}"/>
    <cellStyle name="Normal 2 7 8 2 2" xfId="34352" xr:uid="{00000000-0005-0000-0000-000033860000}"/>
    <cellStyle name="Normal 2 7 8 2 2 2" xfId="34353" xr:uid="{00000000-0005-0000-0000-000034860000}"/>
    <cellStyle name="Normal 2 7 8 2 2 2 2" xfId="34354" xr:uid="{00000000-0005-0000-0000-000035860000}"/>
    <cellStyle name="Normal 2 7 8 2 2 2 3" xfId="34355" xr:uid="{00000000-0005-0000-0000-000036860000}"/>
    <cellStyle name="Normal 2 7 8 2 2 3" xfId="34356" xr:uid="{00000000-0005-0000-0000-000037860000}"/>
    <cellStyle name="Normal 2 7 8 2 2 4" xfId="34357" xr:uid="{00000000-0005-0000-0000-000038860000}"/>
    <cellStyle name="Normal 2 7 8 2 2 5" xfId="34358" xr:uid="{00000000-0005-0000-0000-000039860000}"/>
    <cellStyle name="Normal 2 7 8 2 2 6" xfId="34359" xr:uid="{00000000-0005-0000-0000-00003A860000}"/>
    <cellStyle name="Normal 2 7 8 2 3" xfId="34360" xr:uid="{00000000-0005-0000-0000-00003B860000}"/>
    <cellStyle name="Normal 2 7 8 2 3 2" xfId="34361" xr:uid="{00000000-0005-0000-0000-00003C860000}"/>
    <cellStyle name="Normal 2 7 8 2 3 2 2" xfId="34362" xr:uid="{00000000-0005-0000-0000-00003D860000}"/>
    <cellStyle name="Normal 2 7 8 2 3 3" xfId="34363" xr:uid="{00000000-0005-0000-0000-00003E860000}"/>
    <cellStyle name="Normal 2 7 8 2 3 4" xfId="34364" xr:uid="{00000000-0005-0000-0000-00003F860000}"/>
    <cellStyle name="Normal 2 7 8 2 3 5" xfId="34365" xr:uid="{00000000-0005-0000-0000-000040860000}"/>
    <cellStyle name="Normal 2 7 8 2 4" xfId="34366" xr:uid="{00000000-0005-0000-0000-000041860000}"/>
    <cellStyle name="Normal 2 7 8 2 4 2" xfId="34367" xr:uid="{00000000-0005-0000-0000-000042860000}"/>
    <cellStyle name="Normal 2 7 8 2 4 3" xfId="34368" xr:uid="{00000000-0005-0000-0000-000043860000}"/>
    <cellStyle name="Normal 2 7 8 2 4 4" xfId="34369" xr:uid="{00000000-0005-0000-0000-000044860000}"/>
    <cellStyle name="Normal 2 7 8 2 5" xfId="34370" xr:uid="{00000000-0005-0000-0000-000045860000}"/>
    <cellStyle name="Normal 2 7 8 2 5 2" xfId="34371" xr:uid="{00000000-0005-0000-0000-000046860000}"/>
    <cellStyle name="Normal 2 7 8 2 6" xfId="34372" xr:uid="{00000000-0005-0000-0000-000047860000}"/>
    <cellStyle name="Normal 2 7 8 2 7" xfId="34373" xr:uid="{00000000-0005-0000-0000-000048860000}"/>
    <cellStyle name="Normal 2 7 8 2 8" xfId="34374" xr:uid="{00000000-0005-0000-0000-000049860000}"/>
    <cellStyle name="Normal 2 7 8 2 9" xfId="34375" xr:uid="{00000000-0005-0000-0000-00004A860000}"/>
    <cellStyle name="Normal 2 7 8 3" xfId="34376" xr:uid="{00000000-0005-0000-0000-00004B860000}"/>
    <cellStyle name="Normal 2 7 8 3 2" xfId="34377" xr:uid="{00000000-0005-0000-0000-00004C860000}"/>
    <cellStyle name="Normal 2 7 8 3 2 2" xfId="34378" xr:uid="{00000000-0005-0000-0000-00004D860000}"/>
    <cellStyle name="Normal 2 7 8 3 2 2 2" xfId="34379" xr:uid="{00000000-0005-0000-0000-00004E860000}"/>
    <cellStyle name="Normal 2 7 8 3 2 2 3" xfId="34380" xr:uid="{00000000-0005-0000-0000-00004F860000}"/>
    <cellStyle name="Normal 2 7 8 3 2 3" xfId="34381" xr:uid="{00000000-0005-0000-0000-000050860000}"/>
    <cellStyle name="Normal 2 7 8 3 2 4" xfId="34382" xr:uid="{00000000-0005-0000-0000-000051860000}"/>
    <cellStyle name="Normal 2 7 8 3 2 5" xfId="34383" xr:uid="{00000000-0005-0000-0000-000052860000}"/>
    <cellStyle name="Normal 2 7 8 3 2 6" xfId="34384" xr:uid="{00000000-0005-0000-0000-000053860000}"/>
    <cellStyle name="Normal 2 7 8 3 3" xfId="34385" xr:uid="{00000000-0005-0000-0000-000054860000}"/>
    <cellStyle name="Normal 2 7 8 3 3 2" xfId="34386" xr:uid="{00000000-0005-0000-0000-000055860000}"/>
    <cellStyle name="Normal 2 7 8 3 3 2 2" xfId="34387" xr:uid="{00000000-0005-0000-0000-000056860000}"/>
    <cellStyle name="Normal 2 7 8 3 3 3" xfId="34388" xr:uid="{00000000-0005-0000-0000-000057860000}"/>
    <cellStyle name="Normal 2 7 8 3 3 4" xfId="34389" xr:uid="{00000000-0005-0000-0000-000058860000}"/>
    <cellStyle name="Normal 2 7 8 3 3 5" xfId="34390" xr:uid="{00000000-0005-0000-0000-000059860000}"/>
    <cellStyle name="Normal 2 7 8 3 4" xfId="34391" xr:uid="{00000000-0005-0000-0000-00005A860000}"/>
    <cellStyle name="Normal 2 7 8 3 4 2" xfId="34392" xr:uid="{00000000-0005-0000-0000-00005B860000}"/>
    <cellStyle name="Normal 2 7 8 3 4 3" xfId="34393" xr:uid="{00000000-0005-0000-0000-00005C860000}"/>
    <cellStyle name="Normal 2 7 8 3 4 4" xfId="34394" xr:uid="{00000000-0005-0000-0000-00005D860000}"/>
    <cellStyle name="Normal 2 7 8 3 5" xfId="34395" xr:uid="{00000000-0005-0000-0000-00005E860000}"/>
    <cellStyle name="Normal 2 7 8 3 5 2" xfId="34396" xr:uid="{00000000-0005-0000-0000-00005F860000}"/>
    <cellStyle name="Normal 2 7 8 3 6" xfId="34397" xr:uid="{00000000-0005-0000-0000-000060860000}"/>
    <cellStyle name="Normal 2 7 8 3 7" xfId="34398" xr:uid="{00000000-0005-0000-0000-000061860000}"/>
    <cellStyle name="Normal 2 7 8 3 8" xfId="34399" xr:uid="{00000000-0005-0000-0000-000062860000}"/>
    <cellStyle name="Normal 2 7 8 3 9" xfId="34400" xr:uid="{00000000-0005-0000-0000-000063860000}"/>
    <cellStyle name="Normal 2 7 8 4" xfId="34401" xr:uid="{00000000-0005-0000-0000-000064860000}"/>
    <cellStyle name="Normal 2 7 8 4 2" xfId="34402" xr:uid="{00000000-0005-0000-0000-000065860000}"/>
    <cellStyle name="Normal 2 7 8 4 2 2" xfId="34403" xr:uid="{00000000-0005-0000-0000-000066860000}"/>
    <cellStyle name="Normal 2 7 8 4 2 3" xfId="34404" xr:uid="{00000000-0005-0000-0000-000067860000}"/>
    <cellStyle name="Normal 2 7 8 4 3" xfId="34405" xr:uid="{00000000-0005-0000-0000-000068860000}"/>
    <cellStyle name="Normal 2 7 8 4 4" xfId="34406" xr:uid="{00000000-0005-0000-0000-000069860000}"/>
    <cellStyle name="Normal 2 7 8 4 5" xfId="34407" xr:uid="{00000000-0005-0000-0000-00006A860000}"/>
    <cellStyle name="Normal 2 7 8 4 6" xfId="34408" xr:uid="{00000000-0005-0000-0000-00006B860000}"/>
    <cellStyle name="Normal 2 7 8 5" xfId="34409" xr:uid="{00000000-0005-0000-0000-00006C860000}"/>
    <cellStyle name="Normal 2 7 8 5 2" xfId="34410" xr:uid="{00000000-0005-0000-0000-00006D860000}"/>
    <cellStyle name="Normal 2 7 8 5 2 2" xfId="34411" xr:uid="{00000000-0005-0000-0000-00006E860000}"/>
    <cellStyle name="Normal 2 7 8 5 3" xfId="34412" xr:uid="{00000000-0005-0000-0000-00006F860000}"/>
    <cellStyle name="Normal 2 7 8 5 4" xfId="34413" xr:uid="{00000000-0005-0000-0000-000070860000}"/>
    <cellStyle name="Normal 2 7 8 5 5" xfId="34414" xr:uid="{00000000-0005-0000-0000-000071860000}"/>
    <cellStyle name="Normal 2 7 8 6" xfId="34415" xr:uid="{00000000-0005-0000-0000-000072860000}"/>
    <cellStyle name="Normal 2 7 8 6 2" xfId="34416" xr:uid="{00000000-0005-0000-0000-000073860000}"/>
    <cellStyle name="Normal 2 7 8 6 3" xfId="34417" xr:uid="{00000000-0005-0000-0000-000074860000}"/>
    <cellStyle name="Normal 2 7 8 6 4" xfId="34418" xr:uid="{00000000-0005-0000-0000-000075860000}"/>
    <cellStyle name="Normal 2 7 8 7" xfId="34419" xr:uid="{00000000-0005-0000-0000-000076860000}"/>
    <cellStyle name="Normal 2 7 8 7 2" xfId="34420" xr:uid="{00000000-0005-0000-0000-000077860000}"/>
    <cellStyle name="Normal 2 7 8 8" xfId="34421" xr:uid="{00000000-0005-0000-0000-000078860000}"/>
    <cellStyle name="Normal 2 7 8 9" xfId="34422" xr:uid="{00000000-0005-0000-0000-000079860000}"/>
    <cellStyle name="Normal 2 7 9" xfId="34423" xr:uid="{00000000-0005-0000-0000-00007A860000}"/>
    <cellStyle name="Normal 2 7 9 10" xfId="34424" xr:uid="{00000000-0005-0000-0000-00007B860000}"/>
    <cellStyle name="Normal 2 7 9 11" xfId="34425" xr:uid="{00000000-0005-0000-0000-00007C860000}"/>
    <cellStyle name="Normal 2 7 9 2" xfId="34426" xr:uid="{00000000-0005-0000-0000-00007D860000}"/>
    <cellStyle name="Normal 2 7 9 2 2" xfId="34427" xr:uid="{00000000-0005-0000-0000-00007E860000}"/>
    <cellStyle name="Normal 2 7 9 2 2 2" xfId="34428" xr:uid="{00000000-0005-0000-0000-00007F860000}"/>
    <cellStyle name="Normal 2 7 9 2 2 2 2" xfId="34429" xr:uid="{00000000-0005-0000-0000-000080860000}"/>
    <cellStyle name="Normal 2 7 9 2 2 2 3" xfId="34430" xr:uid="{00000000-0005-0000-0000-000081860000}"/>
    <cellStyle name="Normal 2 7 9 2 2 3" xfId="34431" xr:uid="{00000000-0005-0000-0000-000082860000}"/>
    <cellStyle name="Normal 2 7 9 2 2 4" xfId="34432" xr:uid="{00000000-0005-0000-0000-000083860000}"/>
    <cellStyle name="Normal 2 7 9 2 2 5" xfId="34433" xr:uid="{00000000-0005-0000-0000-000084860000}"/>
    <cellStyle name="Normal 2 7 9 2 2 6" xfId="34434" xr:uid="{00000000-0005-0000-0000-000085860000}"/>
    <cellStyle name="Normal 2 7 9 2 3" xfId="34435" xr:uid="{00000000-0005-0000-0000-000086860000}"/>
    <cellStyle name="Normal 2 7 9 2 3 2" xfId="34436" xr:uid="{00000000-0005-0000-0000-000087860000}"/>
    <cellStyle name="Normal 2 7 9 2 3 2 2" xfId="34437" xr:uid="{00000000-0005-0000-0000-000088860000}"/>
    <cellStyle name="Normal 2 7 9 2 3 3" xfId="34438" xr:uid="{00000000-0005-0000-0000-000089860000}"/>
    <cellStyle name="Normal 2 7 9 2 3 4" xfId="34439" xr:uid="{00000000-0005-0000-0000-00008A860000}"/>
    <cellStyle name="Normal 2 7 9 2 3 5" xfId="34440" xr:uid="{00000000-0005-0000-0000-00008B860000}"/>
    <cellStyle name="Normal 2 7 9 2 4" xfId="34441" xr:uid="{00000000-0005-0000-0000-00008C860000}"/>
    <cellStyle name="Normal 2 7 9 2 4 2" xfId="34442" xr:uid="{00000000-0005-0000-0000-00008D860000}"/>
    <cellStyle name="Normal 2 7 9 2 4 3" xfId="34443" xr:uid="{00000000-0005-0000-0000-00008E860000}"/>
    <cellStyle name="Normal 2 7 9 2 4 4" xfId="34444" xr:uid="{00000000-0005-0000-0000-00008F860000}"/>
    <cellStyle name="Normal 2 7 9 2 5" xfId="34445" xr:uid="{00000000-0005-0000-0000-000090860000}"/>
    <cellStyle name="Normal 2 7 9 2 5 2" xfId="34446" xr:uid="{00000000-0005-0000-0000-000091860000}"/>
    <cellStyle name="Normal 2 7 9 2 6" xfId="34447" xr:uid="{00000000-0005-0000-0000-000092860000}"/>
    <cellStyle name="Normal 2 7 9 2 7" xfId="34448" xr:uid="{00000000-0005-0000-0000-000093860000}"/>
    <cellStyle name="Normal 2 7 9 2 8" xfId="34449" xr:uid="{00000000-0005-0000-0000-000094860000}"/>
    <cellStyle name="Normal 2 7 9 2 9" xfId="34450" xr:uid="{00000000-0005-0000-0000-000095860000}"/>
    <cellStyle name="Normal 2 7 9 3" xfId="34451" xr:uid="{00000000-0005-0000-0000-000096860000}"/>
    <cellStyle name="Normal 2 7 9 3 2" xfId="34452" xr:uid="{00000000-0005-0000-0000-000097860000}"/>
    <cellStyle name="Normal 2 7 9 3 2 2" xfId="34453" xr:uid="{00000000-0005-0000-0000-000098860000}"/>
    <cellStyle name="Normal 2 7 9 3 2 2 2" xfId="34454" xr:uid="{00000000-0005-0000-0000-000099860000}"/>
    <cellStyle name="Normal 2 7 9 3 2 2 3" xfId="34455" xr:uid="{00000000-0005-0000-0000-00009A860000}"/>
    <cellStyle name="Normal 2 7 9 3 2 3" xfId="34456" xr:uid="{00000000-0005-0000-0000-00009B860000}"/>
    <cellStyle name="Normal 2 7 9 3 2 4" xfId="34457" xr:uid="{00000000-0005-0000-0000-00009C860000}"/>
    <cellStyle name="Normal 2 7 9 3 2 5" xfId="34458" xr:uid="{00000000-0005-0000-0000-00009D860000}"/>
    <cellStyle name="Normal 2 7 9 3 2 6" xfId="34459" xr:uid="{00000000-0005-0000-0000-00009E860000}"/>
    <cellStyle name="Normal 2 7 9 3 3" xfId="34460" xr:uid="{00000000-0005-0000-0000-00009F860000}"/>
    <cellStyle name="Normal 2 7 9 3 3 2" xfId="34461" xr:uid="{00000000-0005-0000-0000-0000A0860000}"/>
    <cellStyle name="Normal 2 7 9 3 3 2 2" xfId="34462" xr:uid="{00000000-0005-0000-0000-0000A1860000}"/>
    <cellStyle name="Normal 2 7 9 3 3 3" xfId="34463" xr:uid="{00000000-0005-0000-0000-0000A2860000}"/>
    <cellStyle name="Normal 2 7 9 3 3 4" xfId="34464" xr:uid="{00000000-0005-0000-0000-0000A3860000}"/>
    <cellStyle name="Normal 2 7 9 3 3 5" xfId="34465" xr:uid="{00000000-0005-0000-0000-0000A4860000}"/>
    <cellStyle name="Normal 2 7 9 3 4" xfId="34466" xr:uid="{00000000-0005-0000-0000-0000A5860000}"/>
    <cellStyle name="Normal 2 7 9 3 4 2" xfId="34467" xr:uid="{00000000-0005-0000-0000-0000A6860000}"/>
    <cellStyle name="Normal 2 7 9 3 4 3" xfId="34468" xr:uid="{00000000-0005-0000-0000-0000A7860000}"/>
    <cellStyle name="Normal 2 7 9 3 4 4" xfId="34469" xr:uid="{00000000-0005-0000-0000-0000A8860000}"/>
    <cellStyle name="Normal 2 7 9 3 5" xfId="34470" xr:uid="{00000000-0005-0000-0000-0000A9860000}"/>
    <cellStyle name="Normal 2 7 9 3 5 2" xfId="34471" xr:uid="{00000000-0005-0000-0000-0000AA860000}"/>
    <cellStyle name="Normal 2 7 9 3 6" xfId="34472" xr:uid="{00000000-0005-0000-0000-0000AB860000}"/>
    <cellStyle name="Normal 2 7 9 3 7" xfId="34473" xr:uid="{00000000-0005-0000-0000-0000AC860000}"/>
    <cellStyle name="Normal 2 7 9 3 8" xfId="34474" xr:uid="{00000000-0005-0000-0000-0000AD860000}"/>
    <cellStyle name="Normal 2 7 9 3 9" xfId="34475" xr:uid="{00000000-0005-0000-0000-0000AE860000}"/>
    <cellStyle name="Normal 2 7 9 4" xfId="34476" xr:uid="{00000000-0005-0000-0000-0000AF860000}"/>
    <cellStyle name="Normal 2 7 9 4 2" xfId="34477" xr:uid="{00000000-0005-0000-0000-0000B0860000}"/>
    <cellStyle name="Normal 2 7 9 4 2 2" xfId="34478" xr:uid="{00000000-0005-0000-0000-0000B1860000}"/>
    <cellStyle name="Normal 2 7 9 4 2 3" xfId="34479" xr:uid="{00000000-0005-0000-0000-0000B2860000}"/>
    <cellStyle name="Normal 2 7 9 4 3" xfId="34480" xr:uid="{00000000-0005-0000-0000-0000B3860000}"/>
    <cellStyle name="Normal 2 7 9 4 4" xfId="34481" xr:uid="{00000000-0005-0000-0000-0000B4860000}"/>
    <cellStyle name="Normal 2 7 9 4 5" xfId="34482" xr:uid="{00000000-0005-0000-0000-0000B5860000}"/>
    <cellStyle name="Normal 2 7 9 4 6" xfId="34483" xr:uid="{00000000-0005-0000-0000-0000B6860000}"/>
    <cellStyle name="Normal 2 7 9 5" xfId="34484" xr:uid="{00000000-0005-0000-0000-0000B7860000}"/>
    <cellStyle name="Normal 2 7 9 5 2" xfId="34485" xr:uid="{00000000-0005-0000-0000-0000B8860000}"/>
    <cellStyle name="Normal 2 7 9 5 2 2" xfId="34486" xr:uid="{00000000-0005-0000-0000-0000B9860000}"/>
    <cellStyle name="Normal 2 7 9 5 3" xfId="34487" xr:uid="{00000000-0005-0000-0000-0000BA860000}"/>
    <cellStyle name="Normal 2 7 9 5 4" xfId="34488" xr:uid="{00000000-0005-0000-0000-0000BB860000}"/>
    <cellStyle name="Normal 2 7 9 5 5" xfId="34489" xr:uid="{00000000-0005-0000-0000-0000BC860000}"/>
    <cellStyle name="Normal 2 7 9 6" xfId="34490" xr:uid="{00000000-0005-0000-0000-0000BD860000}"/>
    <cellStyle name="Normal 2 7 9 6 2" xfId="34491" xr:uid="{00000000-0005-0000-0000-0000BE860000}"/>
    <cellStyle name="Normal 2 7 9 6 3" xfId="34492" xr:uid="{00000000-0005-0000-0000-0000BF860000}"/>
    <cellStyle name="Normal 2 7 9 6 4" xfId="34493" xr:uid="{00000000-0005-0000-0000-0000C0860000}"/>
    <cellStyle name="Normal 2 7 9 7" xfId="34494" xr:uid="{00000000-0005-0000-0000-0000C1860000}"/>
    <cellStyle name="Normal 2 7 9 7 2" xfId="34495" xr:uid="{00000000-0005-0000-0000-0000C2860000}"/>
    <cellStyle name="Normal 2 7 9 8" xfId="34496" xr:uid="{00000000-0005-0000-0000-0000C3860000}"/>
    <cellStyle name="Normal 2 7 9 9" xfId="34497" xr:uid="{00000000-0005-0000-0000-0000C4860000}"/>
    <cellStyle name="Normal 2 70" xfId="34498" xr:uid="{00000000-0005-0000-0000-0000C5860000}"/>
    <cellStyle name="Normal 2 8" xfId="34499" xr:uid="{00000000-0005-0000-0000-0000C6860000}"/>
    <cellStyle name="Normal 2 8 10" xfId="34500" xr:uid="{00000000-0005-0000-0000-0000C7860000}"/>
    <cellStyle name="Normal 2 8 10 10" xfId="34501" xr:uid="{00000000-0005-0000-0000-0000C8860000}"/>
    <cellStyle name="Normal 2 8 10 11" xfId="34502" xr:uid="{00000000-0005-0000-0000-0000C9860000}"/>
    <cellStyle name="Normal 2 8 10 2" xfId="34503" xr:uid="{00000000-0005-0000-0000-0000CA860000}"/>
    <cellStyle name="Normal 2 8 10 2 2" xfId="34504" xr:uid="{00000000-0005-0000-0000-0000CB860000}"/>
    <cellStyle name="Normal 2 8 10 2 2 2" xfId="34505" xr:uid="{00000000-0005-0000-0000-0000CC860000}"/>
    <cellStyle name="Normal 2 8 10 2 2 2 2" xfId="34506" xr:uid="{00000000-0005-0000-0000-0000CD860000}"/>
    <cellStyle name="Normal 2 8 10 2 2 2 3" xfId="34507" xr:uid="{00000000-0005-0000-0000-0000CE860000}"/>
    <cellStyle name="Normal 2 8 10 2 2 3" xfId="34508" xr:uid="{00000000-0005-0000-0000-0000CF860000}"/>
    <cellStyle name="Normal 2 8 10 2 2 4" xfId="34509" xr:uid="{00000000-0005-0000-0000-0000D0860000}"/>
    <cellStyle name="Normal 2 8 10 2 2 5" xfId="34510" xr:uid="{00000000-0005-0000-0000-0000D1860000}"/>
    <cellStyle name="Normal 2 8 10 2 2 6" xfId="34511" xr:uid="{00000000-0005-0000-0000-0000D2860000}"/>
    <cellStyle name="Normal 2 8 10 2 3" xfId="34512" xr:uid="{00000000-0005-0000-0000-0000D3860000}"/>
    <cellStyle name="Normal 2 8 10 2 3 2" xfId="34513" xr:uid="{00000000-0005-0000-0000-0000D4860000}"/>
    <cellStyle name="Normal 2 8 10 2 3 2 2" xfId="34514" xr:uid="{00000000-0005-0000-0000-0000D5860000}"/>
    <cellStyle name="Normal 2 8 10 2 3 3" xfId="34515" xr:uid="{00000000-0005-0000-0000-0000D6860000}"/>
    <cellStyle name="Normal 2 8 10 2 3 4" xfId="34516" xr:uid="{00000000-0005-0000-0000-0000D7860000}"/>
    <cellStyle name="Normal 2 8 10 2 3 5" xfId="34517" xr:uid="{00000000-0005-0000-0000-0000D8860000}"/>
    <cellStyle name="Normal 2 8 10 2 4" xfId="34518" xr:uid="{00000000-0005-0000-0000-0000D9860000}"/>
    <cellStyle name="Normal 2 8 10 2 4 2" xfId="34519" xr:uid="{00000000-0005-0000-0000-0000DA860000}"/>
    <cellStyle name="Normal 2 8 10 2 4 3" xfId="34520" xr:uid="{00000000-0005-0000-0000-0000DB860000}"/>
    <cellStyle name="Normal 2 8 10 2 4 4" xfId="34521" xr:uid="{00000000-0005-0000-0000-0000DC860000}"/>
    <cellStyle name="Normal 2 8 10 2 5" xfId="34522" xr:uid="{00000000-0005-0000-0000-0000DD860000}"/>
    <cellStyle name="Normal 2 8 10 2 5 2" xfId="34523" xr:uid="{00000000-0005-0000-0000-0000DE860000}"/>
    <cellStyle name="Normal 2 8 10 2 6" xfId="34524" xr:uid="{00000000-0005-0000-0000-0000DF860000}"/>
    <cellStyle name="Normal 2 8 10 2 7" xfId="34525" xr:uid="{00000000-0005-0000-0000-0000E0860000}"/>
    <cellStyle name="Normal 2 8 10 2 8" xfId="34526" xr:uid="{00000000-0005-0000-0000-0000E1860000}"/>
    <cellStyle name="Normal 2 8 10 2 9" xfId="34527" xr:uid="{00000000-0005-0000-0000-0000E2860000}"/>
    <cellStyle name="Normal 2 8 10 3" xfId="34528" xr:uid="{00000000-0005-0000-0000-0000E3860000}"/>
    <cellStyle name="Normal 2 8 10 3 2" xfId="34529" xr:uid="{00000000-0005-0000-0000-0000E4860000}"/>
    <cellStyle name="Normal 2 8 10 3 2 2" xfId="34530" xr:uid="{00000000-0005-0000-0000-0000E5860000}"/>
    <cellStyle name="Normal 2 8 10 3 2 2 2" xfId="34531" xr:uid="{00000000-0005-0000-0000-0000E6860000}"/>
    <cellStyle name="Normal 2 8 10 3 2 2 3" xfId="34532" xr:uid="{00000000-0005-0000-0000-0000E7860000}"/>
    <cellStyle name="Normal 2 8 10 3 2 3" xfId="34533" xr:uid="{00000000-0005-0000-0000-0000E8860000}"/>
    <cellStyle name="Normal 2 8 10 3 2 4" xfId="34534" xr:uid="{00000000-0005-0000-0000-0000E9860000}"/>
    <cellStyle name="Normal 2 8 10 3 2 5" xfId="34535" xr:uid="{00000000-0005-0000-0000-0000EA860000}"/>
    <cellStyle name="Normal 2 8 10 3 2 6" xfId="34536" xr:uid="{00000000-0005-0000-0000-0000EB860000}"/>
    <cellStyle name="Normal 2 8 10 3 3" xfId="34537" xr:uid="{00000000-0005-0000-0000-0000EC860000}"/>
    <cellStyle name="Normal 2 8 10 3 3 2" xfId="34538" xr:uid="{00000000-0005-0000-0000-0000ED860000}"/>
    <cellStyle name="Normal 2 8 10 3 3 2 2" xfId="34539" xr:uid="{00000000-0005-0000-0000-0000EE860000}"/>
    <cellStyle name="Normal 2 8 10 3 3 3" xfId="34540" xr:uid="{00000000-0005-0000-0000-0000EF860000}"/>
    <cellStyle name="Normal 2 8 10 3 3 4" xfId="34541" xr:uid="{00000000-0005-0000-0000-0000F0860000}"/>
    <cellStyle name="Normal 2 8 10 3 3 5" xfId="34542" xr:uid="{00000000-0005-0000-0000-0000F1860000}"/>
    <cellStyle name="Normal 2 8 10 3 4" xfId="34543" xr:uid="{00000000-0005-0000-0000-0000F2860000}"/>
    <cellStyle name="Normal 2 8 10 3 4 2" xfId="34544" xr:uid="{00000000-0005-0000-0000-0000F3860000}"/>
    <cellStyle name="Normal 2 8 10 3 4 3" xfId="34545" xr:uid="{00000000-0005-0000-0000-0000F4860000}"/>
    <cellStyle name="Normal 2 8 10 3 4 4" xfId="34546" xr:uid="{00000000-0005-0000-0000-0000F5860000}"/>
    <cellStyle name="Normal 2 8 10 3 5" xfId="34547" xr:uid="{00000000-0005-0000-0000-0000F6860000}"/>
    <cellStyle name="Normal 2 8 10 3 5 2" xfId="34548" xr:uid="{00000000-0005-0000-0000-0000F7860000}"/>
    <cellStyle name="Normal 2 8 10 3 6" xfId="34549" xr:uid="{00000000-0005-0000-0000-0000F8860000}"/>
    <cellStyle name="Normal 2 8 10 3 7" xfId="34550" xr:uid="{00000000-0005-0000-0000-0000F9860000}"/>
    <cellStyle name="Normal 2 8 10 3 8" xfId="34551" xr:uid="{00000000-0005-0000-0000-0000FA860000}"/>
    <cellStyle name="Normal 2 8 10 3 9" xfId="34552" xr:uid="{00000000-0005-0000-0000-0000FB860000}"/>
    <cellStyle name="Normal 2 8 10 4" xfId="34553" xr:uid="{00000000-0005-0000-0000-0000FC860000}"/>
    <cellStyle name="Normal 2 8 10 4 2" xfId="34554" xr:uid="{00000000-0005-0000-0000-0000FD860000}"/>
    <cellStyle name="Normal 2 8 10 4 2 2" xfId="34555" xr:uid="{00000000-0005-0000-0000-0000FE860000}"/>
    <cellStyle name="Normal 2 8 10 4 2 3" xfId="34556" xr:uid="{00000000-0005-0000-0000-0000FF860000}"/>
    <cellStyle name="Normal 2 8 10 4 3" xfId="34557" xr:uid="{00000000-0005-0000-0000-000000870000}"/>
    <cellStyle name="Normal 2 8 10 4 4" xfId="34558" xr:uid="{00000000-0005-0000-0000-000001870000}"/>
    <cellStyle name="Normal 2 8 10 4 5" xfId="34559" xr:uid="{00000000-0005-0000-0000-000002870000}"/>
    <cellStyle name="Normal 2 8 10 4 6" xfId="34560" xr:uid="{00000000-0005-0000-0000-000003870000}"/>
    <cellStyle name="Normal 2 8 10 5" xfId="34561" xr:uid="{00000000-0005-0000-0000-000004870000}"/>
    <cellStyle name="Normal 2 8 10 5 2" xfId="34562" xr:uid="{00000000-0005-0000-0000-000005870000}"/>
    <cellStyle name="Normal 2 8 10 5 2 2" xfId="34563" xr:uid="{00000000-0005-0000-0000-000006870000}"/>
    <cellStyle name="Normal 2 8 10 5 3" xfId="34564" xr:uid="{00000000-0005-0000-0000-000007870000}"/>
    <cellStyle name="Normal 2 8 10 5 4" xfId="34565" xr:uid="{00000000-0005-0000-0000-000008870000}"/>
    <cellStyle name="Normal 2 8 10 5 5" xfId="34566" xr:uid="{00000000-0005-0000-0000-000009870000}"/>
    <cellStyle name="Normal 2 8 10 6" xfId="34567" xr:uid="{00000000-0005-0000-0000-00000A870000}"/>
    <cellStyle name="Normal 2 8 10 6 2" xfId="34568" xr:uid="{00000000-0005-0000-0000-00000B870000}"/>
    <cellStyle name="Normal 2 8 10 6 3" xfId="34569" xr:uid="{00000000-0005-0000-0000-00000C870000}"/>
    <cellStyle name="Normal 2 8 10 6 4" xfId="34570" xr:uid="{00000000-0005-0000-0000-00000D870000}"/>
    <cellStyle name="Normal 2 8 10 7" xfId="34571" xr:uid="{00000000-0005-0000-0000-00000E870000}"/>
    <cellStyle name="Normal 2 8 10 7 2" xfId="34572" xr:uid="{00000000-0005-0000-0000-00000F870000}"/>
    <cellStyle name="Normal 2 8 10 8" xfId="34573" xr:uid="{00000000-0005-0000-0000-000010870000}"/>
    <cellStyle name="Normal 2 8 10 9" xfId="34574" xr:uid="{00000000-0005-0000-0000-000011870000}"/>
    <cellStyle name="Normal 2 8 11" xfId="34575" xr:uid="{00000000-0005-0000-0000-000012870000}"/>
    <cellStyle name="Normal 2 8 11 10" xfId="34576" xr:uid="{00000000-0005-0000-0000-000013870000}"/>
    <cellStyle name="Normal 2 8 11 2" xfId="34577" xr:uid="{00000000-0005-0000-0000-000014870000}"/>
    <cellStyle name="Normal 2 8 11 2 2" xfId="34578" xr:uid="{00000000-0005-0000-0000-000015870000}"/>
    <cellStyle name="Normal 2 8 11 2 2 2" xfId="34579" xr:uid="{00000000-0005-0000-0000-000016870000}"/>
    <cellStyle name="Normal 2 8 11 2 2 3" xfId="34580" xr:uid="{00000000-0005-0000-0000-000017870000}"/>
    <cellStyle name="Normal 2 8 11 2 3" xfId="34581" xr:uid="{00000000-0005-0000-0000-000018870000}"/>
    <cellStyle name="Normal 2 8 11 2 4" xfId="34582" xr:uid="{00000000-0005-0000-0000-000019870000}"/>
    <cellStyle name="Normal 2 8 11 2 5" xfId="34583" xr:uid="{00000000-0005-0000-0000-00001A870000}"/>
    <cellStyle name="Normal 2 8 11 2 6" xfId="34584" xr:uid="{00000000-0005-0000-0000-00001B870000}"/>
    <cellStyle name="Normal 2 8 11 3" xfId="34585" xr:uid="{00000000-0005-0000-0000-00001C870000}"/>
    <cellStyle name="Normal 2 8 11 3 2" xfId="34586" xr:uid="{00000000-0005-0000-0000-00001D870000}"/>
    <cellStyle name="Normal 2 8 11 3 2 2" xfId="34587" xr:uid="{00000000-0005-0000-0000-00001E870000}"/>
    <cellStyle name="Normal 2 8 11 3 2 3" xfId="34588" xr:uid="{00000000-0005-0000-0000-00001F870000}"/>
    <cellStyle name="Normal 2 8 11 3 3" xfId="34589" xr:uid="{00000000-0005-0000-0000-000020870000}"/>
    <cellStyle name="Normal 2 8 11 3 4" xfId="34590" xr:uid="{00000000-0005-0000-0000-000021870000}"/>
    <cellStyle name="Normal 2 8 11 3 5" xfId="34591" xr:uid="{00000000-0005-0000-0000-000022870000}"/>
    <cellStyle name="Normal 2 8 11 3 6" xfId="34592" xr:uid="{00000000-0005-0000-0000-000023870000}"/>
    <cellStyle name="Normal 2 8 11 4" xfId="34593" xr:uid="{00000000-0005-0000-0000-000024870000}"/>
    <cellStyle name="Normal 2 8 11 4 2" xfId="34594" xr:uid="{00000000-0005-0000-0000-000025870000}"/>
    <cellStyle name="Normal 2 8 11 4 2 2" xfId="34595" xr:uid="{00000000-0005-0000-0000-000026870000}"/>
    <cellStyle name="Normal 2 8 11 4 3" xfId="34596" xr:uid="{00000000-0005-0000-0000-000027870000}"/>
    <cellStyle name="Normal 2 8 11 4 4" xfId="34597" xr:uid="{00000000-0005-0000-0000-000028870000}"/>
    <cellStyle name="Normal 2 8 11 4 5" xfId="34598" xr:uid="{00000000-0005-0000-0000-000029870000}"/>
    <cellStyle name="Normal 2 8 11 5" xfId="34599" xr:uid="{00000000-0005-0000-0000-00002A870000}"/>
    <cellStyle name="Normal 2 8 11 5 2" xfId="34600" xr:uid="{00000000-0005-0000-0000-00002B870000}"/>
    <cellStyle name="Normal 2 8 11 5 3" xfId="34601" xr:uid="{00000000-0005-0000-0000-00002C870000}"/>
    <cellStyle name="Normal 2 8 11 5 4" xfId="34602" xr:uid="{00000000-0005-0000-0000-00002D870000}"/>
    <cellStyle name="Normal 2 8 11 6" xfId="34603" xr:uid="{00000000-0005-0000-0000-00002E870000}"/>
    <cellStyle name="Normal 2 8 11 6 2" xfId="34604" xr:uid="{00000000-0005-0000-0000-00002F870000}"/>
    <cellStyle name="Normal 2 8 11 7" xfId="34605" xr:uid="{00000000-0005-0000-0000-000030870000}"/>
    <cellStyle name="Normal 2 8 11 8" xfId="34606" xr:uid="{00000000-0005-0000-0000-000031870000}"/>
    <cellStyle name="Normal 2 8 11 9" xfId="34607" xr:uid="{00000000-0005-0000-0000-000032870000}"/>
    <cellStyle name="Normal 2 8 12" xfId="34608" xr:uid="{00000000-0005-0000-0000-000033870000}"/>
    <cellStyle name="Normal 2 8 12 10" xfId="34609" xr:uid="{00000000-0005-0000-0000-000034870000}"/>
    <cellStyle name="Normal 2 8 12 2" xfId="34610" xr:uid="{00000000-0005-0000-0000-000035870000}"/>
    <cellStyle name="Normal 2 8 12 2 2" xfId="34611" xr:uid="{00000000-0005-0000-0000-000036870000}"/>
    <cellStyle name="Normal 2 8 12 2 2 2" xfId="34612" xr:uid="{00000000-0005-0000-0000-000037870000}"/>
    <cellStyle name="Normal 2 8 12 2 2 3" xfId="34613" xr:uid="{00000000-0005-0000-0000-000038870000}"/>
    <cellStyle name="Normal 2 8 12 2 3" xfId="34614" xr:uid="{00000000-0005-0000-0000-000039870000}"/>
    <cellStyle name="Normal 2 8 12 2 4" xfId="34615" xr:uid="{00000000-0005-0000-0000-00003A870000}"/>
    <cellStyle name="Normal 2 8 12 2 5" xfId="34616" xr:uid="{00000000-0005-0000-0000-00003B870000}"/>
    <cellStyle name="Normal 2 8 12 2 6" xfId="34617" xr:uid="{00000000-0005-0000-0000-00003C870000}"/>
    <cellStyle name="Normal 2 8 12 3" xfId="34618" xr:uid="{00000000-0005-0000-0000-00003D870000}"/>
    <cellStyle name="Normal 2 8 12 3 2" xfId="34619" xr:uid="{00000000-0005-0000-0000-00003E870000}"/>
    <cellStyle name="Normal 2 8 12 3 2 2" xfId="34620" xr:uid="{00000000-0005-0000-0000-00003F870000}"/>
    <cellStyle name="Normal 2 8 12 3 2 3" xfId="34621" xr:uid="{00000000-0005-0000-0000-000040870000}"/>
    <cellStyle name="Normal 2 8 12 3 3" xfId="34622" xr:uid="{00000000-0005-0000-0000-000041870000}"/>
    <cellStyle name="Normal 2 8 12 3 4" xfId="34623" xr:uid="{00000000-0005-0000-0000-000042870000}"/>
    <cellStyle name="Normal 2 8 12 3 5" xfId="34624" xr:uid="{00000000-0005-0000-0000-000043870000}"/>
    <cellStyle name="Normal 2 8 12 3 6" xfId="34625" xr:uid="{00000000-0005-0000-0000-000044870000}"/>
    <cellStyle name="Normal 2 8 12 4" xfId="34626" xr:uid="{00000000-0005-0000-0000-000045870000}"/>
    <cellStyle name="Normal 2 8 12 4 2" xfId="34627" xr:uid="{00000000-0005-0000-0000-000046870000}"/>
    <cellStyle name="Normal 2 8 12 4 2 2" xfId="34628" xr:uid="{00000000-0005-0000-0000-000047870000}"/>
    <cellStyle name="Normal 2 8 12 4 3" xfId="34629" xr:uid="{00000000-0005-0000-0000-000048870000}"/>
    <cellStyle name="Normal 2 8 12 4 4" xfId="34630" xr:uid="{00000000-0005-0000-0000-000049870000}"/>
    <cellStyle name="Normal 2 8 12 4 5" xfId="34631" xr:uid="{00000000-0005-0000-0000-00004A870000}"/>
    <cellStyle name="Normal 2 8 12 5" xfId="34632" xr:uid="{00000000-0005-0000-0000-00004B870000}"/>
    <cellStyle name="Normal 2 8 12 5 2" xfId="34633" xr:uid="{00000000-0005-0000-0000-00004C870000}"/>
    <cellStyle name="Normal 2 8 12 5 3" xfId="34634" xr:uid="{00000000-0005-0000-0000-00004D870000}"/>
    <cellStyle name="Normal 2 8 12 5 4" xfId="34635" xr:uid="{00000000-0005-0000-0000-00004E870000}"/>
    <cellStyle name="Normal 2 8 12 6" xfId="34636" xr:uid="{00000000-0005-0000-0000-00004F870000}"/>
    <cellStyle name="Normal 2 8 12 6 2" xfId="34637" xr:uid="{00000000-0005-0000-0000-000050870000}"/>
    <cellStyle name="Normal 2 8 12 7" xfId="34638" xr:uid="{00000000-0005-0000-0000-000051870000}"/>
    <cellStyle name="Normal 2 8 12 8" xfId="34639" xr:uid="{00000000-0005-0000-0000-000052870000}"/>
    <cellStyle name="Normal 2 8 12 9" xfId="34640" xr:uid="{00000000-0005-0000-0000-000053870000}"/>
    <cellStyle name="Normal 2 8 13" xfId="34641" xr:uid="{00000000-0005-0000-0000-000054870000}"/>
    <cellStyle name="Normal 2 8 13 10" xfId="34642" xr:uid="{00000000-0005-0000-0000-000055870000}"/>
    <cellStyle name="Normal 2 8 13 2" xfId="34643" xr:uid="{00000000-0005-0000-0000-000056870000}"/>
    <cellStyle name="Normal 2 8 13 2 2" xfId="34644" xr:uid="{00000000-0005-0000-0000-000057870000}"/>
    <cellStyle name="Normal 2 8 13 2 2 2" xfId="34645" xr:uid="{00000000-0005-0000-0000-000058870000}"/>
    <cellStyle name="Normal 2 8 13 2 2 3" xfId="34646" xr:uid="{00000000-0005-0000-0000-000059870000}"/>
    <cellStyle name="Normal 2 8 13 2 3" xfId="34647" xr:uid="{00000000-0005-0000-0000-00005A870000}"/>
    <cellStyle name="Normal 2 8 13 2 4" xfId="34648" xr:uid="{00000000-0005-0000-0000-00005B870000}"/>
    <cellStyle name="Normal 2 8 13 2 5" xfId="34649" xr:uid="{00000000-0005-0000-0000-00005C870000}"/>
    <cellStyle name="Normal 2 8 13 2 6" xfId="34650" xr:uid="{00000000-0005-0000-0000-00005D870000}"/>
    <cellStyle name="Normal 2 8 13 3" xfId="34651" xr:uid="{00000000-0005-0000-0000-00005E870000}"/>
    <cellStyle name="Normal 2 8 13 3 2" xfId="34652" xr:uid="{00000000-0005-0000-0000-00005F870000}"/>
    <cellStyle name="Normal 2 8 13 3 2 2" xfId="34653" xr:uid="{00000000-0005-0000-0000-000060870000}"/>
    <cellStyle name="Normal 2 8 13 3 2 3" xfId="34654" xr:uid="{00000000-0005-0000-0000-000061870000}"/>
    <cellStyle name="Normal 2 8 13 3 3" xfId="34655" xr:uid="{00000000-0005-0000-0000-000062870000}"/>
    <cellStyle name="Normal 2 8 13 3 4" xfId="34656" xr:uid="{00000000-0005-0000-0000-000063870000}"/>
    <cellStyle name="Normal 2 8 13 3 5" xfId="34657" xr:uid="{00000000-0005-0000-0000-000064870000}"/>
    <cellStyle name="Normal 2 8 13 3 6" xfId="34658" xr:uid="{00000000-0005-0000-0000-000065870000}"/>
    <cellStyle name="Normal 2 8 13 4" xfId="34659" xr:uid="{00000000-0005-0000-0000-000066870000}"/>
    <cellStyle name="Normal 2 8 13 4 2" xfId="34660" xr:uid="{00000000-0005-0000-0000-000067870000}"/>
    <cellStyle name="Normal 2 8 13 4 2 2" xfId="34661" xr:uid="{00000000-0005-0000-0000-000068870000}"/>
    <cellStyle name="Normal 2 8 13 4 3" xfId="34662" xr:uid="{00000000-0005-0000-0000-000069870000}"/>
    <cellStyle name="Normal 2 8 13 4 4" xfId="34663" xr:uid="{00000000-0005-0000-0000-00006A870000}"/>
    <cellStyle name="Normal 2 8 13 4 5" xfId="34664" xr:uid="{00000000-0005-0000-0000-00006B870000}"/>
    <cellStyle name="Normal 2 8 13 5" xfId="34665" xr:uid="{00000000-0005-0000-0000-00006C870000}"/>
    <cellStyle name="Normal 2 8 13 5 2" xfId="34666" xr:uid="{00000000-0005-0000-0000-00006D870000}"/>
    <cellStyle name="Normal 2 8 13 5 3" xfId="34667" xr:uid="{00000000-0005-0000-0000-00006E870000}"/>
    <cellStyle name="Normal 2 8 13 5 4" xfId="34668" xr:uid="{00000000-0005-0000-0000-00006F870000}"/>
    <cellStyle name="Normal 2 8 13 6" xfId="34669" xr:uid="{00000000-0005-0000-0000-000070870000}"/>
    <cellStyle name="Normal 2 8 13 6 2" xfId="34670" xr:uid="{00000000-0005-0000-0000-000071870000}"/>
    <cellStyle name="Normal 2 8 13 7" xfId="34671" xr:uid="{00000000-0005-0000-0000-000072870000}"/>
    <cellStyle name="Normal 2 8 13 8" xfId="34672" xr:uid="{00000000-0005-0000-0000-000073870000}"/>
    <cellStyle name="Normal 2 8 13 9" xfId="34673" xr:uid="{00000000-0005-0000-0000-000074870000}"/>
    <cellStyle name="Normal 2 8 14" xfId="34674" xr:uid="{00000000-0005-0000-0000-000075870000}"/>
    <cellStyle name="Normal 2 8 14 10" xfId="34675" xr:uid="{00000000-0005-0000-0000-000076870000}"/>
    <cellStyle name="Normal 2 8 14 2" xfId="34676" xr:uid="{00000000-0005-0000-0000-000077870000}"/>
    <cellStyle name="Normal 2 8 14 2 2" xfId="34677" xr:uid="{00000000-0005-0000-0000-000078870000}"/>
    <cellStyle name="Normal 2 8 14 2 2 2" xfId="34678" xr:uid="{00000000-0005-0000-0000-000079870000}"/>
    <cellStyle name="Normal 2 8 14 2 2 3" xfId="34679" xr:uid="{00000000-0005-0000-0000-00007A870000}"/>
    <cellStyle name="Normal 2 8 14 2 3" xfId="34680" xr:uid="{00000000-0005-0000-0000-00007B870000}"/>
    <cellStyle name="Normal 2 8 14 2 4" xfId="34681" xr:uid="{00000000-0005-0000-0000-00007C870000}"/>
    <cellStyle name="Normal 2 8 14 2 5" xfId="34682" xr:uid="{00000000-0005-0000-0000-00007D870000}"/>
    <cellStyle name="Normal 2 8 14 2 6" xfId="34683" xr:uid="{00000000-0005-0000-0000-00007E870000}"/>
    <cellStyle name="Normal 2 8 14 3" xfId="34684" xr:uid="{00000000-0005-0000-0000-00007F870000}"/>
    <cellStyle name="Normal 2 8 14 3 2" xfId="34685" xr:uid="{00000000-0005-0000-0000-000080870000}"/>
    <cellStyle name="Normal 2 8 14 3 2 2" xfId="34686" xr:uid="{00000000-0005-0000-0000-000081870000}"/>
    <cellStyle name="Normal 2 8 14 3 2 3" xfId="34687" xr:uid="{00000000-0005-0000-0000-000082870000}"/>
    <cellStyle name="Normal 2 8 14 3 3" xfId="34688" xr:uid="{00000000-0005-0000-0000-000083870000}"/>
    <cellStyle name="Normal 2 8 14 3 4" xfId="34689" xr:uid="{00000000-0005-0000-0000-000084870000}"/>
    <cellStyle name="Normal 2 8 14 3 5" xfId="34690" xr:uid="{00000000-0005-0000-0000-000085870000}"/>
    <cellStyle name="Normal 2 8 14 3 6" xfId="34691" xr:uid="{00000000-0005-0000-0000-000086870000}"/>
    <cellStyle name="Normal 2 8 14 4" xfId="34692" xr:uid="{00000000-0005-0000-0000-000087870000}"/>
    <cellStyle name="Normal 2 8 14 4 2" xfId="34693" xr:uid="{00000000-0005-0000-0000-000088870000}"/>
    <cellStyle name="Normal 2 8 14 4 2 2" xfId="34694" xr:uid="{00000000-0005-0000-0000-000089870000}"/>
    <cellStyle name="Normal 2 8 14 4 3" xfId="34695" xr:uid="{00000000-0005-0000-0000-00008A870000}"/>
    <cellStyle name="Normal 2 8 14 4 4" xfId="34696" xr:uid="{00000000-0005-0000-0000-00008B870000}"/>
    <cellStyle name="Normal 2 8 14 4 5" xfId="34697" xr:uid="{00000000-0005-0000-0000-00008C870000}"/>
    <cellStyle name="Normal 2 8 14 5" xfId="34698" xr:uid="{00000000-0005-0000-0000-00008D870000}"/>
    <cellStyle name="Normal 2 8 14 5 2" xfId="34699" xr:uid="{00000000-0005-0000-0000-00008E870000}"/>
    <cellStyle name="Normal 2 8 14 5 3" xfId="34700" xr:uid="{00000000-0005-0000-0000-00008F870000}"/>
    <cellStyle name="Normal 2 8 14 5 4" xfId="34701" xr:uid="{00000000-0005-0000-0000-000090870000}"/>
    <cellStyle name="Normal 2 8 14 6" xfId="34702" xr:uid="{00000000-0005-0000-0000-000091870000}"/>
    <cellStyle name="Normal 2 8 14 6 2" xfId="34703" xr:uid="{00000000-0005-0000-0000-000092870000}"/>
    <cellStyle name="Normal 2 8 14 7" xfId="34704" xr:uid="{00000000-0005-0000-0000-000093870000}"/>
    <cellStyle name="Normal 2 8 14 8" xfId="34705" xr:uid="{00000000-0005-0000-0000-000094870000}"/>
    <cellStyle name="Normal 2 8 14 9" xfId="34706" xr:uid="{00000000-0005-0000-0000-000095870000}"/>
    <cellStyle name="Normal 2 8 15" xfId="34707" xr:uid="{00000000-0005-0000-0000-000096870000}"/>
    <cellStyle name="Normal 2 8 15 10" xfId="34708" xr:uid="{00000000-0005-0000-0000-000097870000}"/>
    <cellStyle name="Normal 2 8 15 2" xfId="34709" xr:uid="{00000000-0005-0000-0000-000098870000}"/>
    <cellStyle name="Normal 2 8 15 2 2" xfId="34710" xr:uid="{00000000-0005-0000-0000-000099870000}"/>
    <cellStyle name="Normal 2 8 15 2 2 2" xfId="34711" xr:uid="{00000000-0005-0000-0000-00009A870000}"/>
    <cellStyle name="Normal 2 8 15 2 2 3" xfId="34712" xr:uid="{00000000-0005-0000-0000-00009B870000}"/>
    <cellStyle name="Normal 2 8 15 2 3" xfId="34713" xr:uid="{00000000-0005-0000-0000-00009C870000}"/>
    <cellStyle name="Normal 2 8 15 2 4" xfId="34714" xr:uid="{00000000-0005-0000-0000-00009D870000}"/>
    <cellStyle name="Normal 2 8 15 2 5" xfId="34715" xr:uid="{00000000-0005-0000-0000-00009E870000}"/>
    <cellStyle name="Normal 2 8 15 2 6" xfId="34716" xr:uid="{00000000-0005-0000-0000-00009F870000}"/>
    <cellStyle name="Normal 2 8 15 3" xfId="34717" xr:uid="{00000000-0005-0000-0000-0000A0870000}"/>
    <cellStyle name="Normal 2 8 15 3 2" xfId="34718" xr:uid="{00000000-0005-0000-0000-0000A1870000}"/>
    <cellStyle name="Normal 2 8 15 3 2 2" xfId="34719" xr:uid="{00000000-0005-0000-0000-0000A2870000}"/>
    <cellStyle name="Normal 2 8 15 3 2 3" xfId="34720" xr:uid="{00000000-0005-0000-0000-0000A3870000}"/>
    <cellStyle name="Normal 2 8 15 3 3" xfId="34721" xr:uid="{00000000-0005-0000-0000-0000A4870000}"/>
    <cellStyle name="Normal 2 8 15 3 4" xfId="34722" xr:uid="{00000000-0005-0000-0000-0000A5870000}"/>
    <cellStyle name="Normal 2 8 15 3 5" xfId="34723" xr:uid="{00000000-0005-0000-0000-0000A6870000}"/>
    <cellStyle name="Normal 2 8 15 3 6" xfId="34724" xr:uid="{00000000-0005-0000-0000-0000A7870000}"/>
    <cellStyle name="Normal 2 8 15 4" xfId="34725" xr:uid="{00000000-0005-0000-0000-0000A8870000}"/>
    <cellStyle name="Normal 2 8 15 4 2" xfId="34726" xr:uid="{00000000-0005-0000-0000-0000A9870000}"/>
    <cellStyle name="Normal 2 8 15 4 2 2" xfId="34727" xr:uid="{00000000-0005-0000-0000-0000AA870000}"/>
    <cellStyle name="Normal 2 8 15 4 3" xfId="34728" xr:uid="{00000000-0005-0000-0000-0000AB870000}"/>
    <cellStyle name="Normal 2 8 15 4 4" xfId="34729" xr:uid="{00000000-0005-0000-0000-0000AC870000}"/>
    <cellStyle name="Normal 2 8 15 4 5" xfId="34730" xr:uid="{00000000-0005-0000-0000-0000AD870000}"/>
    <cellStyle name="Normal 2 8 15 5" xfId="34731" xr:uid="{00000000-0005-0000-0000-0000AE870000}"/>
    <cellStyle name="Normal 2 8 15 5 2" xfId="34732" xr:uid="{00000000-0005-0000-0000-0000AF870000}"/>
    <cellStyle name="Normal 2 8 15 5 3" xfId="34733" xr:uid="{00000000-0005-0000-0000-0000B0870000}"/>
    <cellStyle name="Normal 2 8 15 5 4" xfId="34734" xr:uid="{00000000-0005-0000-0000-0000B1870000}"/>
    <cellStyle name="Normal 2 8 15 6" xfId="34735" xr:uid="{00000000-0005-0000-0000-0000B2870000}"/>
    <cellStyle name="Normal 2 8 15 6 2" xfId="34736" xr:uid="{00000000-0005-0000-0000-0000B3870000}"/>
    <cellStyle name="Normal 2 8 15 7" xfId="34737" xr:uid="{00000000-0005-0000-0000-0000B4870000}"/>
    <cellStyle name="Normal 2 8 15 8" xfId="34738" xr:uid="{00000000-0005-0000-0000-0000B5870000}"/>
    <cellStyle name="Normal 2 8 15 9" xfId="34739" xr:uid="{00000000-0005-0000-0000-0000B6870000}"/>
    <cellStyle name="Normal 2 8 16" xfId="34740" xr:uid="{00000000-0005-0000-0000-0000B7870000}"/>
    <cellStyle name="Normal 2 8 16 10" xfId="34741" xr:uid="{00000000-0005-0000-0000-0000B8870000}"/>
    <cellStyle name="Normal 2 8 16 2" xfId="34742" xr:uid="{00000000-0005-0000-0000-0000B9870000}"/>
    <cellStyle name="Normal 2 8 16 2 2" xfId="34743" xr:uid="{00000000-0005-0000-0000-0000BA870000}"/>
    <cellStyle name="Normal 2 8 16 2 2 2" xfId="34744" xr:uid="{00000000-0005-0000-0000-0000BB870000}"/>
    <cellStyle name="Normal 2 8 16 2 2 3" xfId="34745" xr:uid="{00000000-0005-0000-0000-0000BC870000}"/>
    <cellStyle name="Normal 2 8 16 2 3" xfId="34746" xr:uid="{00000000-0005-0000-0000-0000BD870000}"/>
    <cellStyle name="Normal 2 8 16 2 4" xfId="34747" xr:uid="{00000000-0005-0000-0000-0000BE870000}"/>
    <cellStyle name="Normal 2 8 16 2 5" xfId="34748" xr:uid="{00000000-0005-0000-0000-0000BF870000}"/>
    <cellStyle name="Normal 2 8 16 2 6" xfId="34749" xr:uid="{00000000-0005-0000-0000-0000C0870000}"/>
    <cellStyle name="Normal 2 8 16 3" xfId="34750" xr:uid="{00000000-0005-0000-0000-0000C1870000}"/>
    <cellStyle name="Normal 2 8 16 3 2" xfId="34751" xr:uid="{00000000-0005-0000-0000-0000C2870000}"/>
    <cellStyle name="Normal 2 8 16 3 2 2" xfId="34752" xr:uid="{00000000-0005-0000-0000-0000C3870000}"/>
    <cellStyle name="Normal 2 8 16 3 2 3" xfId="34753" xr:uid="{00000000-0005-0000-0000-0000C4870000}"/>
    <cellStyle name="Normal 2 8 16 3 3" xfId="34754" xr:uid="{00000000-0005-0000-0000-0000C5870000}"/>
    <cellStyle name="Normal 2 8 16 3 4" xfId="34755" xr:uid="{00000000-0005-0000-0000-0000C6870000}"/>
    <cellStyle name="Normal 2 8 16 3 5" xfId="34756" xr:uid="{00000000-0005-0000-0000-0000C7870000}"/>
    <cellStyle name="Normal 2 8 16 3 6" xfId="34757" xr:uid="{00000000-0005-0000-0000-0000C8870000}"/>
    <cellStyle name="Normal 2 8 16 4" xfId="34758" xr:uid="{00000000-0005-0000-0000-0000C9870000}"/>
    <cellStyle name="Normal 2 8 16 4 2" xfId="34759" xr:uid="{00000000-0005-0000-0000-0000CA870000}"/>
    <cellStyle name="Normal 2 8 16 4 2 2" xfId="34760" xr:uid="{00000000-0005-0000-0000-0000CB870000}"/>
    <cellStyle name="Normal 2 8 16 4 3" xfId="34761" xr:uid="{00000000-0005-0000-0000-0000CC870000}"/>
    <cellStyle name="Normal 2 8 16 4 4" xfId="34762" xr:uid="{00000000-0005-0000-0000-0000CD870000}"/>
    <cellStyle name="Normal 2 8 16 4 5" xfId="34763" xr:uid="{00000000-0005-0000-0000-0000CE870000}"/>
    <cellStyle name="Normal 2 8 16 5" xfId="34764" xr:uid="{00000000-0005-0000-0000-0000CF870000}"/>
    <cellStyle name="Normal 2 8 16 5 2" xfId="34765" xr:uid="{00000000-0005-0000-0000-0000D0870000}"/>
    <cellStyle name="Normal 2 8 16 5 3" xfId="34766" xr:uid="{00000000-0005-0000-0000-0000D1870000}"/>
    <cellStyle name="Normal 2 8 16 5 4" xfId="34767" xr:uid="{00000000-0005-0000-0000-0000D2870000}"/>
    <cellStyle name="Normal 2 8 16 6" xfId="34768" xr:uid="{00000000-0005-0000-0000-0000D3870000}"/>
    <cellStyle name="Normal 2 8 16 6 2" xfId="34769" xr:uid="{00000000-0005-0000-0000-0000D4870000}"/>
    <cellStyle name="Normal 2 8 16 7" xfId="34770" xr:uid="{00000000-0005-0000-0000-0000D5870000}"/>
    <cellStyle name="Normal 2 8 16 8" xfId="34771" xr:uid="{00000000-0005-0000-0000-0000D6870000}"/>
    <cellStyle name="Normal 2 8 16 9" xfId="34772" xr:uid="{00000000-0005-0000-0000-0000D7870000}"/>
    <cellStyle name="Normal 2 8 17" xfId="34773" xr:uid="{00000000-0005-0000-0000-0000D8870000}"/>
    <cellStyle name="Normal 2 8 17 10" xfId="34774" xr:uid="{00000000-0005-0000-0000-0000D9870000}"/>
    <cellStyle name="Normal 2 8 17 2" xfId="34775" xr:uid="{00000000-0005-0000-0000-0000DA870000}"/>
    <cellStyle name="Normal 2 8 17 2 2" xfId="34776" xr:uid="{00000000-0005-0000-0000-0000DB870000}"/>
    <cellStyle name="Normal 2 8 17 2 2 2" xfId="34777" xr:uid="{00000000-0005-0000-0000-0000DC870000}"/>
    <cellStyle name="Normal 2 8 17 2 2 3" xfId="34778" xr:uid="{00000000-0005-0000-0000-0000DD870000}"/>
    <cellStyle name="Normal 2 8 17 2 3" xfId="34779" xr:uid="{00000000-0005-0000-0000-0000DE870000}"/>
    <cellStyle name="Normal 2 8 17 2 4" xfId="34780" xr:uid="{00000000-0005-0000-0000-0000DF870000}"/>
    <cellStyle name="Normal 2 8 17 2 5" xfId="34781" xr:uid="{00000000-0005-0000-0000-0000E0870000}"/>
    <cellStyle name="Normal 2 8 17 2 6" xfId="34782" xr:uid="{00000000-0005-0000-0000-0000E1870000}"/>
    <cellStyle name="Normal 2 8 17 3" xfId="34783" xr:uid="{00000000-0005-0000-0000-0000E2870000}"/>
    <cellStyle name="Normal 2 8 17 3 2" xfId="34784" xr:uid="{00000000-0005-0000-0000-0000E3870000}"/>
    <cellStyle name="Normal 2 8 17 3 2 2" xfId="34785" xr:uid="{00000000-0005-0000-0000-0000E4870000}"/>
    <cellStyle name="Normal 2 8 17 3 2 3" xfId="34786" xr:uid="{00000000-0005-0000-0000-0000E5870000}"/>
    <cellStyle name="Normal 2 8 17 3 3" xfId="34787" xr:uid="{00000000-0005-0000-0000-0000E6870000}"/>
    <cellStyle name="Normal 2 8 17 3 4" xfId="34788" xr:uid="{00000000-0005-0000-0000-0000E7870000}"/>
    <cellStyle name="Normal 2 8 17 3 5" xfId="34789" xr:uid="{00000000-0005-0000-0000-0000E8870000}"/>
    <cellStyle name="Normal 2 8 17 3 6" xfId="34790" xr:uid="{00000000-0005-0000-0000-0000E9870000}"/>
    <cellStyle name="Normal 2 8 17 4" xfId="34791" xr:uid="{00000000-0005-0000-0000-0000EA870000}"/>
    <cellStyle name="Normal 2 8 17 4 2" xfId="34792" xr:uid="{00000000-0005-0000-0000-0000EB870000}"/>
    <cellStyle name="Normal 2 8 17 4 2 2" xfId="34793" xr:uid="{00000000-0005-0000-0000-0000EC870000}"/>
    <cellStyle name="Normal 2 8 17 4 3" xfId="34794" xr:uid="{00000000-0005-0000-0000-0000ED870000}"/>
    <cellStyle name="Normal 2 8 17 4 4" xfId="34795" xr:uid="{00000000-0005-0000-0000-0000EE870000}"/>
    <cellStyle name="Normal 2 8 17 4 5" xfId="34796" xr:uid="{00000000-0005-0000-0000-0000EF870000}"/>
    <cellStyle name="Normal 2 8 17 5" xfId="34797" xr:uid="{00000000-0005-0000-0000-0000F0870000}"/>
    <cellStyle name="Normal 2 8 17 5 2" xfId="34798" xr:uid="{00000000-0005-0000-0000-0000F1870000}"/>
    <cellStyle name="Normal 2 8 17 5 3" xfId="34799" xr:uid="{00000000-0005-0000-0000-0000F2870000}"/>
    <cellStyle name="Normal 2 8 17 5 4" xfId="34800" xr:uid="{00000000-0005-0000-0000-0000F3870000}"/>
    <cellStyle name="Normal 2 8 17 6" xfId="34801" xr:uid="{00000000-0005-0000-0000-0000F4870000}"/>
    <cellStyle name="Normal 2 8 17 6 2" xfId="34802" xr:uid="{00000000-0005-0000-0000-0000F5870000}"/>
    <cellStyle name="Normal 2 8 17 7" xfId="34803" xr:uid="{00000000-0005-0000-0000-0000F6870000}"/>
    <cellStyle name="Normal 2 8 17 8" xfId="34804" xr:uid="{00000000-0005-0000-0000-0000F7870000}"/>
    <cellStyle name="Normal 2 8 17 9" xfId="34805" xr:uid="{00000000-0005-0000-0000-0000F8870000}"/>
    <cellStyle name="Normal 2 8 18" xfId="34806" xr:uid="{00000000-0005-0000-0000-0000F9870000}"/>
    <cellStyle name="Normal 2 8 18 10" xfId="34807" xr:uid="{00000000-0005-0000-0000-0000FA870000}"/>
    <cellStyle name="Normal 2 8 18 2" xfId="34808" xr:uid="{00000000-0005-0000-0000-0000FB870000}"/>
    <cellStyle name="Normal 2 8 18 2 2" xfId="34809" xr:uid="{00000000-0005-0000-0000-0000FC870000}"/>
    <cellStyle name="Normal 2 8 18 2 2 2" xfId="34810" xr:uid="{00000000-0005-0000-0000-0000FD870000}"/>
    <cellStyle name="Normal 2 8 18 2 2 3" xfId="34811" xr:uid="{00000000-0005-0000-0000-0000FE870000}"/>
    <cellStyle name="Normal 2 8 18 2 3" xfId="34812" xr:uid="{00000000-0005-0000-0000-0000FF870000}"/>
    <cellStyle name="Normal 2 8 18 2 4" xfId="34813" xr:uid="{00000000-0005-0000-0000-000000880000}"/>
    <cellStyle name="Normal 2 8 18 2 5" xfId="34814" xr:uid="{00000000-0005-0000-0000-000001880000}"/>
    <cellStyle name="Normal 2 8 18 2 6" xfId="34815" xr:uid="{00000000-0005-0000-0000-000002880000}"/>
    <cellStyle name="Normal 2 8 18 3" xfId="34816" xr:uid="{00000000-0005-0000-0000-000003880000}"/>
    <cellStyle name="Normal 2 8 18 3 2" xfId="34817" xr:uid="{00000000-0005-0000-0000-000004880000}"/>
    <cellStyle name="Normal 2 8 18 3 2 2" xfId="34818" xr:uid="{00000000-0005-0000-0000-000005880000}"/>
    <cellStyle name="Normal 2 8 18 3 2 3" xfId="34819" xr:uid="{00000000-0005-0000-0000-000006880000}"/>
    <cellStyle name="Normal 2 8 18 3 3" xfId="34820" xr:uid="{00000000-0005-0000-0000-000007880000}"/>
    <cellStyle name="Normal 2 8 18 3 4" xfId="34821" xr:uid="{00000000-0005-0000-0000-000008880000}"/>
    <cellStyle name="Normal 2 8 18 3 5" xfId="34822" xr:uid="{00000000-0005-0000-0000-000009880000}"/>
    <cellStyle name="Normal 2 8 18 3 6" xfId="34823" xr:uid="{00000000-0005-0000-0000-00000A880000}"/>
    <cellStyle name="Normal 2 8 18 4" xfId="34824" xr:uid="{00000000-0005-0000-0000-00000B880000}"/>
    <cellStyle name="Normal 2 8 18 4 2" xfId="34825" xr:uid="{00000000-0005-0000-0000-00000C880000}"/>
    <cellStyle name="Normal 2 8 18 4 2 2" xfId="34826" xr:uid="{00000000-0005-0000-0000-00000D880000}"/>
    <cellStyle name="Normal 2 8 18 4 3" xfId="34827" xr:uid="{00000000-0005-0000-0000-00000E880000}"/>
    <cellStyle name="Normal 2 8 18 4 4" xfId="34828" xr:uid="{00000000-0005-0000-0000-00000F880000}"/>
    <cellStyle name="Normal 2 8 18 4 5" xfId="34829" xr:uid="{00000000-0005-0000-0000-000010880000}"/>
    <cellStyle name="Normal 2 8 18 5" xfId="34830" xr:uid="{00000000-0005-0000-0000-000011880000}"/>
    <cellStyle name="Normal 2 8 18 5 2" xfId="34831" xr:uid="{00000000-0005-0000-0000-000012880000}"/>
    <cellStyle name="Normal 2 8 18 5 3" xfId="34832" xr:uid="{00000000-0005-0000-0000-000013880000}"/>
    <cellStyle name="Normal 2 8 18 5 4" xfId="34833" xr:uid="{00000000-0005-0000-0000-000014880000}"/>
    <cellStyle name="Normal 2 8 18 6" xfId="34834" xr:uid="{00000000-0005-0000-0000-000015880000}"/>
    <cellStyle name="Normal 2 8 18 6 2" xfId="34835" xr:uid="{00000000-0005-0000-0000-000016880000}"/>
    <cellStyle name="Normal 2 8 18 7" xfId="34836" xr:uid="{00000000-0005-0000-0000-000017880000}"/>
    <cellStyle name="Normal 2 8 18 8" xfId="34837" xr:uid="{00000000-0005-0000-0000-000018880000}"/>
    <cellStyle name="Normal 2 8 18 9" xfId="34838" xr:uid="{00000000-0005-0000-0000-000019880000}"/>
    <cellStyle name="Normal 2 8 19" xfId="34839" xr:uid="{00000000-0005-0000-0000-00001A880000}"/>
    <cellStyle name="Normal 2 8 19 10" xfId="34840" xr:uid="{00000000-0005-0000-0000-00001B880000}"/>
    <cellStyle name="Normal 2 8 19 2" xfId="34841" xr:uid="{00000000-0005-0000-0000-00001C880000}"/>
    <cellStyle name="Normal 2 8 19 2 2" xfId="34842" xr:uid="{00000000-0005-0000-0000-00001D880000}"/>
    <cellStyle name="Normal 2 8 19 2 2 2" xfId="34843" xr:uid="{00000000-0005-0000-0000-00001E880000}"/>
    <cellStyle name="Normal 2 8 19 2 2 3" xfId="34844" xr:uid="{00000000-0005-0000-0000-00001F880000}"/>
    <cellStyle name="Normal 2 8 19 2 3" xfId="34845" xr:uid="{00000000-0005-0000-0000-000020880000}"/>
    <cellStyle name="Normal 2 8 19 2 4" xfId="34846" xr:uid="{00000000-0005-0000-0000-000021880000}"/>
    <cellStyle name="Normal 2 8 19 2 5" xfId="34847" xr:uid="{00000000-0005-0000-0000-000022880000}"/>
    <cellStyle name="Normal 2 8 19 2 6" xfId="34848" xr:uid="{00000000-0005-0000-0000-000023880000}"/>
    <cellStyle name="Normal 2 8 19 3" xfId="34849" xr:uid="{00000000-0005-0000-0000-000024880000}"/>
    <cellStyle name="Normal 2 8 19 3 2" xfId="34850" xr:uid="{00000000-0005-0000-0000-000025880000}"/>
    <cellStyle name="Normal 2 8 19 3 2 2" xfId="34851" xr:uid="{00000000-0005-0000-0000-000026880000}"/>
    <cellStyle name="Normal 2 8 19 3 2 3" xfId="34852" xr:uid="{00000000-0005-0000-0000-000027880000}"/>
    <cellStyle name="Normal 2 8 19 3 3" xfId="34853" xr:uid="{00000000-0005-0000-0000-000028880000}"/>
    <cellStyle name="Normal 2 8 19 3 4" xfId="34854" xr:uid="{00000000-0005-0000-0000-000029880000}"/>
    <cellStyle name="Normal 2 8 19 3 5" xfId="34855" xr:uid="{00000000-0005-0000-0000-00002A880000}"/>
    <cellStyle name="Normal 2 8 19 3 6" xfId="34856" xr:uid="{00000000-0005-0000-0000-00002B880000}"/>
    <cellStyle name="Normal 2 8 19 4" xfId="34857" xr:uid="{00000000-0005-0000-0000-00002C880000}"/>
    <cellStyle name="Normal 2 8 19 4 2" xfId="34858" xr:uid="{00000000-0005-0000-0000-00002D880000}"/>
    <cellStyle name="Normal 2 8 19 4 2 2" xfId="34859" xr:uid="{00000000-0005-0000-0000-00002E880000}"/>
    <cellStyle name="Normal 2 8 19 4 3" xfId="34860" xr:uid="{00000000-0005-0000-0000-00002F880000}"/>
    <cellStyle name="Normal 2 8 19 4 4" xfId="34861" xr:uid="{00000000-0005-0000-0000-000030880000}"/>
    <cellStyle name="Normal 2 8 19 4 5" xfId="34862" xr:uid="{00000000-0005-0000-0000-000031880000}"/>
    <cellStyle name="Normal 2 8 19 5" xfId="34863" xr:uid="{00000000-0005-0000-0000-000032880000}"/>
    <cellStyle name="Normal 2 8 19 5 2" xfId="34864" xr:uid="{00000000-0005-0000-0000-000033880000}"/>
    <cellStyle name="Normal 2 8 19 5 3" xfId="34865" xr:uid="{00000000-0005-0000-0000-000034880000}"/>
    <cellStyle name="Normal 2 8 19 5 4" xfId="34866" xr:uid="{00000000-0005-0000-0000-000035880000}"/>
    <cellStyle name="Normal 2 8 19 6" xfId="34867" xr:uid="{00000000-0005-0000-0000-000036880000}"/>
    <cellStyle name="Normal 2 8 19 6 2" xfId="34868" xr:uid="{00000000-0005-0000-0000-000037880000}"/>
    <cellStyle name="Normal 2 8 19 7" xfId="34869" xr:uid="{00000000-0005-0000-0000-000038880000}"/>
    <cellStyle name="Normal 2 8 19 8" xfId="34870" xr:uid="{00000000-0005-0000-0000-000039880000}"/>
    <cellStyle name="Normal 2 8 19 9" xfId="34871" xr:uid="{00000000-0005-0000-0000-00003A880000}"/>
    <cellStyle name="Normal 2 8 2" xfId="34872" xr:uid="{00000000-0005-0000-0000-00003B880000}"/>
    <cellStyle name="Normal 2 8 2 10" xfId="34873" xr:uid="{00000000-0005-0000-0000-00003C880000}"/>
    <cellStyle name="Normal 2 8 2 10 10" xfId="34874" xr:uid="{00000000-0005-0000-0000-00003D880000}"/>
    <cellStyle name="Normal 2 8 2 10 2" xfId="34875" xr:uid="{00000000-0005-0000-0000-00003E880000}"/>
    <cellStyle name="Normal 2 8 2 10 2 2" xfId="34876" xr:uid="{00000000-0005-0000-0000-00003F880000}"/>
    <cellStyle name="Normal 2 8 2 10 2 2 2" xfId="34877" xr:uid="{00000000-0005-0000-0000-000040880000}"/>
    <cellStyle name="Normal 2 8 2 10 2 2 3" xfId="34878" xr:uid="{00000000-0005-0000-0000-000041880000}"/>
    <cellStyle name="Normal 2 8 2 10 2 3" xfId="34879" xr:uid="{00000000-0005-0000-0000-000042880000}"/>
    <cellStyle name="Normal 2 8 2 10 2 4" xfId="34880" xr:uid="{00000000-0005-0000-0000-000043880000}"/>
    <cellStyle name="Normal 2 8 2 10 2 5" xfId="34881" xr:uid="{00000000-0005-0000-0000-000044880000}"/>
    <cellStyle name="Normal 2 8 2 10 2 6" xfId="34882" xr:uid="{00000000-0005-0000-0000-000045880000}"/>
    <cellStyle name="Normal 2 8 2 10 3" xfId="34883" xr:uid="{00000000-0005-0000-0000-000046880000}"/>
    <cellStyle name="Normal 2 8 2 10 3 2" xfId="34884" xr:uid="{00000000-0005-0000-0000-000047880000}"/>
    <cellStyle name="Normal 2 8 2 10 3 2 2" xfId="34885" xr:uid="{00000000-0005-0000-0000-000048880000}"/>
    <cellStyle name="Normal 2 8 2 10 3 2 3" xfId="34886" xr:uid="{00000000-0005-0000-0000-000049880000}"/>
    <cellStyle name="Normal 2 8 2 10 3 3" xfId="34887" xr:uid="{00000000-0005-0000-0000-00004A880000}"/>
    <cellStyle name="Normal 2 8 2 10 3 4" xfId="34888" xr:uid="{00000000-0005-0000-0000-00004B880000}"/>
    <cellStyle name="Normal 2 8 2 10 3 5" xfId="34889" xr:uid="{00000000-0005-0000-0000-00004C880000}"/>
    <cellStyle name="Normal 2 8 2 10 3 6" xfId="34890" xr:uid="{00000000-0005-0000-0000-00004D880000}"/>
    <cellStyle name="Normal 2 8 2 10 4" xfId="34891" xr:uid="{00000000-0005-0000-0000-00004E880000}"/>
    <cellStyle name="Normal 2 8 2 10 4 2" xfId="34892" xr:uid="{00000000-0005-0000-0000-00004F880000}"/>
    <cellStyle name="Normal 2 8 2 10 4 2 2" xfId="34893" xr:uid="{00000000-0005-0000-0000-000050880000}"/>
    <cellStyle name="Normal 2 8 2 10 4 3" xfId="34894" xr:uid="{00000000-0005-0000-0000-000051880000}"/>
    <cellStyle name="Normal 2 8 2 10 4 4" xfId="34895" xr:uid="{00000000-0005-0000-0000-000052880000}"/>
    <cellStyle name="Normal 2 8 2 10 4 5" xfId="34896" xr:uid="{00000000-0005-0000-0000-000053880000}"/>
    <cellStyle name="Normal 2 8 2 10 5" xfId="34897" xr:uid="{00000000-0005-0000-0000-000054880000}"/>
    <cellStyle name="Normal 2 8 2 10 5 2" xfId="34898" xr:uid="{00000000-0005-0000-0000-000055880000}"/>
    <cellStyle name="Normal 2 8 2 10 5 3" xfId="34899" xr:uid="{00000000-0005-0000-0000-000056880000}"/>
    <cellStyle name="Normal 2 8 2 10 5 4" xfId="34900" xr:uid="{00000000-0005-0000-0000-000057880000}"/>
    <cellStyle name="Normal 2 8 2 10 6" xfId="34901" xr:uid="{00000000-0005-0000-0000-000058880000}"/>
    <cellStyle name="Normal 2 8 2 10 6 2" xfId="34902" xr:uid="{00000000-0005-0000-0000-000059880000}"/>
    <cellStyle name="Normal 2 8 2 10 7" xfId="34903" xr:uid="{00000000-0005-0000-0000-00005A880000}"/>
    <cellStyle name="Normal 2 8 2 10 8" xfId="34904" xr:uid="{00000000-0005-0000-0000-00005B880000}"/>
    <cellStyle name="Normal 2 8 2 10 9" xfId="34905" xr:uid="{00000000-0005-0000-0000-00005C880000}"/>
    <cellStyle name="Normal 2 8 2 11" xfId="34906" xr:uid="{00000000-0005-0000-0000-00005D880000}"/>
    <cellStyle name="Normal 2 8 2 11 10" xfId="34907" xr:uid="{00000000-0005-0000-0000-00005E880000}"/>
    <cellStyle name="Normal 2 8 2 11 2" xfId="34908" xr:uid="{00000000-0005-0000-0000-00005F880000}"/>
    <cellStyle name="Normal 2 8 2 11 2 2" xfId="34909" xr:uid="{00000000-0005-0000-0000-000060880000}"/>
    <cellStyle name="Normal 2 8 2 11 2 2 2" xfId="34910" xr:uid="{00000000-0005-0000-0000-000061880000}"/>
    <cellStyle name="Normal 2 8 2 11 2 2 3" xfId="34911" xr:uid="{00000000-0005-0000-0000-000062880000}"/>
    <cellStyle name="Normal 2 8 2 11 2 3" xfId="34912" xr:uid="{00000000-0005-0000-0000-000063880000}"/>
    <cellStyle name="Normal 2 8 2 11 2 4" xfId="34913" xr:uid="{00000000-0005-0000-0000-000064880000}"/>
    <cellStyle name="Normal 2 8 2 11 2 5" xfId="34914" xr:uid="{00000000-0005-0000-0000-000065880000}"/>
    <cellStyle name="Normal 2 8 2 11 2 6" xfId="34915" xr:uid="{00000000-0005-0000-0000-000066880000}"/>
    <cellStyle name="Normal 2 8 2 11 3" xfId="34916" xr:uid="{00000000-0005-0000-0000-000067880000}"/>
    <cellStyle name="Normal 2 8 2 11 3 2" xfId="34917" xr:uid="{00000000-0005-0000-0000-000068880000}"/>
    <cellStyle name="Normal 2 8 2 11 3 2 2" xfId="34918" xr:uid="{00000000-0005-0000-0000-000069880000}"/>
    <cellStyle name="Normal 2 8 2 11 3 2 3" xfId="34919" xr:uid="{00000000-0005-0000-0000-00006A880000}"/>
    <cellStyle name="Normal 2 8 2 11 3 3" xfId="34920" xr:uid="{00000000-0005-0000-0000-00006B880000}"/>
    <cellStyle name="Normal 2 8 2 11 3 4" xfId="34921" xr:uid="{00000000-0005-0000-0000-00006C880000}"/>
    <cellStyle name="Normal 2 8 2 11 3 5" xfId="34922" xr:uid="{00000000-0005-0000-0000-00006D880000}"/>
    <cellStyle name="Normal 2 8 2 11 3 6" xfId="34923" xr:uid="{00000000-0005-0000-0000-00006E880000}"/>
    <cellStyle name="Normal 2 8 2 11 4" xfId="34924" xr:uid="{00000000-0005-0000-0000-00006F880000}"/>
    <cellStyle name="Normal 2 8 2 11 4 2" xfId="34925" xr:uid="{00000000-0005-0000-0000-000070880000}"/>
    <cellStyle name="Normal 2 8 2 11 4 2 2" xfId="34926" xr:uid="{00000000-0005-0000-0000-000071880000}"/>
    <cellStyle name="Normal 2 8 2 11 4 3" xfId="34927" xr:uid="{00000000-0005-0000-0000-000072880000}"/>
    <cellStyle name="Normal 2 8 2 11 4 4" xfId="34928" xr:uid="{00000000-0005-0000-0000-000073880000}"/>
    <cellStyle name="Normal 2 8 2 11 4 5" xfId="34929" xr:uid="{00000000-0005-0000-0000-000074880000}"/>
    <cellStyle name="Normal 2 8 2 11 5" xfId="34930" xr:uid="{00000000-0005-0000-0000-000075880000}"/>
    <cellStyle name="Normal 2 8 2 11 5 2" xfId="34931" xr:uid="{00000000-0005-0000-0000-000076880000}"/>
    <cellStyle name="Normal 2 8 2 11 5 3" xfId="34932" xr:uid="{00000000-0005-0000-0000-000077880000}"/>
    <cellStyle name="Normal 2 8 2 11 5 4" xfId="34933" xr:uid="{00000000-0005-0000-0000-000078880000}"/>
    <cellStyle name="Normal 2 8 2 11 6" xfId="34934" xr:uid="{00000000-0005-0000-0000-000079880000}"/>
    <cellStyle name="Normal 2 8 2 11 6 2" xfId="34935" xr:uid="{00000000-0005-0000-0000-00007A880000}"/>
    <cellStyle name="Normal 2 8 2 11 7" xfId="34936" xr:uid="{00000000-0005-0000-0000-00007B880000}"/>
    <cellStyle name="Normal 2 8 2 11 8" xfId="34937" xr:uid="{00000000-0005-0000-0000-00007C880000}"/>
    <cellStyle name="Normal 2 8 2 11 9" xfId="34938" xr:uid="{00000000-0005-0000-0000-00007D880000}"/>
    <cellStyle name="Normal 2 8 2 12" xfId="34939" xr:uid="{00000000-0005-0000-0000-00007E880000}"/>
    <cellStyle name="Normal 2 8 2 12 10" xfId="34940" xr:uid="{00000000-0005-0000-0000-00007F880000}"/>
    <cellStyle name="Normal 2 8 2 12 2" xfId="34941" xr:uid="{00000000-0005-0000-0000-000080880000}"/>
    <cellStyle name="Normal 2 8 2 12 2 2" xfId="34942" xr:uid="{00000000-0005-0000-0000-000081880000}"/>
    <cellStyle name="Normal 2 8 2 12 2 2 2" xfId="34943" xr:uid="{00000000-0005-0000-0000-000082880000}"/>
    <cellStyle name="Normal 2 8 2 12 2 2 3" xfId="34944" xr:uid="{00000000-0005-0000-0000-000083880000}"/>
    <cellStyle name="Normal 2 8 2 12 2 3" xfId="34945" xr:uid="{00000000-0005-0000-0000-000084880000}"/>
    <cellStyle name="Normal 2 8 2 12 2 4" xfId="34946" xr:uid="{00000000-0005-0000-0000-000085880000}"/>
    <cellStyle name="Normal 2 8 2 12 2 5" xfId="34947" xr:uid="{00000000-0005-0000-0000-000086880000}"/>
    <cellStyle name="Normal 2 8 2 12 2 6" xfId="34948" xr:uid="{00000000-0005-0000-0000-000087880000}"/>
    <cellStyle name="Normal 2 8 2 12 3" xfId="34949" xr:uid="{00000000-0005-0000-0000-000088880000}"/>
    <cellStyle name="Normal 2 8 2 12 3 2" xfId="34950" xr:uid="{00000000-0005-0000-0000-000089880000}"/>
    <cellStyle name="Normal 2 8 2 12 3 2 2" xfId="34951" xr:uid="{00000000-0005-0000-0000-00008A880000}"/>
    <cellStyle name="Normal 2 8 2 12 3 2 3" xfId="34952" xr:uid="{00000000-0005-0000-0000-00008B880000}"/>
    <cellStyle name="Normal 2 8 2 12 3 3" xfId="34953" xr:uid="{00000000-0005-0000-0000-00008C880000}"/>
    <cellStyle name="Normal 2 8 2 12 3 4" xfId="34954" xr:uid="{00000000-0005-0000-0000-00008D880000}"/>
    <cellStyle name="Normal 2 8 2 12 3 5" xfId="34955" xr:uid="{00000000-0005-0000-0000-00008E880000}"/>
    <cellStyle name="Normal 2 8 2 12 3 6" xfId="34956" xr:uid="{00000000-0005-0000-0000-00008F880000}"/>
    <cellStyle name="Normal 2 8 2 12 4" xfId="34957" xr:uid="{00000000-0005-0000-0000-000090880000}"/>
    <cellStyle name="Normal 2 8 2 12 4 2" xfId="34958" xr:uid="{00000000-0005-0000-0000-000091880000}"/>
    <cellStyle name="Normal 2 8 2 12 4 2 2" xfId="34959" xr:uid="{00000000-0005-0000-0000-000092880000}"/>
    <cellStyle name="Normal 2 8 2 12 4 3" xfId="34960" xr:uid="{00000000-0005-0000-0000-000093880000}"/>
    <cellStyle name="Normal 2 8 2 12 4 4" xfId="34961" xr:uid="{00000000-0005-0000-0000-000094880000}"/>
    <cellStyle name="Normal 2 8 2 12 4 5" xfId="34962" xr:uid="{00000000-0005-0000-0000-000095880000}"/>
    <cellStyle name="Normal 2 8 2 12 5" xfId="34963" xr:uid="{00000000-0005-0000-0000-000096880000}"/>
    <cellStyle name="Normal 2 8 2 12 5 2" xfId="34964" xr:uid="{00000000-0005-0000-0000-000097880000}"/>
    <cellStyle name="Normal 2 8 2 12 5 3" xfId="34965" xr:uid="{00000000-0005-0000-0000-000098880000}"/>
    <cellStyle name="Normal 2 8 2 12 5 4" xfId="34966" xr:uid="{00000000-0005-0000-0000-000099880000}"/>
    <cellStyle name="Normal 2 8 2 12 6" xfId="34967" xr:uid="{00000000-0005-0000-0000-00009A880000}"/>
    <cellStyle name="Normal 2 8 2 12 6 2" xfId="34968" xr:uid="{00000000-0005-0000-0000-00009B880000}"/>
    <cellStyle name="Normal 2 8 2 12 7" xfId="34969" xr:uid="{00000000-0005-0000-0000-00009C880000}"/>
    <cellStyle name="Normal 2 8 2 12 8" xfId="34970" xr:uid="{00000000-0005-0000-0000-00009D880000}"/>
    <cellStyle name="Normal 2 8 2 12 9" xfId="34971" xr:uid="{00000000-0005-0000-0000-00009E880000}"/>
    <cellStyle name="Normal 2 8 2 13" xfId="34972" xr:uid="{00000000-0005-0000-0000-00009F880000}"/>
    <cellStyle name="Normal 2 8 2 13 2" xfId="34973" xr:uid="{00000000-0005-0000-0000-0000A0880000}"/>
    <cellStyle name="Normal 2 8 2 13 2 2" xfId="34974" xr:uid="{00000000-0005-0000-0000-0000A1880000}"/>
    <cellStyle name="Normal 2 8 2 13 2 2 2" xfId="34975" xr:uid="{00000000-0005-0000-0000-0000A2880000}"/>
    <cellStyle name="Normal 2 8 2 13 2 2 3" xfId="34976" xr:uid="{00000000-0005-0000-0000-0000A3880000}"/>
    <cellStyle name="Normal 2 8 2 13 2 3" xfId="34977" xr:uid="{00000000-0005-0000-0000-0000A4880000}"/>
    <cellStyle name="Normal 2 8 2 13 2 4" xfId="34978" xr:uid="{00000000-0005-0000-0000-0000A5880000}"/>
    <cellStyle name="Normal 2 8 2 13 2 5" xfId="34979" xr:uid="{00000000-0005-0000-0000-0000A6880000}"/>
    <cellStyle name="Normal 2 8 2 13 2 6" xfId="34980" xr:uid="{00000000-0005-0000-0000-0000A7880000}"/>
    <cellStyle name="Normal 2 8 2 13 3" xfId="34981" xr:uid="{00000000-0005-0000-0000-0000A8880000}"/>
    <cellStyle name="Normal 2 8 2 13 3 2" xfId="34982" xr:uid="{00000000-0005-0000-0000-0000A9880000}"/>
    <cellStyle name="Normal 2 8 2 13 3 2 2" xfId="34983" xr:uid="{00000000-0005-0000-0000-0000AA880000}"/>
    <cellStyle name="Normal 2 8 2 13 3 3" xfId="34984" xr:uid="{00000000-0005-0000-0000-0000AB880000}"/>
    <cellStyle name="Normal 2 8 2 13 3 4" xfId="34985" xr:uid="{00000000-0005-0000-0000-0000AC880000}"/>
    <cellStyle name="Normal 2 8 2 13 3 5" xfId="34986" xr:uid="{00000000-0005-0000-0000-0000AD880000}"/>
    <cellStyle name="Normal 2 8 2 13 4" xfId="34987" xr:uid="{00000000-0005-0000-0000-0000AE880000}"/>
    <cellStyle name="Normal 2 8 2 13 4 2" xfId="34988" xr:uid="{00000000-0005-0000-0000-0000AF880000}"/>
    <cellStyle name="Normal 2 8 2 13 4 3" xfId="34989" xr:uid="{00000000-0005-0000-0000-0000B0880000}"/>
    <cellStyle name="Normal 2 8 2 13 4 4" xfId="34990" xr:uid="{00000000-0005-0000-0000-0000B1880000}"/>
    <cellStyle name="Normal 2 8 2 13 5" xfId="34991" xr:uid="{00000000-0005-0000-0000-0000B2880000}"/>
    <cellStyle name="Normal 2 8 2 13 5 2" xfId="34992" xr:uid="{00000000-0005-0000-0000-0000B3880000}"/>
    <cellStyle name="Normal 2 8 2 13 6" xfId="34993" xr:uid="{00000000-0005-0000-0000-0000B4880000}"/>
    <cellStyle name="Normal 2 8 2 13 7" xfId="34994" xr:uid="{00000000-0005-0000-0000-0000B5880000}"/>
    <cellStyle name="Normal 2 8 2 13 8" xfId="34995" xr:uid="{00000000-0005-0000-0000-0000B6880000}"/>
    <cellStyle name="Normal 2 8 2 13 9" xfId="34996" xr:uid="{00000000-0005-0000-0000-0000B7880000}"/>
    <cellStyle name="Normal 2 8 2 14" xfId="34997" xr:uid="{00000000-0005-0000-0000-0000B8880000}"/>
    <cellStyle name="Normal 2 8 2 14 2" xfId="34998" xr:uid="{00000000-0005-0000-0000-0000B9880000}"/>
    <cellStyle name="Normal 2 8 2 14 2 2" xfId="34999" xr:uid="{00000000-0005-0000-0000-0000BA880000}"/>
    <cellStyle name="Normal 2 8 2 14 2 2 2" xfId="35000" xr:uid="{00000000-0005-0000-0000-0000BB880000}"/>
    <cellStyle name="Normal 2 8 2 14 2 2 3" xfId="35001" xr:uid="{00000000-0005-0000-0000-0000BC880000}"/>
    <cellStyle name="Normal 2 8 2 14 2 3" xfId="35002" xr:uid="{00000000-0005-0000-0000-0000BD880000}"/>
    <cellStyle name="Normal 2 8 2 14 2 4" xfId="35003" xr:uid="{00000000-0005-0000-0000-0000BE880000}"/>
    <cellStyle name="Normal 2 8 2 14 2 5" xfId="35004" xr:uid="{00000000-0005-0000-0000-0000BF880000}"/>
    <cellStyle name="Normal 2 8 2 14 2 6" xfId="35005" xr:uid="{00000000-0005-0000-0000-0000C0880000}"/>
    <cellStyle name="Normal 2 8 2 14 3" xfId="35006" xr:uid="{00000000-0005-0000-0000-0000C1880000}"/>
    <cellStyle name="Normal 2 8 2 14 3 2" xfId="35007" xr:uid="{00000000-0005-0000-0000-0000C2880000}"/>
    <cellStyle name="Normal 2 8 2 14 3 2 2" xfId="35008" xr:uid="{00000000-0005-0000-0000-0000C3880000}"/>
    <cellStyle name="Normal 2 8 2 14 3 3" xfId="35009" xr:uid="{00000000-0005-0000-0000-0000C4880000}"/>
    <cellStyle name="Normal 2 8 2 14 3 4" xfId="35010" xr:uid="{00000000-0005-0000-0000-0000C5880000}"/>
    <cellStyle name="Normal 2 8 2 14 3 5" xfId="35011" xr:uid="{00000000-0005-0000-0000-0000C6880000}"/>
    <cellStyle name="Normal 2 8 2 14 4" xfId="35012" xr:uid="{00000000-0005-0000-0000-0000C7880000}"/>
    <cellStyle name="Normal 2 8 2 14 4 2" xfId="35013" xr:uid="{00000000-0005-0000-0000-0000C8880000}"/>
    <cellStyle name="Normal 2 8 2 14 4 3" xfId="35014" xr:uid="{00000000-0005-0000-0000-0000C9880000}"/>
    <cellStyle name="Normal 2 8 2 14 4 4" xfId="35015" xr:uid="{00000000-0005-0000-0000-0000CA880000}"/>
    <cellStyle name="Normal 2 8 2 14 5" xfId="35016" xr:uid="{00000000-0005-0000-0000-0000CB880000}"/>
    <cellStyle name="Normal 2 8 2 14 5 2" xfId="35017" xr:uid="{00000000-0005-0000-0000-0000CC880000}"/>
    <cellStyle name="Normal 2 8 2 14 6" xfId="35018" xr:uid="{00000000-0005-0000-0000-0000CD880000}"/>
    <cellStyle name="Normal 2 8 2 14 7" xfId="35019" xr:uid="{00000000-0005-0000-0000-0000CE880000}"/>
    <cellStyle name="Normal 2 8 2 14 8" xfId="35020" xr:uid="{00000000-0005-0000-0000-0000CF880000}"/>
    <cellStyle name="Normal 2 8 2 14 9" xfId="35021" xr:uid="{00000000-0005-0000-0000-0000D0880000}"/>
    <cellStyle name="Normal 2 8 2 15" xfId="35022" xr:uid="{00000000-0005-0000-0000-0000D1880000}"/>
    <cellStyle name="Normal 2 8 2 15 2" xfId="35023" xr:uid="{00000000-0005-0000-0000-0000D2880000}"/>
    <cellStyle name="Normal 2 8 2 15 2 2" xfId="35024" xr:uid="{00000000-0005-0000-0000-0000D3880000}"/>
    <cellStyle name="Normal 2 8 2 15 2 3" xfId="35025" xr:uid="{00000000-0005-0000-0000-0000D4880000}"/>
    <cellStyle name="Normal 2 8 2 15 3" xfId="35026" xr:uid="{00000000-0005-0000-0000-0000D5880000}"/>
    <cellStyle name="Normal 2 8 2 15 4" xfId="35027" xr:uid="{00000000-0005-0000-0000-0000D6880000}"/>
    <cellStyle name="Normal 2 8 2 15 5" xfId="35028" xr:uid="{00000000-0005-0000-0000-0000D7880000}"/>
    <cellStyle name="Normal 2 8 2 15 6" xfId="35029" xr:uid="{00000000-0005-0000-0000-0000D8880000}"/>
    <cellStyle name="Normal 2 8 2 16" xfId="35030" xr:uid="{00000000-0005-0000-0000-0000D9880000}"/>
    <cellStyle name="Normal 2 8 2 16 2" xfId="35031" xr:uid="{00000000-0005-0000-0000-0000DA880000}"/>
    <cellStyle name="Normal 2 8 2 16 2 2" xfId="35032" xr:uid="{00000000-0005-0000-0000-0000DB880000}"/>
    <cellStyle name="Normal 2 8 2 16 3" xfId="35033" xr:uid="{00000000-0005-0000-0000-0000DC880000}"/>
    <cellStyle name="Normal 2 8 2 16 4" xfId="35034" xr:uid="{00000000-0005-0000-0000-0000DD880000}"/>
    <cellStyle name="Normal 2 8 2 16 5" xfId="35035" xr:uid="{00000000-0005-0000-0000-0000DE880000}"/>
    <cellStyle name="Normal 2 8 2 17" xfId="35036" xr:uid="{00000000-0005-0000-0000-0000DF880000}"/>
    <cellStyle name="Normal 2 8 2 17 2" xfId="35037" xr:uid="{00000000-0005-0000-0000-0000E0880000}"/>
    <cellStyle name="Normal 2 8 2 17 2 2" xfId="35038" xr:uid="{00000000-0005-0000-0000-0000E1880000}"/>
    <cellStyle name="Normal 2 8 2 17 3" xfId="35039" xr:uid="{00000000-0005-0000-0000-0000E2880000}"/>
    <cellStyle name="Normal 2 8 2 17 4" xfId="35040" xr:uid="{00000000-0005-0000-0000-0000E3880000}"/>
    <cellStyle name="Normal 2 8 2 17 5" xfId="35041" xr:uid="{00000000-0005-0000-0000-0000E4880000}"/>
    <cellStyle name="Normal 2 8 2 18" xfId="35042" xr:uid="{00000000-0005-0000-0000-0000E5880000}"/>
    <cellStyle name="Normal 2 8 2 18 2" xfId="35043" xr:uid="{00000000-0005-0000-0000-0000E6880000}"/>
    <cellStyle name="Normal 2 8 2 19" xfId="35044" xr:uid="{00000000-0005-0000-0000-0000E7880000}"/>
    <cellStyle name="Normal 2 8 2 2" xfId="35045" xr:uid="{00000000-0005-0000-0000-0000E8880000}"/>
    <cellStyle name="Normal 2 8 2 2 10" xfId="35046" xr:uid="{00000000-0005-0000-0000-0000E9880000}"/>
    <cellStyle name="Normal 2 8 2 2 11" xfId="35047" xr:uid="{00000000-0005-0000-0000-0000EA880000}"/>
    <cellStyle name="Normal 2 8 2 2 2" xfId="35048" xr:uid="{00000000-0005-0000-0000-0000EB880000}"/>
    <cellStyle name="Normal 2 8 2 2 2 2" xfId="35049" xr:uid="{00000000-0005-0000-0000-0000EC880000}"/>
    <cellStyle name="Normal 2 8 2 2 2 2 2" xfId="35050" xr:uid="{00000000-0005-0000-0000-0000ED880000}"/>
    <cellStyle name="Normal 2 8 2 2 2 2 2 2" xfId="35051" xr:uid="{00000000-0005-0000-0000-0000EE880000}"/>
    <cellStyle name="Normal 2 8 2 2 2 2 2 3" xfId="35052" xr:uid="{00000000-0005-0000-0000-0000EF880000}"/>
    <cellStyle name="Normal 2 8 2 2 2 2 3" xfId="35053" xr:uid="{00000000-0005-0000-0000-0000F0880000}"/>
    <cellStyle name="Normal 2 8 2 2 2 2 4" xfId="35054" xr:uid="{00000000-0005-0000-0000-0000F1880000}"/>
    <cellStyle name="Normal 2 8 2 2 2 2 5" xfId="35055" xr:uid="{00000000-0005-0000-0000-0000F2880000}"/>
    <cellStyle name="Normal 2 8 2 2 2 2 6" xfId="35056" xr:uid="{00000000-0005-0000-0000-0000F3880000}"/>
    <cellStyle name="Normal 2 8 2 2 2 3" xfId="35057" xr:uid="{00000000-0005-0000-0000-0000F4880000}"/>
    <cellStyle name="Normal 2 8 2 2 2 3 2" xfId="35058" xr:uid="{00000000-0005-0000-0000-0000F5880000}"/>
    <cellStyle name="Normal 2 8 2 2 2 3 2 2" xfId="35059" xr:uid="{00000000-0005-0000-0000-0000F6880000}"/>
    <cellStyle name="Normal 2 8 2 2 2 3 3" xfId="35060" xr:uid="{00000000-0005-0000-0000-0000F7880000}"/>
    <cellStyle name="Normal 2 8 2 2 2 3 4" xfId="35061" xr:uid="{00000000-0005-0000-0000-0000F8880000}"/>
    <cellStyle name="Normal 2 8 2 2 2 3 5" xfId="35062" xr:uid="{00000000-0005-0000-0000-0000F9880000}"/>
    <cellStyle name="Normal 2 8 2 2 2 4" xfId="35063" xr:uid="{00000000-0005-0000-0000-0000FA880000}"/>
    <cellStyle name="Normal 2 8 2 2 2 4 2" xfId="35064" xr:uid="{00000000-0005-0000-0000-0000FB880000}"/>
    <cellStyle name="Normal 2 8 2 2 2 4 3" xfId="35065" xr:uid="{00000000-0005-0000-0000-0000FC880000}"/>
    <cellStyle name="Normal 2 8 2 2 2 4 4" xfId="35066" xr:uid="{00000000-0005-0000-0000-0000FD880000}"/>
    <cellStyle name="Normal 2 8 2 2 2 5" xfId="35067" xr:uid="{00000000-0005-0000-0000-0000FE880000}"/>
    <cellStyle name="Normal 2 8 2 2 2 5 2" xfId="35068" xr:uid="{00000000-0005-0000-0000-0000FF880000}"/>
    <cellStyle name="Normal 2 8 2 2 2 6" xfId="35069" xr:uid="{00000000-0005-0000-0000-000000890000}"/>
    <cellStyle name="Normal 2 8 2 2 2 7" xfId="35070" xr:uid="{00000000-0005-0000-0000-000001890000}"/>
    <cellStyle name="Normal 2 8 2 2 2 8" xfId="35071" xr:uid="{00000000-0005-0000-0000-000002890000}"/>
    <cellStyle name="Normal 2 8 2 2 2 9" xfId="35072" xr:uid="{00000000-0005-0000-0000-000003890000}"/>
    <cellStyle name="Normal 2 8 2 2 3" xfId="35073" xr:uid="{00000000-0005-0000-0000-000004890000}"/>
    <cellStyle name="Normal 2 8 2 2 3 2" xfId="35074" xr:uid="{00000000-0005-0000-0000-000005890000}"/>
    <cellStyle name="Normal 2 8 2 2 3 2 2" xfId="35075" xr:uid="{00000000-0005-0000-0000-000006890000}"/>
    <cellStyle name="Normal 2 8 2 2 3 2 2 2" xfId="35076" xr:uid="{00000000-0005-0000-0000-000007890000}"/>
    <cellStyle name="Normal 2 8 2 2 3 2 2 3" xfId="35077" xr:uid="{00000000-0005-0000-0000-000008890000}"/>
    <cellStyle name="Normal 2 8 2 2 3 2 3" xfId="35078" xr:uid="{00000000-0005-0000-0000-000009890000}"/>
    <cellStyle name="Normal 2 8 2 2 3 2 4" xfId="35079" xr:uid="{00000000-0005-0000-0000-00000A890000}"/>
    <cellStyle name="Normal 2 8 2 2 3 2 5" xfId="35080" xr:uid="{00000000-0005-0000-0000-00000B890000}"/>
    <cellStyle name="Normal 2 8 2 2 3 2 6" xfId="35081" xr:uid="{00000000-0005-0000-0000-00000C890000}"/>
    <cellStyle name="Normal 2 8 2 2 3 3" xfId="35082" xr:uid="{00000000-0005-0000-0000-00000D890000}"/>
    <cellStyle name="Normal 2 8 2 2 3 3 2" xfId="35083" xr:uid="{00000000-0005-0000-0000-00000E890000}"/>
    <cellStyle name="Normal 2 8 2 2 3 3 2 2" xfId="35084" xr:uid="{00000000-0005-0000-0000-00000F890000}"/>
    <cellStyle name="Normal 2 8 2 2 3 3 3" xfId="35085" xr:uid="{00000000-0005-0000-0000-000010890000}"/>
    <cellStyle name="Normal 2 8 2 2 3 3 4" xfId="35086" xr:uid="{00000000-0005-0000-0000-000011890000}"/>
    <cellStyle name="Normal 2 8 2 2 3 3 5" xfId="35087" xr:uid="{00000000-0005-0000-0000-000012890000}"/>
    <cellStyle name="Normal 2 8 2 2 3 4" xfId="35088" xr:uid="{00000000-0005-0000-0000-000013890000}"/>
    <cellStyle name="Normal 2 8 2 2 3 4 2" xfId="35089" xr:uid="{00000000-0005-0000-0000-000014890000}"/>
    <cellStyle name="Normal 2 8 2 2 3 4 3" xfId="35090" xr:uid="{00000000-0005-0000-0000-000015890000}"/>
    <cellStyle name="Normal 2 8 2 2 3 4 4" xfId="35091" xr:uid="{00000000-0005-0000-0000-000016890000}"/>
    <cellStyle name="Normal 2 8 2 2 3 5" xfId="35092" xr:uid="{00000000-0005-0000-0000-000017890000}"/>
    <cellStyle name="Normal 2 8 2 2 3 5 2" xfId="35093" xr:uid="{00000000-0005-0000-0000-000018890000}"/>
    <cellStyle name="Normal 2 8 2 2 3 6" xfId="35094" xr:uid="{00000000-0005-0000-0000-000019890000}"/>
    <cellStyle name="Normal 2 8 2 2 3 7" xfId="35095" xr:uid="{00000000-0005-0000-0000-00001A890000}"/>
    <cellStyle name="Normal 2 8 2 2 3 8" xfId="35096" xr:uid="{00000000-0005-0000-0000-00001B890000}"/>
    <cellStyle name="Normal 2 8 2 2 3 9" xfId="35097" xr:uid="{00000000-0005-0000-0000-00001C890000}"/>
    <cellStyle name="Normal 2 8 2 2 4" xfId="35098" xr:uid="{00000000-0005-0000-0000-00001D890000}"/>
    <cellStyle name="Normal 2 8 2 2 4 2" xfId="35099" xr:uid="{00000000-0005-0000-0000-00001E890000}"/>
    <cellStyle name="Normal 2 8 2 2 4 2 2" xfId="35100" xr:uid="{00000000-0005-0000-0000-00001F890000}"/>
    <cellStyle name="Normal 2 8 2 2 4 2 3" xfId="35101" xr:uid="{00000000-0005-0000-0000-000020890000}"/>
    <cellStyle name="Normal 2 8 2 2 4 3" xfId="35102" xr:uid="{00000000-0005-0000-0000-000021890000}"/>
    <cellStyle name="Normal 2 8 2 2 4 4" xfId="35103" xr:uid="{00000000-0005-0000-0000-000022890000}"/>
    <cellStyle name="Normal 2 8 2 2 4 5" xfId="35104" xr:uid="{00000000-0005-0000-0000-000023890000}"/>
    <cellStyle name="Normal 2 8 2 2 4 6" xfId="35105" xr:uid="{00000000-0005-0000-0000-000024890000}"/>
    <cellStyle name="Normal 2 8 2 2 5" xfId="35106" xr:uid="{00000000-0005-0000-0000-000025890000}"/>
    <cellStyle name="Normal 2 8 2 2 5 2" xfId="35107" xr:uid="{00000000-0005-0000-0000-000026890000}"/>
    <cellStyle name="Normal 2 8 2 2 5 2 2" xfId="35108" xr:uid="{00000000-0005-0000-0000-000027890000}"/>
    <cellStyle name="Normal 2 8 2 2 5 3" xfId="35109" xr:uid="{00000000-0005-0000-0000-000028890000}"/>
    <cellStyle name="Normal 2 8 2 2 5 4" xfId="35110" xr:uid="{00000000-0005-0000-0000-000029890000}"/>
    <cellStyle name="Normal 2 8 2 2 5 5" xfId="35111" xr:uid="{00000000-0005-0000-0000-00002A890000}"/>
    <cellStyle name="Normal 2 8 2 2 6" xfId="35112" xr:uid="{00000000-0005-0000-0000-00002B890000}"/>
    <cellStyle name="Normal 2 8 2 2 6 2" xfId="35113" xr:uid="{00000000-0005-0000-0000-00002C890000}"/>
    <cellStyle name="Normal 2 8 2 2 6 3" xfId="35114" xr:uid="{00000000-0005-0000-0000-00002D890000}"/>
    <cellStyle name="Normal 2 8 2 2 6 4" xfId="35115" xr:uid="{00000000-0005-0000-0000-00002E890000}"/>
    <cellStyle name="Normal 2 8 2 2 7" xfId="35116" xr:uid="{00000000-0005-0000-0000-00002F890000}"/>
    <cellStyle name="Normal 2 8 2 2 7 2" xfId="35117" xr:uid="{00000000-0005-0000-0000-000030890000}"/>
    <cellStyle name="Normal 2 8 2 2 8" xfId="35118" xr:uid="{00000000-0005-0000-0000-000031890000}"/>
    <cellStyle name="Normal 2 8 2 2 9" xfId="35119" xr:uid="{00000000-0005-0000-0000-000032890000}"/>
    <cellStyle name="Normal 2 8 2 20" xfId="35120" xr:uid="{00000000-0005-0000-0000-000033890000}"/>
    <cellStyle name="Normal 2 8 2 21" xfId="35121" xr:uid="{00000000-0005-0000-0000-000034890000}"/>
    <cellStyle name="Normal 2 8 2 22" xfId="35122" xr:uid="{00000000-0005-0000-0000-000035890000}"/>
    <cellStyle name="Normal 2 8 2 3" xfId="35123" xr:uid="{00000000-0005-0000-0000-000036890000}"/>
    <cellStyle name="Normal 2 8 2 3 10" xfId="35124" xr:uid="{00000000-0005-0000-0000-000037890000}"/>
    <cellStyle name="Normal 2 8 2 3 11" xfId="35125" xr:uid="{00000000-0005-0000-0000-000038890000}"/>
    <cellStyle name="Normal 2 8 2 3 2" xfId="35126" xr:uid="{00000000-0005-0000-0000-000039890000}"/>
    <cellStyle name="Normal 2 8 2 3 2 2" xfId="35127" xr:uid="{00000000-0005-0000-0000-00003A890000}"/>
    <cellStyle name="Normal 2 8 2 3 2 2 2" xfId="35128" xr:uid="{00000000-0005-0000-0000-00003B890000}"/>
    <cellStyle name="Normal 2 8 2 3 2 2 2 2" xfId="35129" xr:uid="{00000000-0005-0000-0000-00003C890000}"/>
    <cellStyle name="Normal 2 8 2 3 2 2 2 3" xfId="35130" xr:uid="{00000000-0005-0000-0000-00003D890000}"/>
    <cellStyle name="Normal 2 8 2 3 2 2 3" xfId="35131" xr:uid="{00000000-0005-0000-0000-00003E890000}"/>
    <cellStyle name="Normal 2 8 2 3 2 2 4" xfId="35132" xr:uid="{00000000-0005-0000-0000-00003F890000}"/>
    <cellStyle name="Normal 2 8 2 3 2 2 5" xfId="35133" xr:uid="{00000000-0005-0000-0000-000040890000}"/>
    <cellStyle name="Normal 2 8 2 3 2 2 6" xfId="35134" xr:uid="{00000000-0005-0000-0000-000041890000}"/>
    <cellStyle name="Normal 2 8 2 3 2 3" xfId="35135" xr:uid="{00000000-0005-0000-0000-000042890000}"/>
    <cellStyle name="Normal 2 8 2 3 2 3 2" xfId="35136" xr:uid="{00000000-0005-0000-0000-000043890000}"/>
    <cellStyle name="Normal 2 8 2 3 2 3 2 2" xfId="35137" xr:uid="{00000000-0005-0000-0000-000044890000}"/>
    <cellStyle name="Normal 2 8 2 3 2 3 3" xfId="35138" xr:uid="{00000000-0005-0000-0000-000045890000}"/>
    <cellStyle name="Normal 2 8 2 3 2 3 4" xfId="35139" xr:uid="{00000000-0005-0000-0000-000046890000}"/>
    <cellStyle name="Normal 2 8 2 3 2 3 5" xfId="35140" xr:uid="{00000000-0005-0000-0000-000047890000}"/>
    <cellStyle name="Normal 2 8 2 3 2 4" xfId="35141" xr:uid="{00000000-0005-0000-0000-000048890000}"/>
    <cellStyle name="Normal 2 8 2 3 2 4 2" xfId="35142" xr:uid="{00000000-0005-0000-0000-000049890000}"/>
    <cellStyle name="Normal 2 8 2 3 2 4 3" xfId="35143" xr:uid="{00000000-0005-0000-0000-00004A890000}"/>
    <cellStyle name="Normal 2 8 2 3 2 4 4" xfId="35144" xr:uid="{00000000-0005-0000-0000-00004B890000}"/>
    <cellStyle name="Normal 2 8 2 3 2 5" xfId="35145" xr:uid="{00000000-0005-0000-0000-00004C890000}"/>
    <cellStyle name="Normal 2 8 2 3 2 5 2" xfId="35146" xr:uid="{00000000-0005-0000-0000-00004D890000}"/>
    <cellStyle name="Normal 2 8 2 3 2 6" xfId="35147" xr:uid="{00000000-0005-0000-0000-00004E890000}"/>
    <cellStyle name="Normal 2 8 2 3 2 7" xfId="35148" xr:uid="{00000000-0005-0000-0000-00004F890000}"/>
    <cellStyle name="Normal 2 8 2 3 2 8" xfId="35149" xr:uid="{00000000-0005-0000-0000-000050890000}"/>
    <cellStyle name="Normal 2 8 2 3 2 9" xfId="35150" xr:uid="{00000000-0005-0000-0000-000051890000}"/>
    <cellStyle name="Normal 2 8 2 3 3" xfId="35151" xr:uid="{00000000-0005-0000-0000-000052890000}"/>
    <cellStyle name="Normal 2 8 2 3 3 2" xfId="35152" xr:uid="{00000000-0005-0000-0000-000053890000}"/>
    <cellStyle name="Normal 2 8 2 3 3 2 2" xfId="35153" xr:uid="{00000000-0005-0000-0000-000054890000}"/>
    <cellStyle name="Normal 2 8 2 3 3 2 2 2" xfId="35154" xr:uid="{00000000-0005-0000-0000-000055890000}"/>
    <cellStyle name="Normal 2 8 2 3 3 2 2 3" xfId="35155" xr:uid="{00000000-0005-0000-0000-000056890000}"/>
    <cellStyle name="Normal 2 8 2 3 3 2 3" xfId="35156" xr:uid="{00000000-0005-0000-0000-000057890000}"/>
    <cellStyle name="Normal 2 8 2 3 3 2 4" xfId="35157" xr:uid="{00000000-0005-0000-0000-000058890000}"/>
    <cellStyle name="Normal 2 8 2 3 3 2 5" xfId="35158" xr:uid="{00000000-0005-0000-0000-000059890000}"/>
    <cellStyle name="Normal 2 8 2 3 3 2 6" xfId="35159" xr:uid="{00000000-0005-0000-0000-00005A890000}"/>
    <cellStyle name="Normal 2 8 2 3 3 3" xfId="35160" xr:uid="{00000000-0005-0000-0000-00005B890000}"/>
    <cellStyle name="Normal 2 8 2 3 3 3 2" xfId="35161" xr:uid="{00000000-0005-0000-0000-00005C890000}"/>
    <cellStyle name="Normal 2 8 2 3 3 3 2 2" xfId="35162" xr:uid="{00000000-0005-0000-0000-00005D890000}"/>
    <cellStyle name="Normal 2 8 2 3 3 3 3" xfId="35163" xr:uid="{00000000-0005-0000-0000-00005E890000}"/>
    <cellStyle name="Normal 2 8 2 3 3 3 4" xfId="35164" xr:uid="{00000000-0005-0000-0000-00005F890000}"/>
    <cellStyle name="Normal 2 8 2 3 3 3 5" xfId="35165" xr:uid="{00000000-0005-0000-0000-000060890000}"/>
    <cellStyle name="Normal 2 8 2 3 3 4" xfId="35166" xr:uid="{00000000-0005-0000-0000-000061890000}"/>
    <cellStyle name="Normal 2 8 2 3 3 4 2" xfId="35167" xr:uid="{00000000-0005-0000-0000-000062890000}"/>
    <cellStyle name="Normal 2 8 2 3 3 4 3" xfId="35168" xr:uid="{00000000-0005-0000-0000-000063890000}"/>
    <cellStyle name="Normal 2 8 2 3 3 4 4" xfId="35169" xr:uid="{00000000-0005-0000-0000-000064890000}"/>
    <cellStyle name="Normal 2 8 2 3 3 5" xfId="35170" xr:uid="{00000000-0005-0000-0000-000065890000}"/>
    <cellStyle name="Normal 2 8 2 3 3 5 2" xfId="35171" xr:uid="{00000000-0005-0000-0000-000066890000}"/>
    <cellStyle name="Normal 2 8 2 3 3 6" xfId="35172" xr:uid="{00000000-0005-0000-0000-000067890000}"/>
    <cellStyle name="Normal 2 8 2 3 3 7" xfId="35173" xr:uid="{00000000-0005-0000-0000-000068890000}"/>
    <cellStyle name="Normal 2 8 2 3 3 8" xfId="35174" xr:uid="{00000000-0005-0000-0000-000069890000}"/>
    <cellStyle name="Normal 2 8 2 3 3 9" xfId="35175" xr:uid="{00000000-0005-0000-0000-00006A890000}"/>
    <cellStyle name="Normal 2 8 2 3 4" xfId="35176" xr:uid="{00000000-0005-0000-0000-00006B890000}"/>
    <cellStyle name="Normal 2 8 2 3 4 2" xfId="35177" xr:uid="{00000000-0005-0000-0000-00006C890000}"/>
    <cellStyle name="Normal 2 8 2 3 4 2 2" xfId="35178" xr:uid="{00000000-0005-0000-0000-00006D890000}"/>
    <cellStyle name="Normal 2 8 2 3 4 2 3" xfId="35179" xr:uid="{00000000-0005-0000-0000-00006E890000}"/>
    <cellStyle name="Normal 2 8 2 3 4 3" xfId="35180" xr:uid="{00000000-0005-0000-0000-00006F890000}"/>
    <cellStyle name="Normal 2 8 2 3 4 4" xfId="35181" xr:uid="{00000000-0005-0000-0000-000070890000}"/>
    <cellStyle name="Normal 2 8 2 3 4 5" xfId="35182" xr:uid="{00000000-0005-0000-0000-000071890000}"/>
    <cellStyle name="Normal 2 8 2 3 4 6" xfId="35183" xr:uid="{00000000-0005-0000-0000-000072890000}"/>
    <cellStyle name="Normal 2 8 2 3 5" xfId="35184" xr:uid="{00000000-0005-0000-0000-000073890000}"/>
    <cellStyle name="Normal 2 8 2 3 5 2" xfId="35185" xr:uid="{00000000-0005-0000-0000-000074890000}"/>
    <cellStyle name="Normal 2 8 2 3 5 2 2" xfId="35186" xr:uid="{00000000-0005-0000-0000-000075890000}"/>
    <cellStyle name="Normal 2 8 2 3 5 3" xfId="35187" xr:uid="{00000000-0005-0000-0000-000076890000}"/>
    <cellStyle name="Normal 2 8 2 3 5 4" xfId="35188" xr:uid="{00000000-0005-0000-0000-000077890000}"/>
    <cellStyle name="Normal 2 8 2 3 5 5" xfId="35189" xr:uid="{00000000-0005-0000-0000-000078890000}"/>
    <cellStyle name="Normal 2 8 2 3 6" xfId="35190" xr:uid="{00000000-0005-0000-0000-000079890000}"/>
    <cellStyle name="Normal 2 8 2 3 6 2" xfId="35191" xr:uid="{00000000-0005-0000-0000-00007A890000}"/>
    <cellStyle name="Normal 2 8 2 3 6 3" xfId="35192" xr:uid="{00000000-0005-0000-0000-00007B890000}"/>
    <cellStyle name="Normal 2 8 2 3 6 4" xfId="35193" xr:uid="{00000000-0005-0000-0000-00007C890000}"/>
    <cellStyle name="Normal 2 8 2 3 7" xfId="35194" xr:uid="{00000000-0005-0000-0000-00007D890000}"/>
    <cellStyle name="Normal 2 8 2 3 7 2" xfId="35195" xr:uid="{00000000-0005-0000-0000-00007E890000}"/>
    <cellStyle name="Normal 2 8 2 3 8" xfId="35196" xr:uid="{00000000-0005-0000-0000-00007F890000}"/>
    <cellStyle name="Normal 2 8 2 3 9" xfId="35197" xr:uid="{00000000-0005-0000-0000-000080890000}"/>
    <cellStyle name="Normal 2 8 2 4" xfId="35198" xr:uid="{00000000-0005-0000-0000-000081890000}"/>
    <cellStyle name="Normal 2 8 2 4 10" xfId="35199" xr:uid="{00000000-0005-0000-0000-000082890000}"/>
    <cellStyle name="Normal 2 8 2 4 11" xfId="35200" xr:uid="{00000000-0005-0000-0000-000083890000}"/>
    <cellStyle name="Normal 2 8 2 4 2" xfId="35201" xr:uid="{00000000-0005-0000-0000-000084890000}"/>
    <cellStyle name="Normal 2 8 2 4 2 2" xfId="35202" xr:uid="{00000000-0005-0000-0000-000085890000}"/>
    <cellStyle name="Normal 2 8 2 4 2 2 2" xfId="35203" xr:uid="{00000000-0005-0000-0000-000086890000}"/>
    <cellStyle name="Normal 2 8 2 4 2 2 2 2" xfId="35204" xr:uid="{00000000-0005-0000-0000-000087890000}"/>
    <cellStyle name="Normal 2 8 2 4 2 2 2 3" xfId="35205" xr:uid="{00000000-0005-0000-0000-000088890000}"/>
    <cellStyle name="Normal 2 8 2 4 2 2 3" xfId="35206" xr:uid="{00000000-0005-0000-0000-000089890000}"/>
    <cellStyle name="Normal 2 8 2 4 2 2 4" xfId="35207" xr:uid="{00000000-0005-0000-0000-00008A890000}"/>
    <cellStyle name="Normal 2 8 2 4 2 2 5" xfId="35208" xr:uid="{00000000-0005-0000-0000-00008B890000}"/>
    <cellStyle name="Normal 2 8 2 4 2 2 6" xfId="35209" xr:uid="{00000000-0005-0000-0000-00008C890000}"/>
    <cellStyle name="Normal 2 8 2 4 2 3" xfId="35210" xr:uid="{00000000-0005-0000-0000-00008D890000}"/>
    <cellStyle name="Normal 2 8 2 4 2 3 2" xfId="35211" xr:uid="{00000000-0005-0000-0000-00008E890000}"/>
    <cellStyle name="Normal 2 8 2 4 2 3 2 2" xfId="35212" xr:uid="{00000000-0005-0000-0000-00008F890000}"/>
    <cellStyle name="Normal 2 8 2 4 2 3 3" xfId="35213" xr:uid="{00000000-0005-0000-0000-000090890000}"/>
    <cellStyle name="Normal 2 8 2 4 2 3 4" xfId="35214" xr:uid="{00000000-0005-0000-0000-000091890000}"/>
    <cellStyle name="Normal 2 8 2 4 2 3 5" xfId="35215" xr:uid="{00000000-0005-0000-0000-000092890000}"/>
    <cellStyle name="Normal 2 8 2 4 2 4" xfId="35216" xr:uid="{00000000-0005-0000-0000-000093890000}"/>
    <cellStyle name="Normal 2 8 2 4 2 4 2" xfId="35217" xr:uid="{00000000-0005-0000-0000-000094890000}"/>
    <cellStyle name="Normal 2 8 2 4 2 4 3" xfId="35218" xr:uid="{00000000-0005-0000-0000-000095890000}"/>
    <cellStyle name="Normal 2 8 2 4 2 4 4" xfId="35219" xr:uid="{00000000-0005-0000-0000-000096890000}"/>
    <cellStyle name="Normal 2 8 2 4 2 5" xfId="35220" xr:uid="{00000000-0005-0000-0000-000097890000}"/>
    <cellStyle name="Normal 2 8 2 4 2 5 2" xfId="35221" xr:uid="{00000000-0005-0000-0000-000098890000}"/>
    <cellStyle name="Normal 2 8 2 4 2 6" xfId="35222" xr:uid="{00000000-0005-0000-0000-000099890000}"/>
    <cellStyle name="Normal 2 8 2 4 2 7" xfId="35223" xr:uid="{00000000-0005-0000-0000-00009A890000}"/>
    <cellStyle name="Normal 2 8 2 4 2 8" xfId="35224" xr:uid="{00000000-0005-0000-0000-00009B890000}"/>
    <cellStyle name="Normal 2 8 2 4 2 9" xfId="35225" xr:uid="{00000000-0005-0000-0000-00009C890000}"/>
    <cellStyle name="Normal 2 8 2 4 3" xfId="35226" xr:uid="{00000000-0005-0000-0000-00009D890000}"/>
    <cellStyle name="Normal 2 8 2 4 3 2" xfId="35227" xr:uid="{00000000-0005-0000-0000-00009E890000}"/>
    <cellStyle name="Normal 2 8 2 4 3 2 2" xfId="35228" xr:uid="{00000000-0005-0000-0000-00009F890000}"/>
    <cellStyle name="Normal 2 8 2 4 3 2 2 2" xfId="35229" xr:uid="{00000000-0005-0000-0000-0000A0890000}"/>
    <cellStyle name="Normal 2 8 2 4 3 2 2 3" xfId="35230" xr:uid="{00000000-0005-0000-0000-0000A1890000}"/>
    <cellStyle name="Normal 2 8 2 4 3 2 3" xfId="35231" xr:uid="{00000000-0005-0000-0000-0000A2890000}"/>
    <cellStyle name="Normal 2 8 2 4 3 2 4" xfId="35232" xr:uid="{00000000-0005-0000-0000-0000A3890000}"/>
    <cellStyle name="Normal 2 8 2 4 3 2 5" xfId="35233" xr:uid="{00000000-0005-0000-0000-0000A4890000}"/>
    <cellStyle name="Normal 2 8 2 4 3 2 6" xfId="35234" xr:uid="{00000000-0005-0000-0000-0000A5890000}"/>
    <cellStyle name="Normal 2 8 2 4 3 3" xfId="35235" xr:uid="{00000000-0005-0000-0000-0000A6890000}"/>
    <cellStyle name="Normal 2 8 2 4 3 3 2" xfId="35236" xr:uid="{00000000-0005-0000-0000-0000A7890000}"/>
    <cellStyle name="Normal 2 8 2 4 3 3 2 2" xfId="35237" xr:uid="{00000000-0005-0000-0000-0000A8890000}"/>
    <cellStyle name="Normal 2 8 2 4 3 3 3" xfId="35238" xr:uid="{00000000-0005-0000-0000-0000A9890000}"/>
    <cellStyle name="Normal 2 8 2 4 3 3 4" xfId="35239" xr:uid="{00000000-0005-0000-0000-0000AA890000}"/>
    <cellStyle name="Normal 2 8 2 4 3 3 5" xfId="35240" xr:uid="{00000000-0005-0000-0000-0000AB890000}"/>
    <cellStyle name="Normal 2 8 2 4 3 4" xfId="35241" xr:uid="{00000000-0005-0000-0000-0000AC890000}"/>
    <cellStyle name="Normal 2 8 2 4 3 4 2" xfId="35242" xr:uid="{00000000-0005-0000-0000-0000AD890000}"/>
    <cellStyle name="Normal 2 8 2 4 3 4 3" xfId="35243" xr:uid="{00000000-0005-0000-0000-0000AE890000}"/>
    <cellStyle name="Normal 2 8 2 4 3 4 4" xfId="35244" xr:uid="{00000000-0005-0000-0000-0000AF890000}"/>
    <cellStyle name="Normal 2 8 2 4 3 5" xfId="35245" xr:uid="{00000000-0005-0000-0000-0000B0890000}"/>
    <cellStyle name="Normal 2 8 2 4 3 5 2" xfId="35246" xr:uid="{00000000-0005-0000-0000-0000B1890000}"/>
    <cellStyle name="Normal 2 8 2 4 3 6" xfId="35247" xr:uid="{00000000-0005-0000-0000-0000B2890000}"/>
    <cellStyle name="Normal 2 8 2 4 3 7" xfId="35248" xr:uid="{00000000-0005-0000-0000-0000B3890000}"/>
    <cellStyle name="Normal 2 8 2 4 3 8" xfId="35249" xr:uid="{00000000-0005-0000-0000-0000B4890000}"/>
    <cellStyle name="Normal 2 8 2 4 3 9" xfId="35250" xr:uid="{00000000-0005-0000-0000-0000B5890000}"/>
    <cellStyle name="Normal 2 8 2 4 4" xfId="35251" xr:uid="{00000000-0005-0000-0000-0000B6890000}"/>
    <cellStyle name="Normal 2 8 2 4 4 2" xfId="35252" xr:uid="{00000000-0005-0000-0000-0000B7890000}"/>
    <cellStyle name="Normal 2 8 2 4 4 2 2" xfId="35253" xr:uid="{00000000-0005-0000-0000-0000B8890000}"/>
    <cellStyle name="Normal 2 8 2 4 4 2 3" xfId="35254" xr:uid="{00000000-0005-0000-0000-0000B9890000}"/>
    <cellStyle name="Normal 2 8 2 4 4 3" xfId="35255" xr:uid="{00000000-0005-0000-0000-0000BA890000}"/>
    <cellStyle name="Normal 2 8 2 4 4 4" xfId="35256" xr:uid="{00000000-0005-0000-0000-0000BB890000}"/>
    <cellStyle name="Normal 2 8 2 4 4 5" xfId="35257" xr:uid="{00000000-0005-0000-0000-0000BC890000}"/>
    <cellStyle name="Normal 2 8 2 4 4 6" xfId="35258" xr:uid="{00000000-0005-0000-0000-0000BD890000}"/>
    <cellStyle name="Normal 2 8 2 4 5" xfId="35259" xr:uid="{00000000-0005-0000-0000-0000BE890000}"/>
    <cellStyle name="Normal 2 8 2 4 5 2" xfId="35260" xr:uid="{00000000-0005-0000-0000-0000BF890000}"/>
    <cellStyle name="Normal 2 8 2 4 5 2 2" xfId="35261" xr:uid="{00000000-0005-0000-0000-0000C0890000}"/>
    <cellStyle name="Normal 2 8 2 4 5 3" xfId="35262" xr:uid="{00000000-0005-0000-0000-0000C1890000}"/>
    <cellStyle name="Normal 2 8 2 4 5 4" xfId="35263" xr:uid="{00000000-0005-0000-0000-0000C2890000}"/>
    <cellStyle name="Normal 2 8 2 4 5 5" xfId="35264" xr:uid="{00000000-0005-0000-0000-0000C3890000}"/>
    <cellStyle name="Normal 2 8 2 4 6" xfId="35265" xr:uid="{00000000-0005-0000-0000-0000C4890000}"/>
    <cellStyle name="Normal 2 8 2 4 6 2" xfId="35266" xr:uid="{00000000-0005-0000-0000-0000C5890000}"/>
    <cellStyle name="Normal 2 8 2 4 6 3" xfId="35267" xr:uid="{00000000-0005-0000-0000-0000C6890000}"/>
    <cellStyle name="Normal 2 8 2 4 6 4" xfId="35268" xr:uid="{00000000-0005-0000-0000-0000C7890000}"/>
    <cellStyle name="Normal 2 8 2 4 7" xfId="35269" xr:uid="{00000000-0005-0000-0000-0000C8890000}"/>
    <cellStyle name="Normal 2 8 2 4 7 2" xfId="35270" xr:uid="{00000000-0005-0000-0000-0000C9890000}"/>
    <cellStyle name="Normal 2 8 2 4 8" xfId="35271" xr:uid="{00000000-0005-0000-0000-0000CA890000}"/>
    <cellStyle name="Normal 2 8 2 4 9" xfId="35272" xr:uid="{00000000-0005-0000-0000-0000CB890000}"/>
    <cellStyle name="Normal 2 8 2 5" xfId="35273" xr:uid="{00000000-0005-0000-0000-0000CC890000}"/>
    <cellStyle name="Normal 2 8 2 5 10" xfId="35274" xr:uid="{00000000-0005-0000-0000-0000CD890000}"/>
    <cellStyle name="Normal 2 8 2 5 11" xfId="35275" xr:uid="{00000000-0005-0000-0000-0000CE890000}"/>
    <cellStyle name="Normal 2 8 2 5 2" xfId="35276" xr:uid="{00000000-0005-0000-0000-0000CF890000}"/>
    <cellStyle name="Normal 2 8 2 5 2 2" xfId="35277" xr:uid="{00000000-0005-0000-0000-0000D0890000}"/>
    <cellStyle name="Normal 2 8 2 5 2 2 2" xfId="35278" xr:uid="{00000000-0005-0000-0000-0000D1890000}"/>
    <cellStyle name="Normal 2 8 2 5 2 2 2 2" xfId="35279" xr:uid="{00000000-0005-0000-0000-0000D2890000}"/>
    <cellStyle name="Normal 2 8 2 5 2 2 2 3" xfId="35280" xr:uid="{00000000-0005-0000-0000-0000D3890000}"/>
    <cellStyle name="Normal 2 8 2 5 2 2 3" xfId="35281" xr:uid="{00000000-0005-0000-0000-0000D4890000}"/>
    <cellStyle name="Normal 2 8 2 5 2 2 4" xfId="35282" xr:uid="{00000000-0005-0000-0000-0000D5890000}"/>
    <cellStyle name="Normal 2 8 2 5 2 2 5" xfId="35283" xr:uid="{00000000-0005-0000-0000-0000D6890000}"/>
    <cellStyle name="Normal 2 8 2 5 2 2 6" xfId="35284" xr:uid="{00000000-0005-0000-0000-0000D7890000}"/>
    <cellStyle name="Normal 2 8 2 5 2 3" xfId="35285" xr:uid="{00000000-0005-0000-0000-0000D8890000}"/>
    <cellStyle name="Normal 2 8 2 5 2 3 2" xfId="35286" xr:uid="{00000000-0005-0000-0000-0000D9890000}"/>
    <cellStyle name="Normal 2 8 2 5 2 3 2 2" xfId="35287" xr:uid="{00000000-0005-0000-0000-0000DA890000}"/>
    <cellStyle name="Normal 2 8 2 5 2 3 3" xfId="35288" xr:uid="{00000000-0005-0000-0000-0000DB890000}"/>
    <cellStyle name="Normal 2 8 2 5 2 3 4" xfId="35289" xr:uid="{00000000-0005-0000-0000-0000DC890000}"/>
    <cellStyle name="Normal 2 8 2 5 2 3 5" xfId="35290" xr:uid="{00000000-0005-0000-0000-0000DD890000}"/>
    <cellStyle name="Normal 2 8 2 5 2 4" xfId="35291" xr:uid="{00000000-0005-0000-0000-0000DE890000}"/>
    <cellStyle name="Normal 2 8 2 5 2 4 2" xfId="35292" xr:uid="{00000000-0005-0000-0000-0000DF890000}"/>
    <cellStyle name="Normal 2 8 2 5 2 4 3" xfId="35293" xr:uid="{00000000-0005-0000-0000-0000E0890000}"/>
    <cellStyle name="Normal 2 8 2 5 2 4 4" xfId="35294" xr:uid="{00000000-0005-0000-0000-0000E1890000}"/>
    <cellStyle name="Normal 2 8 2 5 2 5" xfId="35295" xr:uid="{00000000-0005-0000-0000-0000E2890000}"/>
    <cellStyle name="Normal 2 8 2 5 2 5 2" xfId="35296" xr:uid="{00000000-0005-0000-0000-0000E3890000}"/>
    <cellStyle name="Normal 2 8 2 5 2 6" xfId="35297" xr:uid="{00000000-0005-0000-0000-0000E4890000}"/>
    <cellStyle name="Normal 2 8 2 5 2 7" xfId="35298" xr:uid="{00000000-0005-0000-0000-0000E5890000}"/>
    <cellStyle name="Normal 2 8 2 5 2 8" xfId="35299" xr:uid="{00000000-0005-0000-0000-0000E6890000}"/>
    <cellStyle name="Normal 2 8 2 5 2 9" xfId="35300" xr:uid="{00000000-0005-0000-0000-0000E7890000}"/>
    <cellStyle name="Normal 2 8 2 5 3" xfId="35301" xr:uid="{00000000-0005-0000-0000-0000E8890000}"/>
    <cellStyle name="Normal 2 8 2 5 3 2" xfId="35302" xr:uid="{00000000-0005-0000-0000-0000E9890000}"/>
    <cellStyle name="Normal 2 8 2 5 3 2 2" xfId="35303" xr:uid="{00000000-0005-0000-0000-0000EA890000}"/>
    <cellStyle name="Normal 2 8 2 5 3 2 2 2" xfId="35304" xr:uid="{00000000-0005-0000-0000-0000EB890000}"/>
    <cellStyle name="Normal 2 8 2 5 3 2 2 3" xfId="35305" xr:uid="{00000000-0005-0000-0000-0000EC890000}"/>
    <cellStyle name="Normal 2 8 2 5 3 2 3" xfId="35306" xr:uid="{00000000-0005-0000-0000-0000ED890000}"/>
    <cellStyle name="Normal 2 8 2 5 3 2 4" xfId="35307" xr:uid="{00000000-0005-0000-0000-0000EE890000}"/>
    <cellStyle name="Normal 2 8 2 5 3 2 5" xfId="35308" xr:uid="{00000000-0005-0000-0000-0000EF890000}"/>
    <cellStyle name="Normal 2 8 2 5 3 2 6" xfId="35309" xr:uid="{00000000-0005-0000-0000-0000F0890000}"/>
    <cellStyle name="Normal 2 8 2 5 3 3" xfId="35310" xr:uid="{00000000-0005-0000-0000-0000F1890000}"/>
    <cellStyle name="Normal 2 8 2 5 3 3 2" xfId="35311" xr:uid="{00000000-0005-0000-0000-0000F2890000}"/>
    <cellStyle name="Normal 2 8 2 5 3 3 2 2" xfId="35312" xr:uid="{00000000-0005-0000-0000-0000F3890000}"/>
    <cellStyle name="Normal 2 8 2 5 3 3 3" xfId="35313" xr:uid="{00000000-0005-0000-0000-0000F4890000}"/>
    <cellStyle name="Normal 2 8 2 5 3 3 4" xfId="35314" xr:uid="{00000000-0005-0000-0000-0000F5890000}"/>
    <cellStyle name="Normal 2 8 2 5 3 3 5" xfId="35315" xr:uid="{00000000-0005-0000-0000-0000F6890000}"/>
    <cellStyle name="Normal 2 8 2 5 3 4" xfId="35316" xr:uid="{00000000-0005-0000-0000-0000F7890000}"/>
    <cellStyle name="Normal 2 8 2 5 3 4 2" xfId="35317" xr:uid="{00000000-0005-0000-0000-0000F8890000}"/>
    <cellStyle name="Normal 2 8 2 5 3 4 3" xfId="35318" xr:uid="{00000000-0005-0000-0000-0000F9890000}"/>
    <cellStyle name="Normal 2 8 2 5 3 4 4" xfId="35319" xr:uid="{00000000-0005-0000-0000-0000FA890000}"/>
    <cellStyle name="Normal 2 8 2 5 3 5" xfId="35320" xr:uid="{00000000-0005-0000-0000-0000FB890000}"/>
    <cellStyle name="Normal 2 8 2 5 3 5 2" xfId="35321" xr:uid="{00000000-0005-0000-0000-0000FC890000}"/>
    <cellStyle name="Normal 2 8 2 5 3 6" xfId="35322" xr:uid="{00000000-0005-0000-0000-0000FD890000}"/>
    <cellStyle name="Normal 2 8 2 5 3 7" xfId="35323" xr:uid="{00000000-0005-0000-0000-0000FE890000}"/>
    <cellStyle name="Normal 2 8 2 5 3 8" xfId="35324" xr:uid="{00000000-0005-0000-0000-0000FF890000}"/>
    <cellStyle name="Normal 2 8 2 5 3 9" xfId="35325" xr:uid="{00000000-0005-0000-0000-0000008A0000}"/>
    <cellStyle name="Normal 2 8 2 5 4" xfId="35326" xr:uid="{00000000-0005-0000-0000-0000018A0000}"/>
    <cellStyle name="Normal 2 8 2 5 4 2" xfId="35327" xr:uid="{00000000-0005-0000-0000-0000028A0000}"/>
    <cellStyle name="Normal 2 8 2 5 4 2 2" xfId="35328" xr:uid="{00000000-0005-0000-0000-0000038A0000}"/>
    <cellStyle name="Normal 2 8 2 5 4 2 3" xfId="35329" xr:uid="{00000000-0005-0000-0000-0000048A0000}"/>
    <cellStyle name="Normal 2 8 2 5 4 3" xfId="35330" xr:uid="{00000000-0005-0000-0000-0000058A0000}"/>
    <cellStyle name="Normal 2 8 2 5 4 4" xfId="35331" xr:uid="{00000000-0005-0000-0000-0000068A0000}"/>
    <cellStyle name="Normal 2 8 2 5 4 5" xfId="35332" xr:uid="{00000000-0005-0000-0000-0000078A0000}"/>
    <cellStyle name="Normal 2 8 2 5 4 6" xfId="35333" xr:uid="{00000000-0005-0000-0000-0000088A0000}"/>
    <cellStyle name="Normal 2 8 2 5 5" xfId="35334" xr:uid="{00000000-0005-0000-0000-0000098A0000}"/>
    <cellStyle name="Normal 2 8 2 5 5 2" xfId="35335" xr:uid="{00000000-0005-0000-0000-00000A8A0000}"/>
    <cellStyle name="Normal 2 8 2 5 5 2 2" xfId="35336" xr:uid="{00000000-0005-0000-0000-00000B8A0000}"/>
    <cellStyle name="Normal 2 8 2 5 5 3" xfId="35337" xr:uid="{00000000-0005-0000-0000-00000C8A0000}"/>
    <cellStyle name="Normal 2 8 2 5 5 4" xfId="35338" xr:uid="{00000000-0005-0000-0000-00000D8A0000}"/>
    <cellStyle name="Normal 2 8 2 5 5 5" xfId="35339" xr:uid="{00000000-0005-0000-0000-00000E8A0000}"/>
    <cellStyle name="Normal 2 8 2 5 6" xfId="35340" xr:uid="{00000000-0005-0000-0000-00000F8A0000}"/>
    <cellStyle name="Normal 2 8 2 5 6 2" xfId="35341" xr:uid="{00000000-0005-0000-0000-0000108A0000}"/>
    <cellStyle name="Normal 2 8 2 5 6 3" xfId="35342" xr:uid="{00000000-0005-0000-0000-0000118A0000}"/>
    <cellStyle name="Normal 2 8 2 5 6 4" xfId="35343" xr:uid="{00000000-0005-0000-0000-0000128A0000}"/>
    <cellStyle name="Normal 2 8 2 5 7" xfId="35344" xr:uid="{00000000-0005-0000-0000-0000138A0000}"/>
    <cellStyle name="Normal 2 8 2 5 7 2" xfId="35345" xr:uid="{00000000-0005-0000-0000-0000148A0000}"/>
    <cellStyle name="Normal 2 8 2 5 8" xfId="35346" xr:uid="{00000000-0005-0000-0000-0000158A0000}"/>
    <cellStyle name="Normal 2 8 2 5 9" xfId="35347" xr:uid="{00000000-0005-0000-0000-0000168A0000}"/>
    <cellStyle name="Normal 2 8 2 6" xfId="35348" xr:uid="{00000000-0005-0000-0000-0000178A0000}"/>
    <cellStyle name="Normal 2 8 2 6 10" xfId="35349" xr:uid="{00000000-0005-0000-0000-0000188A0000}"/>
    <cellStyle name="Normal 2 8 2 6 11" xfId="35350" xr:uid="{00000000-0005-0000-0000-0000198A0000}"/>
    <cellStyle name="Normal 2 8 2 6 2" xfId="35351" xr:uid="{00000000-0005-0000-0000-00001A8A0000}"/>
    <cellStyle name="Normal 2 8 2 6 2 2" xfId="35352" xr:uid="{00000000-0005-0000-0000-00001B8A0000}"/>
    <cellStyle name="Normal 2 8 2 6 2 2 2" xfId="35353" xr:uid="{00000000-0005-0000-0000-00001C8A0000}"/>
    <cellStyle name="Normal 2 8 2 6 2 2 2 2" xfId="35354" xr:uid="{00000000-0005-0000-0000-00001D8A0000}"/>
    <cellStyle name="Normal 2 8 2 6 2 2 2 3" xfId="35355" xr:uid="{00000000-0005-0000-0000-00001E8A0000}"/>
    <cellStyle name="Normal 2 8 2 6 2 2 3" xfId="35356" xr:uid="{00000000-0005-0000-0000-00001F8A0000}"/>
    <cellStyle name="Normal 2 8 2 6 2 2 4" xfId="35357" xr:uid="{00000000-0005-0000-0000-0000208A0000}"/>
    <cellStyle name="Normal 2 8 2 6 2 2 5" xfId="35358" xr:uid="{00000000-0005-0000-0000-0000218A0000}"/>
    <cellStyle name="Normal 2 8 2 6 2 2 6" xfId="35359" xr:uid="{00000000-0005-0000-0000-0000228A0000}"/>
    <cellStyle name="Normal 2 8 2 6 2 3" xfId="35360" xr:uid="{00000000-0005-0000-0000-0000238A0000}"/>
    <cellStyle name="Normal 2 8 2 6 2 3 2" xfId="35361" xr:uid="{00000000-0005-0000-0000-0000248A0000}"/>
    <cellStyle name="Normal 2 8 2 6 2 3 2 2" xfId="35362" xr:uid="{00000000-0005-0000-0000-0000258A0000}"/>
    <cellStyle name="Normal 2 8 2 6 2 3 3" xfId="35363" xr:uid="{00000000-0005-0000-0000-0000268A0000}"/>
    <cellStyle name="Normal 2 8 2 6 2 3 4" xfId="35364" xr:uid="{00000000-0005-0000-0000-0000278A0000}"/>
    <cellStyle name="Normal 2 8 2 6 2 3 5" xfId="35365" xr:uid="{00000000-0005-0000-0000-0000288A0000}"/>
    <cellStyle name="Normal 2 8 2 6 2 4" xfId="35366" xr:uid="{00000000-0005-0000-0000-0000298A0000}"/>
    <cellStyle name="Normal 2 8 2 6 2 4 2" xfId="35367" xr:uid="{00000000-0005-0000-0000-00002A8A0000}"/>
    <cellStyle name="Normal 2 8 2 6 2 4 3" xfId="35368" xr:uid="{00000000-0005-0000-0000-00002B8A0000}"/>
    <cellStyle name="Normal 2 8 2 6 2 4 4" xfId="35369" xr:uid="{00000000-0005-0000-0000-00002C8A0000}"/>
    <cellStyle name="Normal 2 8 2 6 2 5" xfId="35370" xr:uid="{00000000-0005-0000-0000-00002D8A0000}"/>
    <cellStyle name="Normal 2 8 2 6 2 5 2" xfId="35371" xr:uid="{00000000-0005-0000-0000-00002E8A0000}"/>
    <cellStyle name="Normal 2 8 2 6 2 6" xfId="35372" xr:uid="{00000000-0005-0000-0000-00002F8A0000}"/>
    <cellStyle name="Normal 2 8 2 6 2 7" xfId="35373" xr:uid="{00000000-0005-0000-0000-0000308A0000}"/>
    <cellStyle name="Normal 2 8 2 6 2 8" xfId="35374" xr:uid="{00000000-0005-0000-0000-0000318A0000}"/>
    <cellStyle name="Normal 2 8 2 6 2 9" xfId="35375" xr:uid="{00000000-0005-0000-0000-0000328A0000}"/>
    <cellStyle name="Normal 2 8 2 6 3" xfId="35376" xr:uid="{00000000-0005-0000-0000-0000338A0000}"/>
    <cellStyle name="Normal 2 8 2 6 3 2" xfId="35377" xr:uid="{00000000-0005-0000-0000-0000348A0000}"/>
    <cellStyle name="Normal 2 8 2 6 3 2 2" xfId="35378" xr:uid="{00000000-0005-0000-0000-0000358A0000}"/>
    <cellStyle name="Normal 2 8 2 6 3 2 2 2" xfId="35379" xr:uid="{00000000-0005-0000-0000-0000368A0000}"/>
    <cellStyle name="Normal 2 8 2 6 3 2 2 3" xfId="35380" xr:uid="{00000000-0005-0000-0000-0000378A0000}"/>
    <cellStyle name="Normal 2 8 2 6 3 2 3" xfId="35381" xr:uid="{00000000-0005-0000-0000-0000388A0000}"/>
    <cellStyle name="Normal 2 8 2 6 3 2 4" xfId="35382" xr:uid="{00000000-0005-0000-0000-0000398A0000}"/>
    <cellStyle name="Normal 2 8 2 6 3 2 5" xfId="35383" xr:uid="{00000000-0005-0000-0000-00003A8A0000}"/>
    <cellStyle name="Normal 2 8 2 6 3 2 6" xfId="35384" xr:uid="{00000000-0005-0000-0000-00003B8A0000}"/>
    <cellStyle name="Normal 2 8 2 6 3 3" xfId="35385" xr:uid="{00000000-0005-0000-0000-00003C8A0000}"/>
    <cellStyle name="Normal 2 8 2 6 3 3 2" xfId="35386" xr:uid="{00000000-0005-0000-0000-00003D8A0000}"/>
    <cellStyle name="Normal 2 8 2 6 3 3 2 2" xfId="35387" xr:uid="{00000000-0005-0000-0000-00003E8A0000}"/>
    <cellStyle name="Normal 2 8 2 6 3 3 3" xfId="35388" xr:uid="{00000000-0005-0000-0000-00003F8A0000}"/>
    <cellStyle name="Normal 2 8 2 6 3 3 4" xfId="35389" xr:uid="{00000000-0005-0000-0000-0000408A0000}"/>
    <cellStyle name="Normal 2 8 2 6 3 3 5" xfId="35390" xr:uid="{00000000-0005-0000-0000-0000418A0000}"/>
    <cellStyle name="Normal 2 8 2 6 3 4" xfId="35391" xr:uid="{00000000-0005-0000-0000-0000428A0000}"/>
    <cellStyle name="Normal 2 8 2 6 3 4 2" xfId="35392" xr:uid="{00000000-0005-0000-0000-0000438A0000}"/>
    <cellStyle name="Normal 2 8 2 6 3 4 3" xfId="35393" xr:uid="{00000000-0005-0000-0000-0000448A0000}"/>
    <cellStyle name="Normal 2 8 2 6 3 4 4" xfId="35394" xr:uid="{00000000-0005-0000-0000-0000458A0000}"/>
    <cellStyle name="Normal 2 8 2 6 3 5" xfId="35395" xr:uid="{00000000-0005-0000-0000-0000468A0000}"/>
    <cellStyle name="Normal 2 8 2 6 3 5 2" xfId="35396" xr:uid="{00000000-0005-0000-0000-0000478A0000}"/>
    <cellStyle name="Normal 2 8 2 6 3 6" xfId="35397" xr:uid="{00000000-0005-0000-0000-0000488A0000}"/>
    <cellStyle name="Normal 2 8 2 6 3 7" xfId="35398" xr:uid="{00000000-0005-0000-0000-0000498A0000}"/>
    <cellStyle name="Normal 2 8 2 6 3 8" xfId="35399" xr:uid="{00000000-0005-0000-0000-00004A8A0000}"/>
    <cellStyle name="Normal 2 8 2 6 3 9" xfId="35400" xr:uid="{00000000-0005-0000-0000-00004B8A0000}"/>
    <cellStyle name="Normal 2 8 2 6 4" xfId="35401" xr:uid="{00000000-0005-0000-0000-00004C8A0000}"/>
    <cellStyle name="Normal 2 8 2 6 4 2" xfId="35402" xr:uid="{00000000-0005-0000-0000-00004D8A0000}"/>
    <cellStyle name="Normal 2 8 2 6 4 2 2" xfId="35403" xr:uid="{00000000-0005-0000-0000-00004E8A0000}"/>
    <cellStyle name="Normal 2 8 2 6 4 2 3" xfId="35404" xr:uid="{00000000-0005-0000-0000-00004F8A0000}"/>
    <cellStyle name="Normal 2 8 2 6 4 3" xfId="35405" xr:uid="{00000000-0005-0000-0000-0000508A0000}"/>
    <cellStyle name="Normal 2 8 2 6 4 4" xfId="35406" xr:uid="{00000000-0005-0000-0000-0000518A0000}"/>
    <cellStyle name="Normal 2 8 2 6 4 5" xfId="35407" xr:uid="{00000000-0005-0000-0000-0000528A0000}"/>
    <cellStyle name="Normal 2 8 2 6 4 6" xfId="35408" xr:uid="{00000000-0005-0000-0000-0000538A0000}"/>
    <cellStyle name="Normal 2 8 2 6 5" xfId="35409" xr:uid="{00000000-0005-0000-0000-0000548A0000}"/>
    <cellStyle name="Normal 2 8 2 6 5 2" xfId="35410" xr:uid="{00000000-0005-0000-0000-0000558A0000}"/>
    <cellStyle name="Normal 2 8 2 6 5 2 2" xfId="35411" xr:uid="{00000000-0005-0000-0000-0000568A0000}"/>
    <cellStyle name="Normal 2 8 2 6 5 3" xfId="35412" xr:uid="{00000000-0005-0000-0000-0000578A0000}"/>
    <cellStyle name="Normal 2 8 2 6 5 4" xfId="35413" xr:uid="{00000000-0005-0000-0000-0000588A0000}"/>
    <cellStyle name="Normal 2 8 2 6 5 5" xfId="35414" xr:uid="{00000000-0005-0000-0000-0000598A0000}"/>
    <cellStyle name="Normal 2 8 2 6 6" xfId="35415" xr:uid="{00000000-0005-0000-0000-00005A8A0000}"/>
    <cellStyle name="Normal 2 8 2 6 6 2" xfId="35416" xr:uid="{00000000-0005-0000-0000-00005B8A0000}"/>
    <cellStyle name="Normal 2 8 2 6 6 3" xfId="35417" xr:uid="{00000000-0005-0000-0000-00005C8A0000}"/>
    <cellStyle name="Normal 2 8 2 6 6 4" xfId="35418" xr:uid="{00000000-0005-0000-0000-00005D8A0000}"/>
    <cellStyle name="Normal 2 8 2 6 7" xfId="35419" xr:uid="{00000000-0005-0000-0000-00005E8A0000}"/>
    <cellStyle name="Normal 2 8 2 6 7 2" xfId="35420" xr:uid="{00000000-0005-0000-0000-00005F8A0000}"/>
    <cellStyle name="Normal 2 8 2 6 8" xfId="35421" xr:uid="{00000000-0005-0000-0000-0000608A0000}"/>
    <cellStyle name="Normal 2 8 2 6 9" xfId="35422" xr:uid="{00000000-0005-0000-0000-0000618A0000}"/>
    <cellStyle name="Normal 2 8 2 7" xfId="35423" xr:uid="{00000000-0005-0000-0000-0000628A0000}"/>
    <cellStyle name="Normal 2 8 2 7 10" xfId="35424" xr:uid="{00000000-0005-0000-0000-0000638A0000}"/>
    <cellStyle name="Normal 2 8 2 7 11" xfId="35425" xr:uid="{00000000-0005-0000-0000-0000648A0000}"/>
    <cellStyle name="Normal 2 8 2 7 2" xfId="35426" xr:uid="{00000000-0005-0000-0000-0000658A0000}"/>
    <cellStyle name="Normal 2 8 2 7 2 2" xfId="35427" xr:uid="{00000000-0005-0000-0000-0000668A0000}"/>
    <cellStyle name="Normal 2 8 2 7 2 2 2" xfId="35428" xr:uid="{00000000-0005-0000-0000-0000678A0000}"/>
    <cellStyle name="Normal 2 8 2 7 2 2 2 2" xfId="35429" xr:uid="{00000000-0005-0000-0000-0000688A0000}"/>
    <cellStyle name="Normal 2 8 2 7 2 2 2 3" xfId="35430" xr:uid="{00000000-0005-0000-0000-0000698A0000}"/>
    <cellStyle name="Normal 2 8 2 7 2 2 3" xfId="35431" xr:uid="{00000000-0005-0000-0000-00006A8A0000}"/>
    <cellStyle name="Normal 2 8 2 7 2 2 4" xfId="35432" xr:uid="{00000000-0005-0000-0000-00006B8A0000}"/>
    <cellStyle name="Normal 2 8 2 7 2 2 5" xfId="35433" xr:uid="{00000000-0005-0000-0000-00006C8A0000}"/>
    <cellStyle name="Normal 2 8 2 7 2 2 6" xfId="35434" xr:uid="{00000000-0005-0000-0000-00006D8A0000}"/>
    <cellStyle name="Normal 2 8 2 7 2 3" xfId="35435" xr:uid="{00000000-0005-0000-0000-00006E8A0000}"/>
    <cellStyle name="Normal 2 8 2 7 2 3 2" xfId="35436" xr:uid="{00000000-0005-0000-0000-00006F8A0000}"/>
    <cellStyle name="Normal 2 8 2 7 2 3 2 2" xfId="35437" xr:uid="{00000000-0005-0000-0000-0000708A0000}"/>
    <cellStyle name="Normal 2 8 2 7 2 3 3" xfId="35438" xr:uid="{00000000-0005-0000-0000-0000718A0000}"/>
    <cellStyle name="Normal 2 8 2 7 2 3 4" xfId="35439" xr:uid="{00000000-0005-0000-0000-0000728A0000}"/>
    <cellStyle name="Normal 2 8 2 7 2 3 5" xfId="35440" xr:uid="{00000000-0005-0000-0000-0000738A0000}"/>
    <cellStyle name="Normal 2 8 2 7 2 4" xfId="35441" xr:uid="{00000000-0005-0000-0000-0000748A0000}"/>
    <cellStyle name="Normal 2 8 2 7 2 4 2" xfId="35442" xr:uid="{00000000-0005-0000-0000-0000758A0000}"/>
    <cellStyle name="Normal 2 8 2 7 2 4 3" xfId="35443" xr:uid="{00000000-0005-0000-0000-0000768A0000}"/>
    <cellStyle name="Normal 2 8 2 7 2 4 4" xfId="35444" xr:uid="{00000000-0005-0000-0000-0000778A0000}"/>
    <cellStyle name="Normal 2 8 2 7 2 5" xfId="35445" xr:uid="{00000000-0005-0000-0000-0000788A0000}"/>
    <cellStyle name="Normal 2 8 2 7 2 5 2" xfId="35446" xr:uid="{00000000-0005-0000-0000-0000798A0000}"/>
    <cellStyle name="Normal 2 8 2 7 2 6" xfId="35447" xr:uid="{00000000-0005-0000-0000-00007A8A0000}"/>
    <cellStyle name="Normal 2 8 2 7 2 7" xfId="35448" xr:uid="{00000000-0005-0000-0000-00007B8A0000}"/>
    <cellStyle name="Normal 2 8 2 7 2 8" xfId="35449" xr:uid="{00000000-0005-0000-0000-00007C8A0000}"/>
    <cellStyle name="Normal 2 8 2 7 2 9" xfId="35450" xr:uid="{00000000-0005-0000-0000-00007D8A0000}"/>
    <cellStyle name="Normal 2 8 2 7 3" xfId="35451" xr:uid="{00000000-0005-0000-0000-00007E8A0000}"/>
    <cellStyle name="Normal 2 8 2 7 3 2" xfId="35452" xr:uid="{00000000-0005-0000-0000-00007F8A0000}"/>
    <cellStyle name="Normal 2 8 2 7 3 2 2" xfId="35453" xr:uid="{00000000-0005-0000-0000-0000808A0000}"/>
    <cellStyle name="Normal 2 8 2 7 3 2 2 2" xfId="35454" xr:uid="{00000000-0005-0000-0000-0000818A0000}"/>
    <cellStyle name="Normal 2 8 2 7 3 2 2 3" xfId="35455" xr:uid="{00000000-0005-0000-0000-0000828A0000}"/>
    <cellStyle name="Normal 2 8 2 7 3 2 3" xfId="35456" xr:uid="{00000000-0005-0000-0000-0000838A0000}"/>
    <cellStyle name="Normal 2 8 2 7 3 2 4" xfId="35457" xr:uid="{00000000-0005-0000-0000-0000848A0000}"/>
    <cellStyle name="Normal 2 8 2 7 3 2 5" xfId="35458" xr:uid="{00000000-0005-0000-0000-0000858A0000}"/>
    <cellStyle name="Normal 2 8 2 7 3 2 6" xfId="35459" xr:uid="{00000000-0005-0000-0000-0000868A0000}"/>
    <cellStyle name="Normal 2 8 2 7 3 3" xfId="35460" xr:uid="{00000000-0005-0000-0000-0000878A0000}"/>
    <cellStyle name="Normal 2 8 2 7 3 3 2" xfId="35461" xr:uid="{00000000-0005-0000-0000-0000888A0000}"/>
    <cellStyle name="Normal 2 8 2 7 3 3 2 2" xfId="35462" xr:uid="{00000000-0005-0000-0000-0000898A0000}"/>
    <cellStyle name="Normal 2 8 2 7 3 3 3" xfId="35463" xr:uid="{00000000-0005-0000-0000-00008A8A0000}"/>
    <cellStyle name="Normal 2 8 2 7 3 3 4" xfId="35464" xr:uid="{00000000-0005-0000-0000-00008B8A0000}"/>
    <cellStyle name="Normal 2 8 2 7 3 3 5" xfId="35465" xr:uid="{00000000-0005-0000-0000-00008C8A0000}"/>
    <cellStyle name="Normal 2 8 2 7 3 4" xfId="35466" xr:uid="{00000000-0005-0000-0000-00008D8A0000}"/>
    <cellStyle name="Normal 2 8 2 7 3 4 2" xfId="35467" xr:uid="{00000000-0005-0000-0000-00008E8A0000}"/>
    <cellStyle name="Normal 2 8 2 7 3 4 3" xfId="35468" xr:uid="{00000000-0005-0000-0000-00008F8A0000}"/>
    <cellStyle name="Normal 2 8 2 7 3 4 4" xfId="35469" xr:uid="{00000000-0005-0000-0000-0000908A0000}"/>
    <cellStyle name="Normal 2 8 2 7 3 5" xfId="35470" xr:uid="{00000000-0005-0000-0000-0000918A0000}"/>
    <cellStyle name="Normal 2 8 2 7 3 5 2" xfId="35471" xr:uid="{00000000-0005-0000-0000-0000928A0000}"/>
    <cellStyle name="Normal 2 8 2 7 3 6" xfId="35472" xr:uid="{00000000-0005-0000-0000-0000938A0000}"/>
    <cellStyle name="Normal 2 8 2 7 3 7" xfId="35473" xr:uid="{00000000-0005-0000-0000-0000948A0000}"/>
    <cellStyle name="Normal 2 8 2 7 3 8" xfId="35474" xr:uid="{00000000-0005-0000-0000-0000958A0000}"/>
    <cellStyle name="Normal 2 8 2 7 3 9" xfId="35475" xr:uid="{00000000-0005-0000-0000-0000968A0000}"/>
    <cellStyle name="Normal 2 8 2 7 4" xfId="35476" xr:uid="{00000000-0005-0000-0000-0000978A0000}"/>
    <cellStyle name="Normal 2 8 2 7 4 2" xfId="35477" xr:uid="{00000000-0005-0000-0000-0000988A0000}"/>
    <cellStyle name="Normal 2 8 2 7 4 2 2" xfId="35478" xr:uid="{00000000-0005-0000-0000-0000998A0000}"/>
    <cellStyle name="Normal 2 8 2 7 4 2 3" xfId="35479" xr:uid="{00000000-0005-0000-0000-00009A8A0000}"/>
    <cellStyle name="Normal 2 8 2 7 4 3" xfId="35480" xr:uid="{00000000-0005-0000-0000-00009B8A0000}"/>
    <cellStyle name="Normal 2 8 2 7 4 4" xfId="35481" xr:uid="{00000000-0005-0000-0000-00009C8A0000}"/>
    <cellStyle name="Normal 2 8 2 7 4 5" xfId="35482" xr:uid="{00000000-0005-0000-0000-00009D8A0000}"/>
    <cellStyle name="Normal 2 8 2 7 4 6" xfId="35483" xr:uid="{00000000-0005-0000-0000-00009E8A0000}"/>
    <cellStyle name="Normal 2 8 2 7 5" xfId="35484" xr:uid="{00000000-0005-0000-0000-00009F8A0000}"/>
    <cellStyle name="Normal 2 8 2 7 5 2" xfId="35485" xr:uid="{00000000-0005-0000-0000-0000A08A0000}"/>
    <cellStyle name="Normal 2 8 2 7 5 2 2" xfId="35486" xr:uid="{00000000-0005-0000-0000-0000A18A0000}"/>
    <cellStyle name="Normal 2 8 2 7 5 3" xfId="35487" xr:uid="{00000000-0005-0000-0000-0000A28A0000}"/>
    <cellStyle name="Normal 2 8 2 7 5 4" xfId="35488" xr:uid="{00000000-0005-0000-0000-0000A38A0000}"/>
    <cellStyle name="Normal 2 8 2 7 5 5" xfId="35489" xr:uid="{00000000-0005-0000-0000-0000A48A0000}"/>
    <cellStyle name="Normal 2 8 2 7 6" xfId="35490" xr:uid="{00000000-0005-0000-0000-0000A58A0000}"/>
    <cellStyle name="Normal 2 8 2 7 6 2" xfId="35491" xr:uid="{00000000-0005-0000-0000-0000A68A0000}"/>
    <cellStyle name="Normal 2 8 2 7 6 3" xfId="35492" xr:uid="{00000000-0005-0000-0000-0000A78A0000}"/>
    <cellStyle name="Normal 2 8 2 7 6 4" xfId="35493" xr:uid="{00000000-0005-0000-0000-0000A88A0000}"/>
    <cellStyle name="Normal 2 8 2 7 7" xfId="35494" xr:uid="{00000000-0005-0000-0000-0000A98A0000}"/>
    <cellStyle name="Normal 2 8 2 7 7 2" xfId="35495" xr:uid="{00000000-0005-0000-0000-0000AA8A0000}"/>
    <cellStyle name="Normal 2 8 2 7 8" xfId="35496" xr:uid="{00000000-0005-0000-0000-0000AB8A0000}"/>
    <cellStyle name="Normal 2 8 2 7 9" xfId="35497" xr:uid="{00000000-0005-0000-0000-0000AC8A0000}"/>
    <cellStyle name="Normal 2 8 2 8" xfId="35498" xr:uid="{00000000-0005-0000-0000-0000AD8A0000}"/>
    <cellStyle name="Normal 2 8 2 8 10" xfId="35499" xr:uid="{00000000-0005-0000-0000-0000AE8A0000}"/>
    <cellStyle name="Normal 2 8 2 8 2" xfId="35500" xr:uid="{00000000-0005-0000-0000-0000AF8A0000}"/>
    <cellStyle name="Normal 2 8 2 8 2 2" xfId="35501" xr:uid="{00000000-0005-0000-0000-0000B08A0000}"/>
    <cellStyle name="Normal 2 8 2 8 2 2 2" xfId="35502" xr:uid="{00000000-0005-0000-0000-0000B18A0000}"/>
    <cellStyle name="Normal 2 8 2 8 2 2 3" xfId="35503" xr:uid="{00000000-0005-0000-0000-0000B28A0000}"/>
    <cellStyle name="Normal 2 8 2 8 2 3" xfId="35504" xr:uid="{00000000-0005-0000-0000-0000B38A0000}"/>
    <cellStyle name="Normal 2 8 2 8 2 4" xfId="35505" xr:uid="{00000000-0005-0000-0000-0000B48A0000}"/>
    <cellStyle name="Normal 2 8 2 8 2 5" xfId="35506" xr:uid="{00000000-0005-0000-0000-0000B58A0000}"/>
    <cellStyle name="Normal 2 8 2 8 2 6" xfId="35507" xr:uid="{00000000-0005-0000-0000-0000B68A0000}"/>
    <cellStyle name="Normal 2 8 2 8 3" xfId="35508" xr:uid="{00000000-0005-0000-0000-0000B78A0000}"/>
    <cellStyle name="Normal 2 8 2 8 3 2" xfId="35509" xr:uid="{00000000-0005-0000-0000-0000B88A0000}"/>
    <cellStyle name="Normal 2 8 2 8 3 2 2" xfId="35510" xr:uid="{00000000-0005-0000-0000-0000B98A0000}"/>
    <cellStyle name="Normal 2 8 2 8 3 2 3" xfId="35511" xr:uid="{00000000-0005-0000-0000-0000BA8A0000}"/>
    <cellStyle name="Normal 2 8 2 8 3 3" xfId="35512" xr:uid="{00000000-0005-0000-0000-0000BB8A0000}"/>
    <cellStyle name="Normal 2 8 2 8 3 4" xfId="35513" xr:uid="{00000000-0005-0000-0000-0000BC8A0000}"/>
    <cellStyle name="Normal 2 8 2 8 3 5" xfId="35514" xr:uid="{00000000-0005-0000-0000-0000BD8A0000}"/>
    <cellStyle name="Normal 2 8 2 8 3 6" xfId="35515" xr:uid="{00000000-0005-0000-0000-0000BE8A0000}"/>
    <cellStyle name="Normal 2 8 2 8 4" xfId="35516" xr:uid="{00000000-0005-0000-0000-0000BF8A0000}"/>
    <cellStyle name="Normal 2 8 2 8 4 2" xfId="35517" xr:uid="{00000000-0005-0000-0000-0000C08A0000}"/>
    <cellStyle name="Normal 2 8 2 8 4 2 2" xfId="35518" xr:uid="{00000000-0005-0000-0000-0000C18A0000}"/>
    <cellStyle name="Normal 2 8 2 8 4 3" xfId="35519" xr:uid="{00000000-0005-0000-0000-0000C28A0000}"/>
    <cellStyle name="Normal 2 8 2 8 4 4" xfId="35520" xr:uid="{00000000-0005-0000-0000-0000C38A0000}"/>
    <cellStyle name="Normal 2 8 2 8 4 5" xfId="35521" xr:uid="{00000000-0005-0000-0000-0000C48A0000}"/>
    <cellStyle name="Normal 2 8 2 8 5" xfId="35522" xr:uid="{00000000-0005-0000-0000-0000C58A0000}"/>
    <cellStyle name="Normal 2 8 2 8 5 2" xfId="35523" xr:uid="{00000000-0005-0000-0000-0000C68A0000}"/>
    <cellStyle name="Normal 2 8 2 8 5 3" xfId="35524" xr:uid="{00000000-0005-0000-0000-0000C78A0000}"/>
    <cellStyle name="Normal 2 8 2 8 5 4" xfId="35525" xr:uid="{00000000-0005-0000-0000-0000C88A0000}"/>
    <cellStyle name="Normal 2 8 2 8 6" xfId="35526" xr:uid="{00000000-0005-0000-0000-0000C98A0000}"/>
    <cellStyle name="Normal 2 8 2 8 6 2" xfId="35527" xr:uid="{00000000-0005-0000-0000-0000CA8A0000}"/>
    <cellStyle name="Normal 2 8 2 8 7" xfId="35528" xr:uid="{00000000-0005-0000-0000-0000CB8A0000}"/>
    <cellStyle name="Normal 2 8 2 8 8" xfId="35529" xr:uid="{00000000-0005-0000-0000-0000CC8A0000}"/>
    <cellStyle name="Normal 2 8 2 8 9" xfId="35530" xr:uid="{00000000-0005-0000-0000-0000CD8A0000}"/>
    <cellStyle name="Normal 2 8 2 9" xfId="35531" xr:uid="{00000000-0005-0000-0000-0000CE8A0000}"/>
    <cellStyle name="Normal 2 8 2 9 10" xfId="35532" xr:uid="{00000000-0005-0000-0000-0000CF8A0000}"/>
    <cellStyle name="Normal 2 8 2 9 2" xfId="35533" xr:uid="{00000000-0005-0000-0000-0000D08A0000}"/>
    <cellStyle name="Normal 2 8 2 9 2 2" xfId="35534" xr:uid="{00000000-0005-0000-0000-0000D18A0000}"/>
    <cellStyle name="Normal 2 8 2 9 2 2 2" xfId="35535" xr:uid="{00000000-0005-0000-0000-0000D28A0000}"/>
    <cellStyle name="Normal 2 8 2 9 2 2 3" xfId="35536" xr:uid="{00000000-0005-0000-0000-0000D38A0000}"/>
    <cellStyle name="Normal 2 8 2 9 2 3" xfId="35537" xr:uid="{00000000-0005-0000-0000-0000D48A0000}"/>
    <cellStyle name="Normal 2 8 2 9 2 4" xfId="35538" xr:uid="{00000000-0005-0000-0000-0000D58A0000}"/>
    <cellStyle name="Normal 2 8 2 9 2 5" xfId="35539" xr:uid="{00000000-0005-0000-0000-0000D68A0000}"/>
    <cellStyle name="Normal 2 8 2 9 2 6" xfId="35540" xr:uid="{00000000-0005-0000-0000-0000D78A0000}"/>
    <cellStyle name="Normal 2 8 2 9 3" xfId="35541" xr:uid="{00000000-0005-0000-0000-0000D88A0000}"/>
    <cellStyle name="Normal 2 8 2 9 3 2" xfId="35542" xr:uid="{00000000-0005-0000-0000-0000D98A0000}"/>
    <cellStyle name="Normal 2 8 2 9 3 2 2" xfId="35543" xr:uid="{00000000-0005-0000-0000-0000DA8A0000}"/>
    <cellStyle name="Normal 2 8 2 9 3 2 3" xfId="35544" xr:uid="{00000000-0005-0000-0000-0000DB8A0000}"/>
    <cellStyle name="Normal 2 8 2 9 3 3" xfId="35545" xr:uid="{00000000-0005-0000-0000-0000DC8A0000}"/>
    <cellStyle name="Normal 2 8 2 9 3 4" xfId="35546" xr:uid="{00000000-0005-0000-0000-0000DD8A0000}"/>
    <cellStyle name="Normal 2 8 2 9 3 5" xfId="35547" xr:uid="{00000000-0005-0000-0000-0000DE8A0000}"/>
    <cellStyle name="Normal 2 8 2 9 3 6" xfId="35548" xr:uid="{00000000-0005-0000-0000-0000DF8A0000}"/>
    <cellStyle name="Normal 2 8 2 9 4" xfId="35549" xr:uid="{00000000-0005-0000-0000-0000E08A0000}"/>
    <cellStyle name="Normal 2 8 2 9 4 2" xfId="35550" xr:uid="{00000000-0005-0000-0000-0000E18A0000}"/>
    <cellStyle name="Normal 2 8 2 9 4 2 2" xfId="35551" xr:uid="{00000000-0005-0000-0000-0000E28A0000}"/>
    <cellStyle name="Normal 2 8 2 9 4 3" xfId="35552" xr:uid="{00000000-0005-0000-0000-0000E38A0000}"/>
    <cellStyle name="Normal 2 8 2 9 4 4" xfId="35553" xr:uid="{00000000-0005-0000-0000-0000E48A0000}"/>
    <cellStyle name="Normal 2 8 2 9 4 5" xfId="35554" xr:uid="{00000000-0005-0000-0000-0000E58A0000}"/>
    <cellStyle name="Normal 2 8 2 9 5" xfId="35555" xr:uid="{00000000-0005-0000-0000-0000E68A0000}"/>
    <cellStyle name="Normal 2 8 2 9 5 2" xfId="35556" xr:uid="{00000000-0005-0000-0000-0000E78A0000}"/>
    <cellStyle name="Normal 2 8 2 9 5 3" xfId="35557" xr:uid="{00000000-0005-0000-0000-0000E88A0000}"/>
    <cellStyle name="Normal 2 8 2 9 5 4" xfId="35558" xr:uid="{00000000-0005-0000-0000-0000E98A0000}"/>
    <cellStyle name="Normal 2 8 2 9 6" xfId="35559" xr:uid="{00000000-0005-0000-0000-0000EA8A0000}"/>
    <cellStyle name="Normal 2 8 2 9 6 2" xfId="35560" xr:uid="{00000000-0005-0000-0000-0000EB8A0000}"/>
    <cellStyle name="Normal 2 8 2 9 7" xfId="35561" xr:uid="{00000000-0005-0000-0000-0000EC8A0000}"/>
    <cellStyle name="Normal 2 8 2 9 8" xfId="35562" xr:uid="{00000000-0005-0000-0000-0000ED8A0000}"/>
    <cellStyle name="Normal 2 8 2 9 9" xfId="35563" xr:uid="{00000000-0005-0000-0000-0000EE8A0000}"/>
    <cellStyle name="Normal 2 8 20" xfId="35564" xr:uid="{00000000-0005-0000-0000-0000EF8A0000}"/>
    <cellStyle name="Normal 2 8 20 10" xfId="35565" xr:uid="{00000000-0005-0000-0000-0000F08A0000}"/>
    <cellStyle name="Normal 2 8 20 2" xfId="35566" xr:uid="{00000000-0005-0000-0000-0000F18A0000}"/>
    <cellStyle name="Normal 2 8 20 2 2" xfId="35567" xr:uid="{00000000-0005-0000-0000-0000F28A0000}"/>
    <cellStyle name="Normal 2 8 20 2 2 2" xfId="35568" xr:uid="{00000000-0005-0000-0000-0000F38A0000}"/>
    <cellStyle name="Normal 2 8 20 2 2 3" xfId="35569" xr:uid="{00000000-0005-0000-0000-0000F48A0000}"/>
    <cellStyle name="Normal 2 8 20 2 3" xfId="35570" xr:uid="{00000000-0005-0000-0000-0000F58A0000}"/>
    <cellStyle name="Normal 2 8 20 2 4" xfId="35571" xr:uid="{00000000-0005-0000-0000-0000F68A0000}"/>
    <cellStyle name="Normal 2 8 20 2 5" xfId="35572" xr:uid="{00000000-0005-0000-0000-0000F78A0000}"/>
    <cellStyle name="Normal 2 8 20 2 6" xfId="35573" xr:uid="{00000000-0005-0000-0000-0000F88A0000}"/>
    <cellStyle name="Normal 2 8 20 3" xfId="35574" xr:uid="{00000000-0005-0000-0000-0000F98A0000}"/>
    <cellStyle name="Normal 2 8 20 3 2" xfId="35575" xr:uid="{00000000-0005-0000-0000-0000FA8A0000}"/>
    <cellStyle name="Normal 2 8 20 3 2 2" xfId="35576" xr:uid="{00000000-0005-0000-0000-0000FB8A0000}"/>
    <cellStyle name="Normal 2 8 20 3 2 3" xfId="35577" xr:uid="{00000000-0005-0000-0000-0000FC8A0000}"/>
    <cellStyle name="Normal 2 8 20 3 3" xfId="35578" xr:uid="{00000000-0005-0000-0000-0000FD8A0000}"/>
    <cellStyle name="Normal 2 8 20 3 4" xfId="35579" xr:uid="{00000000-0005-0000-0000-0000FE8A0000}"/>
    <cellStyle name="Normal 2 8 20 3 5" xfId="35580" xr:uid="{00000000-0005-0000-0000-0000FF8A0000}"/>
    <cellStyle name="Normal 2 8 20 3 6" xfId="35581" xr:uid="{00000000-0005-0000-0000-0000008B0000}"/>
    <cellStyle name="Normal 2 8 20 4" xfId="35582" xr:uid="{00000000-0005-0000-0000-0000018B0000}"/>
    <cellStyle name="Normal 2 8 20 4 2" xfId="35583" xr:uid="{00000000-0005-0000-0000-0000028B0000}"/>
    <cellStyle name="Normal 2 8 20 4 2 2" xfId="35584" xr:uid="{00000000-0005-0000-0000-0000038B0000}"/>
    <cellStyle name="Normal 2 8 20 4 3" xfId="35585" xr:uid="{00000000-0005-0000-0000-0000048B0000}"/>
    <cellStyle name="Normal 2 8 20 4 4" xfId="35586" xr:uid="{00000000-0005-0000-0000-0000058B0000}"/>
    <cellStyle name="Normal 2 8 20 4 5" xfId="35587" xr:uid="{00000000-0005-0000-0000-0000068B0000}"/>
    <cellStyle name="Normal 2 8 20 5" xfId="35588" xr:uid="{00000000-0005-0000-0000-0000078B0000}"/>
    <cellStyle name="Normal 2 8 20 5 2" xfId="35589" xr:uid="{00000000-0005-0000-0000-0000088B0000}"/>
    <cellStyle name="Normal 2 8 20 5 3" xfId="35590" xr:uid="{00000000-0005-0000-0000-0000098B0000}"/>
    <cellStyle name="Normal 2 8 20 5 4" xfId="35591" xr:uid="{00000000-0005-0000-0000-00000A8B0000}"/>
    <cellStyle name="Normal 2 8 20 6" xfId="35592" xr:uid="{00000000-0005-0000-0000-00000B8B0000}"/>
    <cellStyle name="Normal 2 8 20 6 2" xfId="35593" xr:uid="{00000000-0005-0000-0000-00000C8B0000}"/>
    <cellStyle name="Normal 2 8 20 7" xfId="35594" xr:uid="{00000000-0005-0000-0000-00000D8B0000}"/>
    <cellStyle name="Normal 2 8 20 8" xfId="35595" xr:uid="{00000000-0005-0000-0000-00000E8B0000}"/>
    <cellStyle name="Normal 2 8 20 9" xfId="35596" xr:uid="{00000000-0005-0000-0000-00000F8B0000}"/>
    <cellStyle name="Normal 2 8 21" xfId="35597" xr:uid="{00000000-0005-0000-0000-0000108B0000}"/>
    <cellStyle name="Normal 2 8 21 10" xfId="35598" xr:uid="{00000000-0005-0000-0000-0000118B0000}"/>
    <cellStyle name="Normal 2 8 21 2" xfId="35599" xr:uid="{00000000-0005-0000-0000-0000128B0000}"/>
    <cellStyle name="Normal 2 8 21 2 2" xfId="35600" xr:uid="{00000000-0005-0000-0000-0000138B0000}"/>
    <cellStyle name="Normal 2 8 21 2 2 2" xfId="35601" xr:uid="{00000000-0005-0000-0000-0000148B0000}"/>
    <cellStyle name="Normal 2 8 21 2 2 3" xfId="35602" xr:uid="{00000000-0005-0000-0000-0000158B0000}"/>
    <cellStyle name="Normal 2 8 21 2 3" xfId="35603" xr:uid="{00000000-0005-0000-0000-0000168B0000}"/>
    <cellStyle name="Normal 2 8 21 2 4" xfId="35604" xr:uid="{00000000-0005-0000-0000-0000178B0000}"/>
    <cellStyle name="Normal 2 8 21 2 5" xfId="35605" xr:uid="{00000000-0005-0000-0000-0000188B0000}"/>
    <cellStyle name="Normal 2 8 21 2 6" xfId="35606" xr:uid="{00000000-0005-0000-0000-0000198B0000}"/>
    <cellStyle name="Normal 2 8 21 3" xfId="35607" xr:uid="{00000000-0005-0000-0000-00001A8B0000}"/>
    <cellStyle name="Normal 2 8 21 3 2" xfId="35608" xr:uid="{00000000-0005-0000-0000-00001B8B0000}"/>
    <cellStyle name="Normal 2 8 21 3 2 2" xfId="35609" xr:uid="{00000000-0005-0000-0000-00001C8B0000}"/>
    <cellStyle name="Normal 2 8 21 3 2 3" xfId="35610" xr:uid="{00000000-0005-0000-0000-00001D8B0000}"/>
    <cellStyle name="Normal 2 8 21 3 3" xfId="35611" xr:uid="{00000000-0005-0000-0000-00001E8B0000}"/>
    <cellStyle name="Normal 2 8 21 3 4" xfId="35612" xr:uid="{00000000-0005-0000-0000-00001F8B0000}"/>
    <cellStyle name="Normal 2 8 21 3 5" xfId="35613" xr:uid="{00000000-0005-0000-0000-0000208B0000}"/>
    <cellStyle name="Normal 2 8 21 3 6" xfId="35614" xr:uid="{00000000-0005-0000-0000-0000218B0000}"/>
    <cellStyle name="Normal 2 8 21 4" xfId="35615" xr:uid="{00000000-0005-0000-0000-0000228B0000}"/>
    <cellStyle name="Normal 2 8 21 4 2" xfId="35616" xr:uid="{00000000-0005-0000-0000-0000238B0000}"/>
    <cellStyle name="Normal 2 8 21 4 2 2" xfId="35617" xr:uid="{00000000-0005-0000-0000-0000248B0000}"/>
    <cellStyle name="Normal 2 8 21 4 3" xfId="35618" xr:uid="{00000000-0005-0000-0000-0000258B0000}"/>
    <cellStyle name="Normal 2 8 21 4 4" xfId="35619" xr:uid="{00000000-0005-0000-0000-0000268B0000}"/>
    <cellStyle name="Normal 2 8 21 4 5" xfId="35620" xr:uid="{00000000-0005-0000-0000-0000278B0000}"/>
    <cellStyle name="Normal 2 8 21 5" xfId="35621" xr:uid="{00000000-0005-0000-0000-0000288B0000}"/>
    <cellStyle name="Normal 2 8 21 5 2" xfId="35622" xr:uid="{00000000-0005-0000-0000-0000298B0000}"/>
    <cellStyle name="Normal 2 8 21 5 3" xfId="35623" xr:uid="{00000000-0005-0000-0000-00002A8B0000}"/>
    <cellStyle name="Normal 2 8 21 5 4" xfId="35624" xr:uid="{00000000-0005-0000-0000-00002B8B0000}"/>
    <cellStyle name="Normal 2 8 21 6" xfId="35625" xr:uid="{00000000-0005-0000-0000-00002C8B0000}"/>
    <cellStyle name="Normal 2 8 21 6 2" xfId="35626" xr:uid="{00000000-0005-0000-0000-00002D8B0000}"/>
    <cellStyle name="Normal 2 8 21 7" xfId="35627" xr:uid="{00000000-0005-0000-0000-00002E8B0000}"/>
    <cellStyle name="Normal 2 8 21 8" xfId="35628" xr:uid="{00000000-0005-0000-0000-00002F8B0000}"/>
    <cellStyle name="Normal 2 8 21 9" xfId="35629" xr:uid="{00000000-0005-0000-0000-0000308B0000}"/>
    <cellStyle name="Normal 2 8 22" xfId="35630" xr:uid="{00000000-0005-0000-0000-0000318B0000}"/>
    <cellStyle name="Normal 2 8 22 10" xfId="35631" xr:uid="{00000000-0005-0000-0000-0000328B0000}"/>
    <cellStyle name="Normal 2 8 22 2" xfId="35632" xr:uid="{00000000-0005-0000-0000-0000338B0000}"/>
    <cellStyle name="Normal 2 8 22 2 2" xfId="35633" xr:uid="{00000000-0005-0000-0000-0000348B0000}"/>
    <cellStyle name="Normal 2 8 22 2 2 2" xfId="35634" xr:uid="{00000000-0005-0000-0000-0000358B0000}"/>
    <cellStyle name="Normal 2 8 22 2 2 3" xfId="35635" xr:uid="{00000000-0005-0000-0000-0000368B0000}"/>
    <cellStyle name="Normal 2 8 22 2 3" xfId="35636" xr:uid="{00000000-0005-0000-0000-0000378B0000}"/>
    <cellStyle name="Normal 2 8 22 2 4" xfId="35637" xr:uid="{00000000-0005-0000-0000-0000388B0000}"/>
    <cellStyle name="Normal 2 8 22 2 5" xfId="35638" xr:uid="{00000000-0005-0000-0000-0000398B0000}"/>
    <cellStyle name="Normal 2 8 22 2 6" xfId="35639" xr:uid="{00000000-0005-0000-0000-00003A8B0000}"/>
    <cellStyle name="Normal 2 8 22 3" xfId="35640" xr:uid="{00000000-0005-0000-0000-00003B8B0000}"/>
    <cellStyle name="Normal 2 8 22 3 2" xfId="35641" xr:uid="{00000000-0005-0000-0000-00003C8B0000}"/>
    <cellStyle name="Normal 2 8 22 3 2 2" xfId="35642" xr:uid="{00000000-0005-0000-0000-00003D8B0000}"/>
    <cellStyle name="Normal 2 8 22 3 2 3" xfId="35643" xr:uid="{00000000-0005-0000-0000-00003E8B0000}"/>
    <cellStyle name="Normal 2 8 22 3 3" xfId="35644" xr:uid="{00000000-0005-0000-0000-00003F8B0000}"/>
    <cellStyle name="Normal 2 8 22 3 4" xfId="35645" xr:uid="{00000000-0005-0000-0000-0000408B0000}"/>
    <cellStyle name="Normal 2 8 22 3 5" xfId="35646" xr:uid="{00000000-0005-0000-0000-0000418B0000}"/>
    <cellStyle name="Normal 2 8 22 3 6" xfId="35647" xr:uid="{00000000-0005-0000-0000-0000428B0000}"/>
    <cellStyle name="Normal 2 8 22 4" xfId="35648" xr:uid="{00000000-0005-0000-0000-0000438B0000}"/>
    <cellStyle name="Normal 2 8 22 4 2" xfId="35649" xr:uid="{00000000-0005-0000-0000-0000448B0000}"/>
    <cellStyle name="Normal 2 8 22 4 2 2" xfId="35650" xr:uid="{00000000-0005-0000-0000-0000458B0000}"/>
    <cellStyle name="Normal 2 8 22 4 3" xfId="35651" xr:uid="{00000000-0005-0000-0000-0000468B0000}"/>
    <cellStyle name="Normal 2 8 22 4 4" xfId="35652" xr:uid="{00000000-0005-0000-0000-0000478B0000}"/>
    <cellStyle name="Normal 2 8 22 4 5" xfId="35653" xr:uid="{00000000-0005-0000-0000-0000488B0000}"/>
    <cellStyle name="Normal 2 8 22 5" xfId="35654" xr:uid="{00000000-0005-0000-0000-0000498B0000}"/>
    <cellStyle name="Normal 2 8 22 5 2" xfId="35655" xr:uid="{00000000-0005-0000-0000-00004A8B0000}"/>
    <cellStyle name="Normal 2 8 22 5 3" xfId="35656" xr:uid="{00000000-0005-0000-0000-00004B8B0000}"/>
    <cellStyle name="Normal 2 8 22 5 4" xfId="35657" xr:uid="{00000000-0005-0000-0000-00004C8B0000}"/>
    <cellStyle name="Normal 2 8 22 6" xfId="35658" xr:uid="{00000000-0005-0000-0000-00004D8B0000}"/>
    <cellStyle name="Normal 2 8 22 6 2" xfId="35659" xr:uid="{00000000-0005-0000-0000-00004E8B0000}"/>
    <cellStyle name="Normal 2 8 22 7" xfId="35660" xr:uid="{00000000-0005-0000-0000-00004F8B0000}"/>
    <cellStyle name="Normal 2 8 22 8" xfId="35661" xr:uid="{00000000-0005-0000-0000-0000508B0000}"/>
    <cellStyle name="Normal 2 8 22 9" xfId="35662" xr:uid="{00000000-0005-0000-0000-0000518B0000}"/>
    <cellStyle name="Normal 2 8 23" xfId="35663" xr:uid="{00000000-0005-0000-0000-0000528B0000}"/>
    <cellStyle name="Normal 2 8 23 10" xfId="35664" xr:uid="{00000000-0005-0000-0000-0000538B0000}"/>
    <cellStyle name="Normal 2 8 23 2" xfId="35665" xr:uid="{00000000-0005-0000-0000-0000548B0000}"/>
    <cellStyle name="Normal 2 8 23 2 2" xfId="35666" xr:uid="{00000000-0005-0000-0000-0000558B0000}"/>
    <cellStyle name="Normal 2 8 23 2 2 2" xfId="35667" xr:uid="{00000000-0005-0000-0000-0000568B0000}"/>
    <cellStyle name="Normal 2 8 23 2 2 3" xfId="35668" xr:uid="{00000000-0005-0000-0000-0000578B0000}"/>
    <cellStyle name="Normal 2 8 23 2 3" xfId="35669" xr:uid="{00000000-0005-0000-0000-0000588B0000}"/>
    <cellStyle name="Normal 2 8 23 2 4" xfId="35670" xr:uid="{00000000-0005-0000-0000-0000598B0000}"/>
    <cellStyle name="Normal 2 8 23 2 5" xfId="35671" xr:uid="{00000000-0005-0000-0000-00005A8B0000}"/>
    <cellStyle name="Normal 2 8 23 2 6" xfId="35672" xr:uid="{00000000-0005-0000-0000-00005B8B0000}"/>
    <cellStyle name="Normal 2 8 23 3" xfId="35673" xr:uid="{00000000-0005-0000-0000-00005C8B0000}"/>
    <cellStyle name="Normal 2 8 23 3 2" xfId="35674" xr:uid="{00000000-0005-0000-0000-00005D8B0000}"/>
    <cellStyle name="Normal 2 8 23 3 2 2" xfId="35675" xr:uid="{00000000-0005-0000-0000-00005E8B0000}"/>
    <cellStyle name="Normal 2 8 23 3 2 3" xfId="35676" xr:uid="{00000000-0005-0000-0000-00005F8B0000}"/>
    <cellStyle name="Normal 2 8 23 3 3" xfId="35677" xr:uid="{00000000-0005-0000-0000-0000608B0000}"/>
    <cellStyle name="Normal 2 8 23 3 4" xfId="35678" xr:uid="{00000000-0005-0000-0000-0000618B0000}"/>
    <cellStyle name="Normal 2 8 23 3 5" xfId="35679" xr:uid="{00000000-0005-0000-0000-0000628B0000}"/>
    <cellStyle name="Normal 2 8 23 3 6" xfId="35680" xr:uid="{00000000-0005-0000-0000-0000638B0000}"/>
    <cellStyle name="Normal 2 8 23 4" xfId="35681" xr:uid="{00000000-0005-0000-0000-0000648B0000}"/>
    <cellStyle name="Normal 2 8 23 4 2" xfId="35682" xr:uid="{00000000-0005-0000-0000-0000658B0000}"/>
    <cellStyle name="Normal 2 8 23 4 2 2" xfId="35683" xr:uid="{00000000-0005-0000-0000-0000668B0000}"/>
    <cellStyle name="Normal 2 8 23 4 3" xfId="35684" xr:uid="{00000000-0005-0000-0000-0000678B0000}"/>
    <cellStyle name="Normal 2 8 23 4 4" xfId="35685" xr:uid="{00000000-0005-0000-0000-0000688B0000}"/>
    <cellStyle name="Normal 2 8 23 4 5" xfId="35686" xr:uid="{00000000-0005-0000-0000-0000698B0000}"/>
    <cellStyle name="Normal 2 8 23 5" xfId="35687" xr:uid="{00000000-0005-0000-0000-00006A8B0000}"/>
    <cellStyle name="Normal 2 8 23 5 2" xfId="35688" xr:uid="{00000000-0005-0000-0000-00006B8B0000}"/>
    <cellStyle name="Normal 2 8 23 5 3" xfId="35689" xr:uid="{00000000-0005-0000-0000-00006C8B0000}"/>
    <cellStyle name="Normal 2 8 23 5 4" xfId="35690" xr:uid="{00000000-0005-0000-0000-00006D8B0000}"/>
    <cellStyle name="Normal 2 8 23 6" xfId="35691" xr:uid="{00000000-0005-0000-0000-00006E8B0000}"/>
    <cellStyle name="Normal 2 8 23 6 2" xfId="35692" xr:uid="{00000000-0005-0000-0000-00006F8B0000}"/>
    <cellStyle name="Normal 2 8 23 7" xfId="35693" xr:uid="{00000000-0005-0000-0000-0000708B0000}"/>
    <cellStyle name="Normal 2 8 23 8" xfId="35694" xr:uid="{00000000-0005-0000-0000-0000718B0000}"/>
    <cellStyle name="Normal 2 8 23 9" xfId="35695" xr:uid="{00000000-0005-0000-0000-0000728B0000}"/>
    <cellStyle name="Normal 2 8 24" xfId="35696" xr:uid="{00000000-0005-0000-0000-0000738B0000}"/>
    <cellStyle name="Normal 2 8 24 10" xfId="35697" xr:uid="{00000000-0005-0000-0000-0000748B0000}"/>
    <cellStyle name="Normal 2 8 24 2" xfId="35698" xr:uid="{00000000-0005-0000-0000-0000758B0000}"/>
    <cellStyle name="Normal 2 8 24 2 2" xfId="35699" xr:uid="{00000000-0005-0000-0000-0000768B0000}"/>
    <cellStyle name="Normal 2 8 24 2 2 2" xfId="35700" xr:uid="{00000000-0005-0000-0000-0000778B0000}"/>
    <cellStyle name="Normal 2 8 24 2 2 3" xfId="35701" xr:uid="{00000000-0005-0000-0000-0000788B0000}"/>
    <cellStyle name="Normal 2 8 24 2 3" xfId="35702" xr:uid="{00000000-0005-0000-0000-0000798B0000}"/>
    <cellStyle name="Normal 2 8 24 2 4" xfId="35703" xr:uid="{00000000-0005-0000-0000-00007A8B0000}"/>
    <cellStyle name="Normal 2 8 24 2 5" xfId="35704" xr:uid="{00000000-0005-0000-0000-00007B8B0000}"/>
    <cellStyle name="Normal 2 8 24 2 6" xfId="35705" xr:uid="{00000000-0005-0000-0000-00007C8B0000}"/>
    <cellStyle name="Normal 2 8 24 3" xfId="35706" xr:uid="{00000000-0005-0000-0000-00007D8B0000}"/>
    <cellStyle name="Normal 2 8 24 3 2" xfId="35707" xr:uid="{00000000-0005-0000-0000-00007E8B0000}"/>
    <cellStyle name="Normal 2 8 24 3 2 2" xfId="35708" xr:uid="{00000000-0005-0000-0000-00007F8B0000}"/>
    <cellStyle name="Normal 2 8 24 3 2 3" xfId="35709" xr:uid="{00000000-0005-0000-0000-0000808B0000}"/>
    <cellStyle name="Normal 2 8 24 3 3" xfId="35710" xr:uid="{00000000-0005-0000-0000-0000818B0000}"/>
    <cellStyle name="Normal 2 8 24 3 4" xfId="35711" xr:uid="{00000000-0005-0000-0000-0000828B0000}"/>
    <cellStyle name="Normal 2 8 24 3 5" xfId="35712" xr:uid="{00000000-0005-0000-0000-0000838B0000}"/>
    <cellStyle name="Normal 2 8 24 3 6" xfId="35713" xr:uid="{00000000-0005-0000-0000-0000848B0000}"/>
    <cellStyle name="Normal 2 8 24 4" xfId="35714" xr:uid="{00000000-0005-0000-0000-0000858B0000}"/>
    <cellStyle name="Normal 2 8 24 4 2" xfId="35715" xr:uid="{00000000-0005-0000-0000-0000868B0000}"/>
    <cellStyle name="Normal 2 8 24 4 2 2" xfId="35716" xr:uid="{00000000-0005-0000-0000-0000878B0000}"/>
    <cellStyle name="Normal 2 8 24 4 3" xfId="35717" xr:uid="{00000000-0005-0000-0000-0000888B0000}"/>
    <cellStyle name="Normal 2 8 24 4 4" xfId="35718" xr:uid="{00000000-0005-0000-0000-0000898B0000}"/>
    <cellStyle name="Normal 2 8 24 4 5" xfId="35719" xr:uid="{00000000-0005-0000-0000-00008A8B0000}"/>
    <cellStyle name="Normal 2 8 24 5" xfId="35720" xr:uid="{00000000-0005-0000-0000-00008B8B0000}"/>
    <cellStyle name="Normal 2 8 24 5 2" xfId="35721" xr:uid="{00000000-0005-0000-0000-00008C8B0000}"/>
    <cellStyle name="Normal 2 8 24 5 3" xfId="35722" xr:uid="{00000000-0005-0000-0000-00008D8B0000}"/>
    <cellStyle name="Normal 2 8 24 5 4" xfId="35723" xr:uid="{00000000-0005-0000-0000-00008E8B0000}"/>
    <cellStyle name="Normal 2 8 24 6" xfId="35724" xr:uid="{00000000-0005-0000-0000-00008F8B0000}"/>
    <cellStyle name="Normal 2 8 24 6 2" xfId="35725" xr:uid="{00000000-0005-0000-0000-0000908B0000}"/>
    <cellStyle name="Normal 2 8 24 7" xfId="35726" xr:uid="{00000000-0005-0000-0000-0000918B0000}"/>
    <cellStyle name="Normal 2 8 24 8" xfId="35727" xr:uid="{00000000-0005-0000-0000-0000928B0000}"/>
    <cellStyle name="Normal 2 8 24 9" xfId="35728" xr:uid="{00000000-0005-0000-0000-0000938B0000}"/>
    <cellStyle name="Normal 2 8 25" xfId="35729" xr:uid="{00000000-0005-0000-0000-0000948B0000}"/>
    <cellStyle name="Normal 2 8 25 10" xfId="35730" xr:uid="{00000000-0005-0000-0000-0000958B0000}"/>
    <cellStyle name="Normal 2 8 25 2" xfId="35731" xr:uid="{00000000-0005-0000-0000-0000968B0000}"/>
    <cellStyle name="Normal 2 8 25 2 2" xfId="35732" xr:uid="{00000000-0005-0000-0000-0000978B0000}"/>
    <cellStyle name="Normal 2 8 25 2 2 2" xfId="35733" xr:uid="{00000000-0005-0000-0000-0000988B0000}"/>
    <cellStyle name="Normal 2 8 25 2 2 3" xfId="35734" xr:uid="{00000000-0005-0000-0000-0000998B0000}"/>
    <cellStyle name="Normal 2 8 25 2 3" xfId="35735" xr:uid="{00000000-0005-0000-0000-00009A8B0000}"/>
    <cellStyle name="Normal 2 8 25 2 4" xfId="35736" xr:uid="{00000000-0005-0000-0000-00009B8B0000}"/>
    <cellStyle name="Normal 2 8 25 2 5" xfId="35737" xr:uid="{00000000-0005-0000-0000-00009C8B0000}"/>
    <cellStyle name="Normal 2 8 25 2 6" xfId="35738" xr:uid="{00000000-0005-0000-0000-00009D8B0000}"/>
    <cellStyle name="Normal 2 8 25 3" xfId="35739" xr:uid="{00000000-0005-0000-0000-00009E8B0000}"/>
    <cellStyle name="Normal 2 8 25 3 2" xfId="35740" xr:uid="{00000000-0005-0000-0000-00009F8B0000}"/>
    <cellStyle name="Normal 2 8 25 3 2 2" xfId="35741" xr:uid="{00000000-0005-0000-0000-0000A08B0000}"/>
    <cellStyle name="Normal 2 8 25 3 2 3" xfId="35742" xr:uid="{00000000-0005-0000-0000-0000A18B0000}"/>
    <cellStyle name="Normal 2 8 25 3 3" xfId="35743" xr:uid="{00000000-0005-0000-0000-0000A28B0000}"/>
    <cellStyle name="Normal 2 8 25 3 4" xfId="35744" xr:uid="{00000000-0005-0000-0000-0000A38B0000}"/>
    <cellStyle name="Normal 2 8 25 3 5" xfId="35745" xr:uid="{00000000-0005-0000-0000-0000A48B0000}"/>
    <cellStyle name="Normal 2 8 25 3 6" xfId="35746" xr:uid="{00000000-0005-0000-0000-0000A58B0000}"/>
    <cellStyle name="Normal 2 8 25 4" xfId="35747" xr:uid="{00000000-0005-0000-0000-0000A68B0000}"/>
    <cellStyle name="Normal 2 8 25 4 2" xfId="35748" xr:uid="{00000000-0005-0000-0000-0000A78B0000}"/>
    <cellStyle name="Normal 2 8 25 4 2 2" xfId="35749" xr:uid="{00000000-0005-0000-0000-0000A88B0000}"/>
    <cellStyle name="Normal 2 8 25 4 3" xfId="35750" xr:uid="{00000000-0005-0000-0000-0000A98B0000}"/>
    <cellStyle name="Normal 2 8 25 4 4" xfId="35751" xr:uid="{00000000-0005-0000-0000-0000AA8B0000}"/>
    <cellStyle name="Normal 2 8 25 4 5" xfId="35752" xr:uid="{00000000-0005-0000-0000-0000AB8B0000}"/>
    <cellStyle name="Normal 2 8 25 5" xfId="35753" xr:uid="{00000000-0005-0000-0000-0000AC8B0000}"/>
    <cellStyle name="Normal 2 8 25 5 2" xfId="35754" xr:uid="{00000000-0005-0000-0000-0000AD8B0000}"/>
    <cellStyle name="Normal 2 8 25 5 3" xfId="35755" xr:uid="{00000000-0005-0000-0000-0000AE8B0000}"/>
    <cellStyle name="Normal 2 8 25 5 4" xfId="35756" xr:uid="{00000000-0005-0000-0000-0000AF8B0000}"/>
    <cellStyle name="Normal 2 8 25 6" xfId="35757" xr:uid="{00000000-0005-0000-0000-0000B08B0000}"/>
    <cellStyle name="Normal 2 8 25 6 2" xfId="35758" xr:uid="{00000000-0005-0000-0000-0000B18B0000}"/>
    <cellStyle name="Normal 2 8 25 7" xfId="35759" xr:uid="{00000000-0005-0000-0000-0000B28B0000}"/>
    <cellStyle name="Normal 2 8 25 8" xfId="35760" xr:uid="{00000000-0005-0000-0000-0000B38B0000}"/>
    <cellStyle name="Normal 2 8 25 9" xfId="35761" xr:uid="{00000000-0005-0000-0000-0000B48B0000}"/>
    <cellStyle name="Normal 2 8 26" xfId="35762" xr:uid="{00000000-0005-0000-0000-0000B58B0000}"/>
    <cellStyle name="Normal 2 8 26 10" xfId="35763" xr:uid="{00000000-0005-0000-0000-0000B68B0000}"/>
    <cellStyle name="Normal 2 8 26 2" xfId="35764" xr:uid="{00000000-0005-0000-0000-0000B78B0000}"/>
    <cellStyle name="Normal 2 8 26 2 2" xfId="35765" xr:uid="{00000000-0005-0000-0000-0000B88B0000}"/>
    <cellStyle name="Normal 2 8 26 2 2 2" xfId="35766" xr:uid="{00000000-0005-0000-0000-0000B98B0000}"/>
    <cellStyle name="Normal 2 8 26 2 2 3" xfId="35767" xr:uid="{00000000-0005-0000-0000-0000BA8B0000}"/>
    <cellStyle name="Normal 2 8 26 2 3" xfId="35768" xr:uid="{00000000-0005-0000-0000-0000BB8B0000}"/>
    <cellStyle name="Normal 2 8 26 2 4" xfId="35769" xr:uid="{00000000-0005-0000-0000-0000BC8B0000}"/>
    <cellStyle name="Normal 2 8 26 2 5" xfId="35770" xr:uid="{00000000-0005-0000-0000-0000BD8B0000}"/>
    <cellStyle name="Normal 2 8 26 2 6" xfId="35771" xr:uid="{00000000-0005-0000-0000-0000BE8B0000}"/>
    <cellStyle name="Normal 2 8 26 3" xfId="35772" xr:uid="{00000000-0005-0000-0000-0000BF8B0000}"/>
    <cellStyle name="Normal 2 8 26 3 2" xfId="35773" xr:uid="{00000000-0005-0000-0000-0000C08B0000}"/>
    <cellStyle name="Normal 2 8 26 3 2 2" xfId="35774" xr:uid="{00000000-0005-0000-0000-0000C18B0000}"/>
    <cellStyle name="Normal 2 8 26 3 2 3" xfId="35775" xr:uid="{00000000-0005-0000-0000-0000C28B0000}"/>
    <cellStyle name="Normal 2 8 26 3 3" xfId="35776" xr:uid="{00000000-0005-0000-0000-0000C38B0000}"/>
    <cellStyle name="Normal 2 8 26 3 4" xfId="35777" xr:uid="{00000000-0005-0000-0000-0000C48B0000}"/>
    <cellStyle name="Normal 2 8 26 3 5" xfId="35778" xr:uid="{00000000-0005-0000-0000-0000C58B0000}"/>
    <cellStyle name="Normal 2 8 26 3 6" xfId="35779" xr:uid="{00000000-0005-0000-0000-0000C68B0000}"/>
    <cellStyle name="Normal 2 8 26 4" xfId="35780" xr:uid="{00000000-0005-0000-0000-0000C78B0000}"/>
    <cellStyle name="Normal 2 8 26 4 2" xfId="35781" xr:uid="{00000000-0005-0000-0000-0000C88B0000}"/>
    <cellStyle name="Normal 2 8 26 4 2 2" xfId="35782" xr:uid="{00000000-0005-0000-0000-0000C98B0000}"/>
    <cellStyle name="Normal 2 8 26 4 3" xfId="35783" xr:uid="{00000000-0005-0000-0000-0000CA8B0000}"/>
    <cellStyle name="Normal 2 8 26 4 4" xfId="35784" xr:uid="{00000000-0005-0000-0000-0000CB8B0000}"/>
    <cellStyle name="Normal 2 8 26 4 5" xfId="35785" xr:uid="{00000000-0005-0000-0000-0000CC8B0000}"/>
    <cellStyle name="Normal 2 8 26 5" xfId="35786" xr:uid="{00000000-0005-0000-0000-0000CD8B0000}"/>
    <cellStyle name="Normal 2 8 26 5 2" xfId="35787" xr:uid="{00000000-0005-0000-0000-0000CE8B0000}"/>
    <cellStyle name="Normal 2 8 26 5 3" xfId="35788" xr:uid="{00000000-0005-0000-0000-0000CF8B0000}"/>
    <cellStyle name="Normal 2 8 26 5 4" xfId="35789" xr:uid="{00000000-0005-0000-0000-0000D08B0000}"/>
    <cellStyle name="Normal 2 8 26 6" xfId="35790" xr:uid="{00000000-0005-0000-0000-0000D18B0000}"/>
    <cellStyle name="Normal 2 8 26 6 2" xfId="35791" xr:uid="{00000000-0005-0000-0000-0000D28B0000}"/>
    <cellStyle name="Normal 2 8 26 7" xfId="35792" xr:uid="{00000000-0005-0000-0000-0000D38B0000}"/>
    <cellStyle name="Normal 2 8 26 8" xfId="35793" xr:uid="{00000000-0005-0000-0000-0000D48B0000}"/>
    <cellStyle name="Normal 2 8 26 9" xfId="35794" xr:uid="{00000000-0005-0000-0000-0000D58B0000}"/>
    <cellStyle name="Normal 2 8 27" xfId="35795" xr:uid="{00000000-0005-0000-0000-0000D68B0000}"/>
    <cellStyle name="Normal 2 8 27 10" xfId="35796" xr:uid="{00000000-0005-0000-0000-0000D78B0000}"/>
    <cellStyle name="Normal 2 8 27 2" xfId="35797" xr:uid="{00000000-0005-0000-0000-0000D88B0000}"/>
    <cellStyle name="Normal 2 8 27 2 2" xfId="35798" xr:uid="{00000000-0005-0000-0000-0000D98B0000}"/>
    <cellStyle name="Normal 2 8 27 2 2 2" xfId="35799" xr:uid="{00000000-0005-0000-0000-0000DA8B0000}"/>
    <cellStyle name="Normal 2 8 27 2 2 3" xfId="35800" xr:uid="{00000000-0005-0000-0000-0000DB8B0000}"/>
    <cellStyle name="Normal 2 8 27 2 3" xfId="35801" xr:uid="{00000000-0005-0000-0000-0000DC8B0000}"/>
    <cellStyle name="Normal 2 8 27 2 4" xfId="35802" xr:uid="{00000000-0005-0000-0000-0000DD8B0000}"/>
    <cellStyle name="Normal 2 8 27 2 5" xfId="35803" xr:uid="{00000000-0005-0000-0000-0000DE8B0000}"/>
    <cellStyle name="Normal 2 8 27 2 6" xfId="35804" xr:uid="{00000000-0005-0000-0000-0000DF8B0000}"/>
    <cellStyle name="Normal 2 8 27 3" xfId="35805" xr:uid="{00000000-0005-0000-0000-0000E08B0000}"/>
    <cellStyle name="Normal 2 8 27 3 2" xfId="35806" xr:uid="{00000000-0005-0000-0000-0000E18B0000}"/>
    <cellStyle name="Normal 2 8 27 3 2 2" xfId="35807" xr:uid="{00000000-0005-0000-0000-0000E28B0000}"/>
    <cellStyle name="Normal 2 8 27 3 2 3" xfId="35808" xr:uid="{00000000-0005-0000-0000-0000E38B0000}"/>
    <cellStyle name="Normal 2 8 27 3 3" xfId="35809" xr:uid="{00000000-0005-0000-0000-0000E48B0000}"/>
    <cellStyle name="Normal 2 8 27 3 4" xfId="35810" xr:uid="{00000000-0005-0000-0000-0000E58B0000}"/>
    <cellStyle name="Normal 2 8 27 3 5" xfId="35811" xr:uid="{00000000-0005-0000-0000-0000E68B0000}"/>
    <cellStyle name="Normal 2 8 27 3 6" xfId="35812" xr:uid="{00000000-0005-0000-0000-0000E78B0000}"/>
    <cellStyle name="Normal 2 8 27 4" xfId="35813" xr:uid="{00000000-0005-0000-0000-0000E88B0000}"/>
    <cellStyle name="Normal 2 8 27 4 2" xfId="35814" xr:uid="{00000000-0005-0000-0000-0000E98B0000}"/>
    <cellStyle name="Normal 2 8 27 4 2 2" xfId="35815" xr:uid="{00000000-0005-0000-0000-0000EA8B0000}"/>
    <cellStyle name="Normal 2 8 27 4 3" xfId="35816" xr:uid="{00000000-0005-0000-0000-0000EB8B0000}"/>
    <cellStyle name="Normal 2 8 27 4 4" xfId="35817" xr:uid="{00000000-0005-0000-0000-0000EC8B0000}"/>
    <cellStyle name="Normal 2 8 27 4 5" xfId="35818" xr:uid="{00000000-0005-0000-0000-0000ED8B0000}"/>
    <cellStyle name="Normal 2 8 27 5" xfId="35819" xr:uid="{00000000-0005-0000-0000-0000EE8B0000}"/>
    <cellStyle name="Normal 2 8 27 5 2" xfId="35820" xr:uid="{00000000-0005-0000-0000-0000EF8B0000}"/>
    <cellStyle name="Normal 2 8 27 5 3" xfId="35821" xr:uid="{00000000-0005-0000-0000-0000F08B0000}"/>
    <cellStyle name="Normal 2 8 27 5 4" xfId="35822" xr:uid="{00000000-0005-0000-0000-0000F18B0000}"/>
    <cellStyle name="Normal 2 8 27 6" xfId="35823" xr:uid="{00000000-0005-0000-0000-0000F28B0000}"/>
    <cellStyle name="Normal 2 8 27 6 2" xfId="35824" xr:uid="{00000000-0005-0000-0000-0000F38B0000}"/>
    <cellStyle name="Normal 2 8 27 7" xfId="35825" xr:uid="{00000000-0005-0000-0000-0000F48B0000}"/>
    <cellStyle name="Normal 2 8 27 8" xfId="35826" xr:uid="{00000000-0005-0000-0000-0000F58B0000}"/>
    <cellStyle name="Normal 2 8 27 9" xfId="35827" xr:uid="{00000000-0005-0000-0000-0000F68B0000}"/>
    <cellStyle name="Normal 2 8 28" xfId="35828" xr:uid="{00000000-0005-0000-0000-0000F78B0000}"/>
    <cellStyle name="Normal 2 8 28 10" xfId="35829" xr:uid="{00000000-0005-0000-0000-0000F88B0000}"/>
    <cellStyle name="Normal 2 8 28 2" xfId="35830" xr:uid="{00000000-0005-0000-0000-0000F98B0000}"/>
    <cellStyle name="Normal 2 8 28 2 2" xfId="35831" xr:uid="{00000000-0005-0000-0000-0000FA8B0000}"/>
    <cellStyle name="Normal 2 8 28 2 2 2" xfId="35832" xr:uid="{00000000-0005-0000-0000-0000FB8B0000}"/>
    <cellStyle name="Normal 2 8 28 2 2 3" xfId="35833" xr:uid="{00000000-0005-0000-0000-0000FC8B0000}"/>
    <cellStyle name="Normal 2 8 28 2 3" xfId="35834" xr:uid="{00000000-0005-0000-0000-0000FD8B0000}"/>
    <cellStyle name="Normal 2 8 28 2 4" xfId="35835" xr:uid="{00000000-0005-0000-0000-0000FE8B0000}"/>
    <cellStyle name="Normal 2 8 28 2 5" xfId="35836" xr:uid="{00000000-0005-0000-0000-0000FF8B0000}"/>
    <cellStyle name="Normal 2 8 28 2 6" xfId="35837" xr:uid="{00000000-0005-0000-0000-0000008C0000}"/>
    <cellStyle name="Normal 2 8 28 3" xfId="35838" xr:uid="{00000000-0005-0000-0000-0000018C0000}"/>
    <cellStyle name="Normal 2 8 28 3 2" xfId="35839" xr:uid="{00000000-0005-0000-0000-0000028C0000}"/>
    <cellStyle name="Normal 2 8 28 3 2 2" xfId="35840" xr:uid="{00000000-0005-0000-0000-0000038C0000}"/>
    <cellStyle name="Normal 2 8 28 3 2 3" xfId="35841" xr:uid="{00000000-0005-0000-0000-0000048C0000}"/>
    <cellStyle name="Normal 2 8 28 3 3" xfId="35842" xr:uid="{00000000-0005-0000-0000-0000058C0000}"/>
    <cellStyle name="Normal 2 8 28 3 4" xfId="35843" xr:uid="{00000000-0005-0000-0000-0000068C0000}"/>
    <cellStyle name="Normal 2 8 28 3 5" xfId="35844" xr:uid="{00000000-0005-0000-0000-0000078C0000}"/>
    <cellStyle name="Normal 2 8 28 3 6" xfId="35845" xr:uid="{00000000-0005-0000-0000-0000088C0000}"/>
    <cellStyle name="Normal 2 8 28 4" xfId="35846" xr:uid="{00000000-0005-0000-0000-0000098C0000}"/>
    <cellStyle name="Normal 2 8 28 4 2" xfId="35847" xr:uid="{00000000-0005-0000-0000-00000A8C0000}"/>
    <cellStyle name="Normal 2 8 28 4 2 2" xfId="35848" xr:uid="{00000000-0005-0000-0000-00000B8C0000}"/>
    <cellStyle name="Normal 2 8 28 4 3" xfId="35849" xr:uid="{00000000-0005-0000-0000-00000C8C0000}"/>
    <cellStyle name="Normal 2 8 28 4 4" xfId="35850" xr:uid="{00000000-0005-0000-0000-00000D8C0000}"/>
    <cellStyle name="Normal 2 8 28 4 5" xfId="35851" xr:uid="{00000000-0005-0000-0000-00000E8C0000}"/>
    <cellStyle name="Normal 2 8 28 5" xfId="35852" xr:uid="{00000000-0005-0000-0000-00000F8C0000}"/>
    <cellStyle name="Normal 2 8 28 5 2" xfId="35853" xr:uid="{00000000-0005-0000-0000-0000108C0000}"/>
    <cellStyle name="Normal 2 8 28 5 3" xfId="35854" xr:uid="{00000000-0005-0000-0000-0000118C0000}"/>
    <cellStyle name="Normal 2 8 28 5 4" xfId="35855" xr:uid="{00000000-0005-0000-0000-0000128C0000}"/>
    <cellStyle name="Normal 2 8 28 6" xfId="35856" xr:uid="{00000000-0005-0000-0000-0000138C0000}"/>
    <cellStyle name="Normal 2 8 28 6 2" xfId="35857" xr:uid="{00000000-0005-0000-0000-0000148C0000}"/>
    <cellStyle name="Normal 2 8 28 7" xfId="35858" xr:uid="{00000000-0005-0000-0000-0000158C0000}"/>
    <cellStyle name="Normal 2 8 28 8" xfId="35859" xr:uid="{00000000-0005-0000-0000-0000168C0000}"/>
    <cellStyle name="Normal 2 8 28 9" xfId="35860" xr:uid="{00000000-0005-0000-0000-0000178C0000}"/>
    <cellStyle name="Normal 2 8 29" xfId="35861" xr:uid="{00000000-0005-0000-0000-0000188C0000}"/>
    <cellStyle name="Normal 2 8 29 10" xfId="35862" xr:uid="{00000000-0005-0000-0000-0000198C0000}"/>
    <cellStyle name="Normal 2 8 29 2" xfId="35863" xr:uid="{00000000-0005-0000-0000-00001A8C0000}"/>
    <cellStyle name="Normal 2 8 29 2 2" xfId="35864" xr:uid="{00000000-0005-0000-0000-00001B8C0000}"/>
    <cellStyle name="Normal 2 8 29 2 2 2" xfId="35865" xr:uid="{00000000-0005-0000-0000-00001C8C0000}"/>
    <cellStyle name="Normal 2 8 29 2 2 3" xfId="35866" xr:uid="{00000000-0005-0000-0000-00001D8C0000}"/>
    <cellStyle name="Normal 2 8 29 2 3" xfId="35867" xr:uid="{00000000-0005-0000-0000-00001E8C0000}"/>
    <cellStyle name="Normal 2 8 29 2 4" xfId="35868" xr:uid="{00000000-0005-0000-0000-00001F8C0000}"/>
    <cellStyle name="Normal 2 8 29 2 5" xfId="35869" xr:uid="{00000000-0005-0000-0000-0000208C0000}"/>
    <cellStyle name="Normal 2 8 29 2 6" xfId="35870" xr:uid="{00000000-0005-0000-0000-0000218C0000}"/>
    <cellStyle name="Normal 2 8 29 3" xfId="35871" xr:uid="{00000000-0005-0000-0000-0000228C0000}"/>
    <cellStyle name="Normal 2 8 29 3 2" xfId="35872" xr:uid="{00000000-0005-0000-0000-0000238C0000}"/>
    <cellStyle name="Normal 2 8 29 3 2 2" xfId="35873" xr:uid="{00000000-0005-0000-0000-0000248C0000}"/>
    <cellStyle name="Normal 2 8 29 3 2 3" xfId="35874" xr:uid="{00000000-0005-0000-0000-0000258C0000}"/>
    <cellStyle name="Normal 2 8 29 3 3" xfId="35875" xr:uid="{00000000-0005-0000-0000-0000268C0000}"/>
    <cellStyle name="Normal 2 8 29 3 4" xfId="35876" xr:uid="{00000000-0005-0000-0000-0000278C0000}"/>
    <cellStyle name="Normal 2 8 29 3 5" xfId="35877" xr:uid="{00000000-0005-0000-0000-0000288C0000}"/>
    <cellStyle name="Normal 2 8 29 3 6" xfId="35878" xr:uid="{00000000-0005-0000-0000-0000298C0000}"/>
    <cellStyle name="Normal 2 8 29 4" xfId="35879" xr:uid="{00000000-0005-0000-0000-00002A8C0000}"/>
    <cellStyle name="Normal 2 8 29 4 2" xfId="35880" xr:uid="{00000000-0005-0000-0000-00002B8C0000}"/>
    <cellStyle name="Normal 2 8 29 4 2 2" xfId="35881" xr:uid="{00000000-0005-0000-0000-00002C8C0000}"/>
    <cellStyle name="Normal 2 8 29 4 3" xfId="35882" xr:uid="{00000000-0005-0000-0000-00002D8C0000}"/>
    <cellStyle name="Normal 2 8 29 4 4" xfId="35883" xr:uid="{00000000-0005-0000-0000-00002E8C0000}"/>
    <cellStyle name="Normal 2 8 29 4 5" xfId="35884" xr:uid="{00000000-0005-0000-0000-00002F8C0000}"/>
    <cellStyle name="Normal 2 8 29 5" xfId="35885" xr:uid="{00000000-0005-0000-0000-0000308C0000}"/>
    <cellStyle name="Normal 2 8 29 5 2" xfId="35886" xr:uid="{00000000-0005-0000-0000-0000318C0000}"/>
    <cellStyle name="Normal 2 8 29 5 3" xfId="35887" xr:uid="{00000000-0005-0000-0000-0000328C0000}"/>
    <cellStyle name="Normal 2 8 29 5 4" xfId="35888" xr:uid="{00000000-0005-0000-0000-0000338C0000}"/>
    <cellStyle name="Normal 2 8 29 6" xfId="35889" xr:uid="{00000000-0005-0000-0000-0000348C0000}"/>
    <cellStyle name="Normal 2 8 29 6 2" xfId="35890" xr:uid="{00000000-0005-0000-0000-0000358C0000}"/>
    <cellStyle name="Normal 2 8 29 7" xfId="35891" xr:uid="{00000000-0005-0000-0000-0000368C0000}"/>
    <cellStyle name="Normal 2 8 29 8" xfId="35892" xr:uid="{00000000-0005-0000-0000-0000378C0000}"/>
    <cellStyle name="Normal 2 8 29 9" xfId="35893" xr:uid="{00000000-0005-0000-0000-0000388C0000}"/>
    <cellStyle name="Normal 2 8 3" xfId="35894" xr:uid="{00000000-0005-0000-0000-0000398C0000}"/>
    <cellStyle name="Normal 2 8 3 10" xfId="35895" xr:uid="{00000000-0005-0000-0000-00003A8C0000}"/>
    <cellStyle name="Normal 2 8 3 10 10" xfId="35896" xr:uid="{00000000-0005-0000-0000-00003B8C0000}"/>
    <cellStyle name="Normal 2 8 3 10 2" xfId="35897" xr:uid="{00000000-0005-0000-0000-00003C8C0000}"/>
    <cellStyle name="Normal 2 8 3 10 2 2" xfId="35898" xr:uid="{00000000-0005-0000-0000-00003D8C0000}"/>
    <cellStyle name="Normal 2 8 3 10 2 2 2" xfId="35899" xr:uid="{00000000-0005-0000-0000-00003E8C0000}"/>
    <cellStyle name="Normal 2 8 3 10 2 2 3" xfId="35900" xr:uid="{00000000-0005-0000-0000-00003F8C0000}"/>
    <cellStyle name="Normal 2 8 3 10 2 3" xfId="35901" xr:uid="{00000000-0005-0000-0000-0000408C0000}"/>
    <cellStyle name="Normal 2 8 3 10 2 4" xfId="35902" xr:uid="{00000000-0005-0000-0000-0000418C0000}"/>
    <cellStyle name="Normal 2 8 3 10 2 5" xfId="35903" xr:uid="{00000000-0005-0000-0000-0000428C0000}"/>
    <cellStyle name="Normal 2 8 3 10 2 6" xfId="35904" xr:uid="{00000000-0005-0000-0000-0000438C0000}"/>
    <cellStyle name="Normal 2 8 3 10 3" xfId="35905" xr:uid="{00000000-0005-0000-0000-0000448C0000}"/>
    <cellStyle name="Normal 2 8 3 10 3 2" xfId="35906" xr:uid="{00000000-0005-0000-0000-0000458C0000}"/>
    <cellStyle name="Normal 2 8 3 10 3 2 2" xfId="35907" xr:uid="{00000000-0005-0000-0000-0000468C0000}"/>
    <cellStyle name="Normal 2 8 3 10 3 2 3" xfId="35908" xr:uid="{00000000-0005-0000-0000-0000478C0000}"/>
    <cellStyle name="Normal 2 8 3 10 3 3" xfId="35909" xr:uid="{00000000-0005-0000-0000-0000488C0000}"/>
    <cellStyle name="Normal 2 8 3 10 3 4" xfId="35910" xr:uid="{00000000-0005-0000-0000-0000498C0000}"/>
    <cellStyle name="Normal 2 8 3 10 3 5" xfId="35911" xr:uid="{00000000-0005-0000-0000-00004A8C0000}"/>
    <cellStyle name="Normal 2 8 3 10 3 6" xfId="35912" xr:uid="{00000000-0005-0000-0000-00004B8C0000}"/>
    <cellStyle name="Normal 2 8 3 10 4" xfId="35913" xr:uid="{00000000-0005-0000-0000-00004C8C0000}"/>
    <cellStyle name="Normal 2 8 3 10 4 2" xfId="35914" xr:uid="{00000000-0005-0000-0000-00004D8C0000}"/>
    <cellStyle name="Normal 2 8 3 10 4 2 2" xfId="35915" xr:uid="{00000000-0005-0000-0000-00004E8C0000}"/>
    <cellStyle name="Normal 2 8 3 10 4 3" xfId="35916" xr:uid="{00000000-0005-0000-0000-00004F8C0000}"/>
    <cellStyle name="Normal 2 8 3 10 4 4" xfId="35917" xr:uid="{00000000-0005-0000-0000-0000508C0000}"/>
    <cellStyle name="Normal 2 8 3 10 4 5" xfId="35918" xr:uid="{00000000-0005-0000-0000-0000518C0000}"/>
    <cellStyle name="Normal 2 8 3 10 5" xfId="35919" xr:uid="{00000000-0005-0000-0000-0000528C0000}"/>
    <cellStyle name="Normal 2 8 3 10 5 2" xfId="35920" xr:uid="{00000000-0005-0000-0000-0000538C0000}"/>
    <cellStyle name="Normal 2 8 3 10 5 3" xfId="35921" xr:uid="{00000000-0005-0000-0000-0000548C0000}"/>
    <cellStyle name="Normal 2 8 3 10 5 4" xfId="35922" xr:uid="{00000000-0005-0000-0000-0000558C0000}"/>
    <cellStyle name="Normal 2 8 3 10 6" xfId="35923" xr:uid="{00000000-0005-0000-0000-0000568C0000}"/>
    <cellStyle name="Normal 2 8 3 10 6 2" xfId="35924" xr:uid="{00000000-0005-0000-0000-0000578C0000}"/>
    <cellStyle name="Normal 2 8 3 10 7" xfId="35925" xr:uid="{00000000-0005-0000-0000-0000588C0000}"/>
    <cellStyle name="Normal 2 8 3 10 8" xfId="35926" xr:uid="{00000000-0005-0000-0000-0000598C0000}"/>
    <cellStyle name="Normal 2 8 3 10 9" xfId="35927" xr:uid="{00000000-0005-0000-0000-00005A8C0000}"/>
    <cellStyle name="Normal 2 8 3 11" xfId="35928" xr:uid="{00000000-0005-0000-0000-00005B8C0000}"/>
    <cellStyle name="Normal 2 8 3 11 10" xfId="35929" xr:uid="{00000000-0005-0000-0000-00005C8C0000}"/>
    <cellStyle name="Normal 2 8 3 11 2" xfId="35930" xr:uid="{00000000-0005-0000-0000-00005D8C0000}"/>
    <cellStyle name="Normal 2 8 3 11 2 2" xfId="35931" xr:uid="{00000000-0005-0000-0000-00005E8C0000}"/>
    <cellStyle name="Normal 2 8 3 11 2 2 2" xfId="35932" xr:uid="{00000000-0005-0000-0000-00005F8C0000}"/>
    <cellStyle name="Normal 2 8 3 11 2 2 3" xfId="35933" xr:uid="{00000000-0005-0000-0000-0000608C0000}"/>
    <cellStyle name="Normal 2 8 3 11 2 3" xfId="35934" xr:uid="{00000000-0005-0000-0000-0000618C0000}"/>
    <cellStyle name="Normal 2 8 3 11 2 4" xfId="35935" xr:uid="{00000000-0005-0000-0000-0000628C0000}"/>
    <cellStyle name="Normal 2 8 3 11 2 5" xfId="35936" xr:uid="{00000000-0005-0000-0000-0000638C0000}"/>
    <cellStyle name="Normal 2 8 3 11 2 6" xfId="35937" xr:uid="{00000000-0005-0000-0000-0000648C0000}"/>
    <cellStyle name="Normal 2 8 3 11 3" xfId="35938" xr:uid="{00000000-0005-0000-0000-0000658C0000}"/>
    <cellStyle name="Normal 2 8 3 11 3 2" xfId="35939" xr:uid="{00000000-0005-0000-0000-0000668C0000}"/>
    <cellStyle name="Normal 2 8 3 11 3 2 2" xfId="35940" xr:uid="{00000000-0005-0000-0000-0000678C0000}"/>
    <cellStyle name="Normal 2 8 3 11 3 2 3" xfId="35941" xr:uid="{00000000-0005-0000-0000-0000688C0000}"/>
    <cellStyle name="Normal 2 8 3 11 3 3" xfId="35942" xr:uid="{00000000-0005-0000-0000-0000698C0000}"/>
    <cellStyle name="Normal 2 8 3 11 3 4" xfId="35943" xr:uid="{00000000-0005-0000-0000-00006A8C0000}"/>
    <cellStyle name="Normal 2 8 3 11 3 5" xfId="35944" xr:uid="{00000000-0005-0000-0000-00006B8C0000}"/>
    <cellStyle name="Normal 2 8 3 11 3 6" xfId="35945" xr:uid="{00000000-0005-0000-0000-00006C8C0000}"/>
    <cellStyle name="Normal 2 8 3 11 4" xfId="35946" xr:uid="{00000000-0005-0000-0000-00006D8C0000}"/>
    <cellStyle name="Normal 2 8 3 11 4 2" xfId="35947" xr:uid="{00000000-0005-0000-0000-00006E8C0000}"/>
    <cellStyle name="Normal 2 8 3 11 4 2 2" xfId="35948" xr:uid="{00000000-0005-0000-0000-00006F8C0000}"/>
    <cellStyle name="Normal 2 8 3 11 4 3" xfId="35949" xr:uid="{00000000-0005-0000-0000-0000708C0000}"/>
    <cellStyle name="Normal 2 8 3 11 4 4" xfId="35950" xr:uid="{00000000-0005-0000-0000-0000718C0000}"/>
    <cellStyle name="Normal 2 8 3 11 4 5" xfId="35951" xr:uid="{00000000-0005-0000-0000-0000728C0000}"/>
    <cellStyle name="Normal 2 8 3 11 5" xfId="35952" xr:uid="{00000000-0005-0000-0000-0000738C0000}"/>
    <cellStyle name="Normal 2 8 3 11 5 2" xfId="35953" xr:uid="{00000000-0005-0000-0000-0000748C0000}"/>
    <cellStyle name="Normal 2 8 3 11 5 3" xfId="35954" xr:uid="{00000000-0005-0000-0000-0000758C0000}"/>
    <cellStyle name="Normal 2 8 3 11 5 4" xfId="35955" xr:uid="{00000000-0005-0000-0000-0000768C0000}"/>
    <cellStyle name="Normal 2 8 3 11 6" xfId="35956" xr:uid="{00000000-0005-0000-0000-0000778C0000}"/>
    <cellStyle name="Normal 2 8 3 11 6 2" xfId="35957" xr:uid="{00000000-0005-0000-0000-0000788C0000}"/>
    <cellStyle name="Normal 2 8 3 11 7" xfId="35958" xr:uid="{00000000-0005-0000-0000-0000798C0000}"/>
    <cellStyle name="Normal 2 8 3 11 8" xfId="35959" xr:uid="{00000000-0005-0000-0000-00007A8C0000}"/>
    <cellStyle name="Normal 2 8 3 11 9" xfId="35960" xr:uid="{00000000-0005-0000-0000-00007B8C0000}"/>
    <cellStyle name="Normal 2 8 3 12" xfId="35961" xr:uid="{00000000-0005-0000-0000-00007C8C0000}"/>
    <cellStyle name="Normal 2 8 3 12 10" xfId="35962" xr:uid="{00000000-0005-0000-0000-00007D8C0000}"/>
    <cellStyle name="Normal 2 8 3 12 2" xfId="35963" xr:uid="{00000000-0005-0000-0000-00007E8C0000}"/>
    <cellStyle name="Normal 2 8 3 12 2 2" xfId="35964" xr:uid="{00000000-0005-0000-0000-00007F8C0000}"/>
    <cellStyle name="Normal 2 8 3 12 2 2 2" xfId="35965" xr:uid="{00000000-0005-0000-0000-0000808C0000}"/>
    <cellStyle name="Normal 2 8 3 12 2 2 3" xfId="35966" xr:uid="{00000000-0005-0000-0000-0000818C0000}"/>
    <cellStyle name="Normal 2 8 3 12 2 3" xfId="35967" xr:uid="{00000000-0005-0000-0000-0000828C0000}"/>
    <cellStyle name="Normal 2 8 3 12 2 4" xfId="35968" xr:uid="{00000000-0005-0000-0000-0000838C0000}"/>
    <cellStyle name="Normal 2 8 3 12 2 5" xfId="35969" xr:uid="{00000000-0005-0000-0000-0000848C0000}"/>
    <cellStyle name="Normal 2 8 3 12 2 6" xfId="35970" xr:uid="{00000000-0005-0000-0000-0000858C0000}"/>
    <cellStyle name="Normal 2 8 3 12 3" xfId="35971" xr:uid="{00000000-0005-0000-0000-0000868C0000}"/>
    <cellStyle name="Normal 2 8 3 12 3 2" xfId="35972" xr:uid="{00000000-0005-0000-0000-0000878C0000}"/>
    <cellStyle name="Normal 2 8 3 12 3 2 2" xfId="35973" xr:uid="{00000000-0005-0000-0000-0000888C0000}"/>
    <cellStyle name="Normal 2 8 3 12 3 2 3" xfId="35974" xr:uid="{00000000-0005-0000-0000-0000898C0000}"/>
    <cellStyle name="Normal 2 8 3 12 3 3" xfId="35975" xr:uid="{00000000-0005-0000-0000-00008A8C0000}"/>
    <cellStyle name="Normal 2 8 3 12 3 4" xfId="35976" xr:uid="{00000000-0005-0000-0000-00008B8C0000}"/>
    <cellStyle name="Normal 2 8 3 12 3 5" xfId="35977" xr:uid="{00000000-0005-0000-0000-00008C8C0000}"/>
    <cellStyle name="Normal 2 8 3 12 3 6" xfId="35978" xr:uid="{00000000-0005-0000-0000-00008D8C0000}"/>
    <cellStyle name="Normal 2 8 3 12 4" xfId="35979" xr:uid="{00000000-0005-0000-0000-00008E8C0000}"/>
    <cellStyle name="Normal 2 8 3 12 4 2" xfId="35980" xr:uid="{00000000-0005-0000-0000-00008F8C0000}"/>
    <cellStyle name="Normal 2 8 3 12 4 2 2" xfId="35981" xr:uid="{00000000-0005-0000-0000-0000908C0000}"/>
    <cellStyle name="Normal 2 8 3 12 4 3" xfId="35982" xr:uid="{00000000-0005-0000-0000-0000918C0000}"/>
    <cellStyle name="Normal 2 8 3 12 4 4" xfId="35983" xr:uid="{00000000-0005-0000-0000-0000928C0000}"/>
    <cellStyle name="Normal 2 8 3 12 4 5" xfId="35984" xr:uid="{00000000-0005-0000-0000-0000938C0000}"/>
    <cellStyle name="Normal 2 8 3 12 5" xfId="35985" xr:uid="{00000000-0005-0000-0000-0000948C0000}"/>
    <cellStyle name="Normal 2 8 3 12 5 2" xfId="35986" xr:uid="{00000000-0005-0000-0000-0000958C0000}"/>
    <cellStyle name="Normal 2 8 3 12 5 3" xfId="35987" xr:uid="{00000000-0005-0000-0000-0000968C0000}"/>
    <cellStyle name="Normal 2 8 3 12 5 4" xfId="35988" xr:uid="{00000000-0005-0000-0000-0000978C0000}"/>
    <cellStyle name="Normal 2 8 3 12 6" xfId="35989" xr:uid="{00000000-0005-0000-0000-0000988C0000}"/>
    <cellStyle name="Normal 2 8 3 12 6 2" xfId="35990" xr:uid="{00000000-0005-0000-0000-0000998C0000}"/>
    <cellStyle name="Normal 2 8 3 12 7" xfId="35991" xr:uid="{00000000-0005-0000-0000-00009A8C0000}"/>
    <cellStyle name="Normal 2 8 3 12 8" xfId="35992" xr:uid="{00000000-0005-0000-0000-00009B8C0000}"/>
    <cellStyle name="Normal 2 8 3 12 9" xfId="35993" xr:uid="{00000000-0005-0000-0000-00009C8C0000}"/>
    <cellStyle name="Normal 2 8 3 13" xfId="35994" xr:uid="{00000000-0005-0000-0000-00009D8C0000}"/>
    <cellStyle name="Normal 2 8 3 13 2" xfId="35995" xr:uid="{00000000-0005-0000-0000-00009E8C0000}"/>
    <cellStyle name="Normal 2 8 3 13 2 2" xfId="35996" xr:uid="{00000000-0005-0000-0000-00009F8C0000}"/>
    <cellStyle name="Normal 2 8 3 13 2 2 2" xfId="35997" xr:uid="{00000000-0005-0000-0000-0000A08C0000}"/>
    <cellStyle name="Normal 2 8 3 13 2 2 3" xfId="35998" xr:uid="{00000000-0005-0000-0000-0000A18C0000}"/>
    <cellStyle name="Normal 2 8 3 13 2 3" xfId="35999" xr:uid="{00000000-0005-0000-0000-0000A28C0000}"/>
    <cellStyle name="Normal 2 8 3 13 2 4" xfId="36000" xr:uid="{00000000-0005-0000-0000-0000A38C0000}"/>
    <cellStyle name="Normal 2 8 3 13 2 5" xfId="36001" xr:uid="{00000000-0005-0000-0000-0000A48C0000}"/>
    <cellStyle name="Normal 2 8 3 13 2 6" xfId="36002" xr:uid="{00000000-0005-0000-0000-0000A58C0000}"/>
    <cellStyle name="Normal 2 8 3 13 3" xfId="36003" xr:uid="{00000000-0005-0000-0000-0000A68C0000}"/>
    <cellStyle name="Normal 2 8 3 13 3 2" xfId="36004" xr:uid="{00000000-0005-0000-0000-0000A78C0000}"/>
    <cellStyle name="Normal 2 8 3 13 3 2 2" xfId="36005" xr:uid="{00000000-0005-0000-0000-0000A88C0000}"/>
    <cellStyle name="Normal 2 8 3 13 3 3" xfId="36006" xr:uid="{00000000-0005-0000-0000-0000A98C0000}"/>
    <cellStyle name="Normal 2 8 3 13 3 4" xfId="36007" xr:uid="{00000000-0005-0000-0000-0000AA8C0000}"/>
    <cellStyle name="Normal 2 8 3 13 3 5" xfId="36008" xr:uid="{00000000-0005-0000-0000-0000AB8C0000}"/>
    <cellStyle name="Normal 2 8 3 13 4" xfId="36009" xr:uid="{00000000-0005-0000-0000-0000AC8C0000}"/>
    <cellStyle name="Normal 2 8 3 13 4 2" xfId="36010" xr:uid="{00000000-0005-0000-0000-0000AD8C0000}"/>
    <cellStyle name="Normal 2 8 3 13 4 3" xfId="36011" xr:uid="{00000000-0005-0000-0000-0000AE8C0000}"/>
    <cellStyle name="Normal 2 8 3 13 4 4" xfId="36012" xr:uid="{00000000-0005-0000-0000-0000AF8C0000}"/>
    <cellStyle name="Normal 2 8 3 13 5" xfId="36013" xr:uid="{00000000-0005-0000-0000-0000B08C0000}"/>
    <cellStyle name="Normal 2 8 3 13 5 2" xfId="36014" xr:uid="{00000000-0005-0000-0000-0000B18C0000}"/>
    <cellStyle name="Normal 2 8 3 13 6" xfId="36015" xr:uid="{00000000-0005-0000-0000-0000B28C0000}"/>
    <cellStyle name="Normal 2 8 3 13 7" xfId="36016" xr:uid="{00000000-0005-0000-0000-0000B38C0000}"/>
    <cellStyle name="Normal 2 8 3 13 8" xfId="36017" xr:uid="{00000000-0005-0000-0000-0000B48C0000}"/>
    <cellStyle name="Normal 2 8 3 13 9" xfId="36018" xr:uid="{00000000-0005-0000-0000-0000B58C0000}"/>
    <cellStyle name="Normal 2 8 3 14" xfId="36019" xr:uid="{00000000-0005-0000-0000-0000B68C0000}"/>
    <cellStyle name="Normal 2 8 3 14 2" xfId="36020" xr:uid="{00000000-0005-0000-0000-0000B78C0000}"/>
    <cellStyle name="Normal 2 8 3 14 2 2" xfId="36021" xr:uid="{00000000-0005-0000-0000-0000B88C0000}"/>
    <cellStyle name="Normal 2 8 3 14 2 2 2" xfId="36022" xr:uid="{00000000-0005-0000-0000-0000B98C0000}"/>
    <cellStyle name="Normal 2 8 3 14 2 2 3" xfId="36023" xr:uid="{00000000-0005-0000-0000-0000BA8C0000}"/>
    <cellStyle name="Normal 2 8 3 14 2 3" xfId="36024" xr:uid="{00000000-0005-0000-0000-0000BB8C0000}"/>
    <cellStyle name="Normal 2 8 3 14 2 4" xfId="36025" xr:uid="{00000000-0005-0000-0000-0000BC8C0000}"/>
    <cellStyle name="Normal 2 8 3 14 2 5" xfId="36026" xr:uid="{00000000-0005-0000-0000-0000BD8C0000}"/>
    <cellStyle name="Normal 2 8 3 14 2 6" xfId="36027" xr:uid="{00000000-0005-0000-0000-0000BE8C0000}"/>
    <cellStyle name="Normal 2 8 3 14 3" xfId="36028" xr:uid="{00000000-0005-0000-0000-0000BF8C0000}"/>
    <cellStyle name="Normal 2 8 3 14 3 2" xfId="36029" xr:uid="{00000000-0005-0000-0000-0000C08C0000}"/>
    <cellStyle name="Normal 2 8 3 14 3 2 2" xfId="36030" xr:uid="{00000000-0005-0000-0000-0000C18C0000}"/>
    <cellStyle name="Normal 2 8 3 14 3 3" xfId="36031" xr:uid="{00000000-0005-0000-0000-0000C28C0000}"/>
    <cellStyle name="Normal 2 8 3 14 3 4" xfId="36032" xr:uid="{00000000-0005-0000-0000-0000C38C0000}"/>
    <cellStyle name="Normal 2 8 3 14 3 5" xfId="36033" xr:uid="{00000000-0005-0000-0000-0000C48C0000}"/>
    <cellStyle name="Normal 2 8 3 14 4" xfId="36034" xr:uid="{00000000-0005-0000-0000-0000C58C0000}"/>
    <cellStyle name="Normal 2 8 3 14 4 2" xfId="36035" xr:uid="{00000000-0005-0000-0000-0000C68C0000}"/>
    <cellStyle name="Normal 2 8 3 14 4 3" xfId="36036" xr:uid="{00000000-0005-0000-0000-0000C78C0000}"/>
    <cellStyle name="Normal 2 8 3 14 4 4" xfId="36037" xr:uid="{00000000-0005-0000-0000-0000C88C0000}"/>
    <cellStyle name="Normal 2 8 3 14 5" xfId="36038" xr:uid="{00000000-0005-0000-0000-0000C98C0000}"/>
    <cellStyle name="Normal 2 8 3 14 5 2" xfId="36039" xr:uid="{00000000-0005-0000-0000-0000CA8C0000}"/>
    <cellStyle name="Normal 2 8 3 14 6" xfId="36040" xr:uid="{00000000-0005-0000-0000-0000CB8C0000}"/>
    <cellStyle name="Normal 2 8 3 14 7" xfId="36041" xr:uid="{00000000-0005-0000-0000-0000CC8C0000}"/>
    <cellStyle name="Normal 2 8 3 14 8" xfId="36042" xr:uid="{00000000-0005-0000-0000-0000CD8C0000}"/>
    <cellStyle name="Normal 2 8 3 14 9" xfId="36043" xr:uid="{00000000-0005-0000-0000-0000CE8C0000}"/>
    <cellStyle name="Normal 2 8 3 15" xfId="36044" xr:uid="{00000000-0005-0000-0000-0000CF8C0000}"/>
    <cellStyle name="Normal 2 8 3 15 2" xfId="36045" xr:uid="{00000000-0005-0000-0000-0000D08C0000}"/>
    <cellStyle name="Normal 2 8 3 15 2 2" xfId="36046" xr:uid="{00000000-0005-0000-0000-0000D18C0000}"/>
    <cellStyle name="Normal 2 8 3 15 2 3" xfId="36047" xr:uid="{00000000-0005-0000-0000-0000D28C0000}"/>
    <cellStyle name="Normal 2 8 3 15 3" xfId="36048" xr:uid="{00000000-0005-0000-0000-0000D38C0000}"/>
    <cellStyle name="Normal 2 8 3 15 4" xfId="36049" xr:uid="{00000000-0005-0000-0000-0000D48C0000}"/>
    <cellStyle name="Normal 2 8 3 15 5" xfId="36050" xr:uid="{00000000-0005-0000-0000-0000D58C0000}"/>
    <cellStyle name="Normal 2 8 3 15 6" xfId="36051" xr:uid="{00000000-0005-0000-0000-0000D68C0000}"/>
    <cellStyle name="Normal 2 8 3 16" xfId="36052" xr:uid="{00000000-0005-0000-0000-0000D78C0000}"/>
    <cellStyle name="Normal 2 8 3 16 2" xfId="36053" xr:uid="{00000000-0005-0000-0000-0000D88C0000}"/>
    <cellStyle name="Normal 2 8 3 16 2 2" xfId="36054" xr:uid="{00000000-0005-0000-0000-0000D98C0000}"/>
    <cellStyle name="Normal 2 8 3 16 3" xfId="36055" xr:uid="{00000000-0005-0000-0000-0000DA8C0000}"/>
    <cellStyle name="Normal 2 8 3 16 4" xfId="36056" xr:uid="{00000000-0005-0000-0000-0000DB8C0000}"/>
    <cellStyle name="Normal 2 8 3 16 5" xfId="36057" xr:uid="{00000000-0005-0000-0000-0000DC8C0000}"/>
    <cellStyle name="Normal 2 8 3 17" xfId="36058" xr:uid="{00000000-0005-0000-0000-0000DD8C0000}"/>
    <cellStyle name="Normal 2 8 3 17 2" xfId="36059" xr:uid="{00000000-0005-0000-0000-0000DE8C0000}"/>
    <cellStyle name="Normal 2 8 3 17 2 2" xfId="36060" xr:uid="{00000000-0005-0000-0000-0000DF8C0000}"/>
    <cellStyle name="Normal 2 8 3 17 3" xfId="36061" xr:uid="{00000000-0005-0000-0000-0000E08C0000}"/>
    <cellStyle name="Normal 2 8 3 17 4" xfId="36062" xr:uid="{00000000-0005-0000-0000-0000E18C0000}"/>
    <cellStyle name="Normal 2 8 3 17 5" xfId="36063" xr:uid="{00000000-0005-0000-0000-0000E28C0000}"/>
    <cellStyle name="Normal 2 8 3 18" xfId="36064" xr:uid="{00000000-0005-0000-0000-0000E38C0000}"/>
    <cellStyle name="Normal 2 8 3 18 2" xfId="36065" xr:uid="{00000000-0005-0000-0000-0000E48C0000}"/>
    <cellStyle name="Normal 2 8 3 19" xfId="36066" xr:uid="{00000000-0005-0000-0000-0000E58C0000}"/>
    <cellStyle name="Normal 2 8 3 2" xfId="36067" xr:uid="{00000000-0005-0000-0000-0000E68C0000}"/>
    <cellStyle name="Normal 2 8 3 2 10" xfId="36068" xr:uid="{00000000-0005-0000-0000-0000E78C0000}"/>
    <cellStyle name="Normal 2 8 3 2 11" xfId="36069" xr:uid="{00000000-0005-0000-0000-0000E88C0000}"/>
    <cellStyle name="Normal 2 8 3 2 2" xfId="36070" xr:uid="{00000000-0005-0000-0000-0000E98C0000}"/>
    <cellStyle name="Normal 2 8 3 2 2 2" xfId="36071" xr:uid="{00000000-0005-0000-0000-0000EA8C0000}"/>
    <cellStyle name="Normal 2 8 3 2 2 2 2" xfId="36072" xr:uid="{00000000-0005-0000-0000-0000EB8C0000}"/>
    <cellStyle name="Normal 2 8 3 2 2 2 2 2" xfId="36073" xr:uid="{00000000-0005-0000-0000-0000EC8C0000}"/>
    <cellStyle name="Normal 2 8 3 2 2 2 2 3" xfId="36074" xr:uid="{00000000-0005-0000-0000-0000ED8C0000}"/>
    <cellStyle name="Normal 2 8 3 2 2 2 3" xfId="36075" xr:uid="{00000000-0005-0000-0000-0000EE8C0000}"/>
    <cellStyle name="Normal 2 8 3 2 2 2 4" xfId="36076" xr:uid="{00000000-0005-0000-0000-0000EF8C0000}"/>
    <cellStyle name="Normal 2 8 3 2 2 2 5" xfId="36077" xr:uid="{00000000-0005-0000-0000-0000F08C0000}"/>
    <cellStyle name="Normal 2 8 3 2 2 2 6" xfId="36078" xr:uid="{00000000-0005-0000-0000-0000F18C0000}"/>
    <cellStyle name="Normal 2 8 3 2 2 3" xfId="36079" xr:uid="{00000000-0005-0000-0000-0000F28C0000}"/>
    <cellStyle name="Normal 2 8 3 2 2 3 2" xfId="36080" xr:uid="{00000000-0005-0000-0000-0000F38C0000}"/>
    <cellStyle name="Normal 2 8 3 2 2 3 2 2" xfId="36081" xr:uid="{00000000-0005-0000-0000-0000F48C0000}"/>
    <cellStyle name="Normal 2 8 3 2 2 3 3" xfId="36082" xr:uid="{00000000-0005-0000-0000-0000F58C0000}"/>
    <cellStyle name="Normal 2 8 3 2 2 3 4" xfId="36083" xr:uid="{00000000-0005-0000-0000-0000F68C0000}"/>
    <cellStyle name="Normal 2 8 3 2 2 3 5" xfId="36084" xr:uid="{00000000-0005-0000-0000-0000F78C0000}"/>
    <cellStyle name="Normal 2 8 3 2 2 4" xfId="36085" xr:uid="{00000000-0005-0000-0000-0000F88C0000}"/>
    <cellStyle name="Normal 2 8 3 2 2 4 2" xfId="36086" xr:uid="{00000000-0005-0000-0000-0000F98C0000}"/>
    <cellStyle name="Normal 2 8 3 2 2 4 3" xfId="36087" xr:uid="{00000000-0005-0000-0000-0000FA8C0000}"/>
    <cellStyle name="Normal 2 8 3 2 2 4 4" xfId="36088" xr:uid="{00000000-0005-0000-0000-0000FB8C0000}"/>
    <cellStyle name="Normal 2 8 3 2 2 5" xfId="36089" xr:uid="{00000000-0005-0000-0000-0000FC8C0000}"/>
    <cellStyle name="Normal 2 8 3 2 2 5 2" xfId="36090" xr:uid="{00000000-0005-0000-0000-0000FD8C0000}"/>
    <cellStyle name="Normal 2 8 3 2 2 6" xfId="36091" xr:uid="{00000000-0005-0000-0000-0000FE8C0000}"/>
    <cellStyle name="Normal 2 8 3 2 2 7" xfId="36092" xr:uid="{00000000-0005-0000-0000-0000FF8C0000}"/>
    <cellStyle name="Normal 2 8 3 2 2 8" xfId="36093" xr:uid="{00000000-0005-0000-0000-0000008D0000}"/>
    <cellStyle name="Normal 2 8 3 2 2 9" xfId="36094" xr:uid="{00000000-0005-0000-0000-0000018D0000}"/>
    <cellStyle name="Normal 2 8 3 2 3" xfId="36095" xr:uid="{00000000-0005-0000-0000-0000028D0000}"/>
    <cellStyle name="Normal 2 8 3 2 3 2" xfId="36096" xr:uid="{00000000-0005-0000-0000-0000038D0000}"/>
    <cellStyle name="Normal 2 8 3 2 3 2 2" xfId="36097" xr:uid="{00000000-0005-0000-0000-0000048D0000}"/>
    <cellStyle name="Normal 2 8 3 2 3 2 2 2" xfId="36098" xr:uid="{00000000-0005-0000-0000-0000058D0000}"/>
    <cellStyle name="Normal 2 8 3 2 3 2 2 3" xfId="36099" xr:uid="{00000000-0005-0000-0000-0000068D0000}"/>
    <cellStyle name="Normal 2 8 3 2 3 2 3" xfId="36100" xr:uid="{00000000-0005-0000-0000-0000078D0000}"/>
    <cellStyle name="Normal 2 8 3 2 3 2 4" xfId="36101" xr:uid="{00000000-0005-0000-0000-0000088D0000}"/>
    <cellStyle name="Normal 2 8 3 2 3 2 5" xfId="36102" xr:uid="{00000000-0005-0000-0000-0000098D0000}"/>
    <cellStyle name="Normal 2 8 3 2 3 2 6" xfId="36103" xr:uid="{00000000-0005-0000-0000-00000A8D0000}"/>
    <cellStyle name="Normal 2 8 3 2 3 3" xfId="36104" xr:uid="{00000000-0005-0000-0000-00000B8D0000}"/>
    <cellStyle name="Normal 2 8 3 2 3 3 2" xfId="36105" xr:uid="{00000000-0005-0000-0000-00000C8D0000}"/>
    <cellStyle name="Normal 2 8 3 2 3 3 2 2" xfId="36106" xr:uid="{00000000-0005-0000-0000-00000D8D0000}"/>
    <cellStyle name="Normal 2 8 3 2 3 3 3" xfId="36107" xr:uid="{00000000-0005-0000-0000-00000E8D0000}"/>
    <cellStyle name="Normal 2 8 3 2 3 3 4" xfId="36108" xr:uid="{00000000-0005-0000-0000-00000F8D0000}"/>
    <cellStyle name="Normal 2 8 3 2 3 3 5" xfId="36109" xr:uid="{00000000-0005-0000-0000-0000108D0000}"/>
    <cellStyle name="Normal 2 8 3 2 3 4" xfId="36110" xr:uid="{00000000-0005-0000-0000-0000118D0000}"/>
    <cellStyle name="Normal 2 8 3 2 3 4 2" xfId="36111" xr:uid="{00000000-0005-0000-0000-0000128D0000}"/>
    <cellStyle name="Normal 2 8 3 2 3 4 3" xfId="36112" xr:uid="{00000000-0005-0000-0000-0000138D0000}"/>
    <cellStyle name="Normal 2 8 3 2 3 4 4" xfId="36113" xr:uid="{00000000-0005-0000-0000-0000148D0000}"/>
    <cellStyle name="Normal 2 8 3 2 3 5" xfId="36114" xr:uid="{00000000-0005-0000-0000-0000158D0000}"/>
    <cellStyle name="Normal 2 8 3 2 3 5 2" xfId="36115" xr:uid="{00000000-0005-0000-0000-0000168D0000}"/>
    <cellStyle name="Normal 2 8 3 2 3 6" xfId="36116" xr:uid="{00000000-0005-0000-0000-0000178D0000}"/>
    <cellStyle name="Normal 2 8 3 2 3 7" xfId="36117" xr:uid="{00000000-0005-0000-0000-0000188D0000}"/>
    <cellStyle name="Normal 2 8 3 2 3 8" xfId="36118" xr:uid="{00000000-0005-0000-0000-0000198D0000}"/>
    <cellStyle name="Normal 2 8 3 2 3 9" xfId="36119" xr:uid="{00000000-0005-0000-0000-00001A8D0000}"/>
    <cellStyle name="Normal 2 8 3 2 4" xfId="36120" xr:uid="{00000000-0005-0000-0000-00001B8D0000}"/>
    <cellStyle name="Normal 2 8 3 2 4 2" xfId="36121" xr:uid="{00000000-0005-0000-0000-00001C8D0000}"/>
    <cellStyle name="Normal 2 8 3 2 4 2 2" xfId="36122" xr:uid="{00000000-0005-0000-0000-00001D8D0000}"/>
    <cellStyle name="Normal 2 8 3 2 4 2 3" xfId="36123" xr:uid="{00000000-0005-0000-0000-00001E8D0000}"/>
    <cellStyle name="Normal 2 8 3 2 4 3" xfId="36124" xr:uid="{00000000-0005-0000-0000-00001F8D0000}"/>
    <cellStyle name="Normal 2 8 3 2 4 4" xfId="36125" xr:uid="{00000000-0005-0000-0000-0000208D0000}"/>
    <cellStyle name="Normal 2 8 3 2 4 5" xfId="36126" xr:uid="{00000000-0005-0000-0000-0000218D0000}"/>
    <cellStyle name="Normal 2 8 3 2 4 6" xfId="36127" xr:uid="{00000000-0005-0000-0000-0000228D0000}"/>
    <cellStyle name="Normal 2 8 3 2 5" xfId="36128" xr:uid="{00000000-0005-0000-0000-0000238D0000}"/>
    <cellStyle name="Normal 2 8 3 2 5 2" xfId="36129" xr:uid="{00000000-0005-0000-0000-0000248D0000}"/>
    <cellStyle name="Normal 2 8 3 2 5 2 2" xfId="36130" xr:uid="{00000000-0005-0000-0000-0000258D0000}"/>
    <cellStyle name="Normal 2 8 3 2 5 3" xfId="36131" xr:uid="{00000000-0005-0000-0000-0000268D0000}"/>
    <cellStyle name="Normal 2 8 3 2 5 4" xfId="36132" xr:uid="{00000000-0005-0000-0000-0000278D0000}"/>
    <cellStyle name="Normal 2 8 3 2 5 5" xfId="36133" xr:uid="{00000000-0005-0000-0000-0000288D0000}"/>
    <cellStyle name="Normal 2 8 3 2 6" xfId="36134" xr:uid="{00000000-0005-0000-0000-0000298D0000}"/>
    <cellStyle name="Normal 2 8 3 2 6 2" xfId="36135" xr:uid="{00000000-0005-0000-0000-00002A8D0000}"/>
    <cellStyle name="Normal 2 8 3 2 6 3" xfId="36136" xr:uid="{00000000-0005-0000-0000-00002B8D0000}"/>
    <cellStyle name="Normal 2 8 3 2 6 4" xfId="36137" xr:uid="{00000000-0005-0000-0000-00002C8D0000}"/>
    <cellStyle name="Normal 2 8 3 2 7" xfId="36138" xr:uid="{00000000-0005-0000-0000-00002D8D0000}"/>
    <cellStyle name="Normal 2 8 3 2 7 2" xfId="36139" xr:uid="{00000000-0005-0000-0000-00002E8D0000}"/>
    <cellStyle name="Normal 2 8 3 2 8" xfId="36140" xr:uid="{00000000-0005-0000-0000-00002F8D0000}"/>
    <cellStyle name="Normal 2 8 3 2 9" xfId="36141" xr:uid="{00000000-0005-0000-0000-0000308D0000}"/>
    <cellStyle name="Normal 2 8 3 20" xfId="36142" xr:uid="{00000000-0005-0000-0000-0000318D0000}"/>
    <cellStyle name="Normal 2 8 3 21" xfId="36143" xr:uid="{00000000-0005-0000-0000-0000328D0000}"/>
    <cellStyle name="Normal 2 8 3 22" xfId="36144" xr:uid="{00000000-0005-0000-0000-0000338D0000}"/>
    <cellStyle name="Normal 2 8 3 3" xfId="36145" xr:uid="{00000000-0005-0000-0000-0000348D0000}"/>
    <cellStyle name="Normal 2 8 3 3 10" xfId="36146" xr:uid="{00000000-0005-0000-0000-0000358D0000}"/>
    <cellStyle name="Normal 2 8 3 3 11" xfId="36147" xr:uid="{00000000-0005-0000-0000-0000368D0000}"/>
    <cellStyle name="Normal 2 8 3 3 2" xfId="36148" xr:uid="{00000000-0005-0000-0000-0000378D0000}"/>
    <cellStyle name="Normal 2 8 3 3 2 2" xfId="36149" xr:uid="{00000000-0005-0000-0000-0000388D0000}"/>
    <cellStyle name="Normal 2 8 3 3 2 2 2" xfId="36150" xr:uid="{00000000-0005-0000-0000-0000398D0000}"/>
    <cellStyle name="Normal 2 8 3 3 2 2 2 2" xfId="36151" xr:uid="{00000000-0005-0000-0000-00003A8D0000}"/>
    <cellStyle name="Normal 2 8 3 3 2 2 2 3" xfId="36152" xr:uid="{00000000-0005-0000-0000-00003B8D0000}"/>
    <cellStyle name="Normal 2 8 3 3 2 2 3" xfId="36153" xr:uid="{00000000-0005-0000-0000-00003C8D0000}"/>
    <cellStyle name="Normal 2 8 3 3 2 2 4" xfId="36154" xr:uid="{00000000-0005-0000-0000-00003D8D0000}"/>
    <cellStyle name="Normal 2 8 3 3 2 2 5" xfId="36155" xr:uid="{00000000-0005-0000-0000-00003E8D0000}"/>
    <cellStyle name="Normal 2 8 3 3 2 2 6" xfId="36156" xr:uid="{00000000-0005-0000-0000-00003F8D0000}"/>
    <cellStyle name="Normal 2 8 3 3 2 3" xfId="36157" xr:uid="{00000000-0005-0000-0000-0000408D0000}"/>
    <cellStyle name="Normal 2 8 3 3 2 3 2" xfId="36158" xr:uid="{00000000-0005-0000-0000-0000418D0000}"/>
    <cellStyle name="Normal 2 8 3 3 2 3 2 2" xfId="36159" xr:uid="{00000000-0005-0000-0000-0000428D0000}"/>
    <cellStyle name="Normal 2 8 3 3 2 3 3" xfId="36160" xr:uid="{00000000-0005-0000-0000-0000438D0000}"/>
    <cellStyle name="Normal 2 8 3 3 2 3 4" xfId="36161" xr:uid="{00000000-0005-0000-0000-0000448D0000}"/>
    <cellStyle name="Normal 2 8 3 3 2 3 5" xfId="36162" xr:uid="{00000000-0005-0000-0000-0000458D0000}"/>
    <cellStyle name="Normal 2 8 3 3 2 4" xfId="36163" xr:uid="{00000000-0005-0000-0000-0000468D0000}"/>
    <cellStyle name="Normal 2 8 3 3 2 4 2" xfId="36164" xr:uid="{00000000-0005-0000-0000-0000478D0000}"/>
    <cellStyle name="Normal 2 8 3 3 2 4 3" xfId="36165" xr:uid="{00000000-0005-0000-0000-0000488D0000}"/>
    <cellStyle name="Normal 2 8 3 3 2 4 4" xfId="36166" xr:uid="{00000000-0005-0000-0000-0000498D0000}"/>
    <cellStyle name="Normal 2 8 3 3 2 5" xfId="36167" xr:uid="{00000000-0005-0000-0000-00004A8D0000}"/>
    <cellStyle name="Normal 2 8 3 3 2 5 2" xfId="36168" xr:uid="{00000000-0005-0000-0000-00004B8D0000}"/>
    <cellStyle name="Normal 2 8 3 3 2 6" xfId="36169" xr:uid="{00000000-0005-0000-0000-00004C8D0000}"/>
    <cellStyle name="Normal 2 8 3 3 2 7" xfId="36170" xr:uid="{00000000-0005-0000-0000-00004D8D0000}"/>
    <cellStyle name="Normal 2 8 3 3 2 8" xfId="36171" xr:uid="{00000000-0005-0000-0000-00004E8D0000}"/>
    <cellStyle name="Normal 2 8 3 3 2 9" xfId="36172" xr:uid="{00000000-0005-0000-0000-00004F8D0000}"/>
    <cellStyle name="Normal 2 8 3 3 3" xfId="36173" xr:uid="{00000000-0005-0000-0000-0000508D0000}"/>
    <cellStyle name="Normal 2 8 3 3 3 2" xfId="36174" xr:uid="{00000000-0005-0000-0000-0000518D0000}"/>
    <cellStyle name="Normal 2 8 3 3 3 2 2" xfId="36175" xr:uid="{00000000-0005-0000-0000-0000528D0000}"/>
    <cellStyle name="Normal 2 8 3 3 3 2 2 2" xfId="36176" xr:uid="{00000000-0005-0000-0000-0000538D0000}"/>
    <cellStyle name="Normal 2 8 3 3 3 2 2 3" xfId="36177" xr:uid="{00000000-0005-0000-0000-0000548D0000}"/>
    <cellStyle name="Normal 2 8 3 3 3 2 3" xfId="36178" xr:uid="{00000000-0005-0000-0000-0000558D0000}"/>
    <cellStyle name="Normal 2 8 3 3 3 2 4" xfId="36179" xr:uid="{00000000-0005-0000-0000-0000568D0000}"/>
    <cellStyle name="Normal 2 8 3 3 3 2 5" xfId="36180" xr:uid="{00000000-0005-0000-0000-0000578D0000}"/>
    <cellStyle name="Normal 2 8 3 3 3 2 6" xfId="36181" xr:uid="{00000000-0005-0000-0000-0000588D0000}"/>
    <cellStyle name="Normal 2 8 3 3 3 3" xfId="36182" xr:uid="{00000000-0005-0000-0000-0000598D0000}"/>
    <cellStyle name="Normal 2 8 3 3 3 3 2" xfId="36183" xr:uid="{00000000-0005-0000-0000-00005A8D0000}"/>
    <cellStyle name="Normal 2 8 3 3 3 3 2 2" xfId="36184" xr:uid="{00000000-0005-0000-0000-00005B8D0000}"/>
    <cellStyle name="Normal 2 8 3 3 3 3 3" xfId="36185" xr:uid="{00000000-0005-0000-0000-00005C8D0000}"/>
    <cellStyle name="Normal 2 8 3 3 3 3 4" xfId="36186" xr:uid="{00000000-0005-0000-0000-00005D8D0000}"/>
    <cellStyle name="Normal 2 8 3 3 3 3 5" xfId="36187" xr:uid="{00000000-0005-0000-0000-00005E8D0000}"/>
    <cellStyle name="Normal 2 8 3 3 3 4" xfId="36188" xr:uid="{00000000-0005-0000-0000-00005F8D0000}"/>
    <cellStyle name="Normal 2 8 3 3 3 4 2" xfId="36189" xr:uid="{00000000-0005-0000-0000-0000608D0000}"/>
    <cellStyle name="Normal 2 8 3 3 3 4 3" xfId="36190" xr:uid="{00000000-0005-0000-0000-0000618D0000}"/>
    <cellStyle name="Normal 2 8 3 3 3 4 4" xfId="36191" xr:uid="{00000000-0005-0000-0000-0000628D0000}"/>
    <cellStyle name="Normal 2 8 3 3 3 5" xfId="36192" xr:uid="{00000000-0005-0000-0000-0000638D0000}"/>
    <cellStyle name="Normal 2 8 3 3 3 5 2" xfId="36193" xr:uid="{00000000-0005-0000-0000-0000648D0000}"/>
    <cellStyle name="Normal 2 8 3 3 3 6" xfId="36194" xr:uid="{00000000-0005-0000-0000-0000658D0000}"/>
    <cellStyle name="Normal 2 8 3 3 3 7" xfId="36195" xr:uid="{00000000-0005-0000-0000-0000668D0000}"/>
    <cellStyle name="Normal 2 8 3 3 3 8" xfId="36196" xr:uid="{00000000-0005-0000-0000-0000678D0000}"/>
    <cellStyle name="Normal 2 8 3 3 3 9" xfId="36197" xr:uid="{00000000-0005-0000-0000-0000688D0000}"/>
    <cellStyle name="Normal 2 8 3 3 4" xfId="36198" xr:uid="{00000000-0005-0000-0000-0000698D0000}"/>
    <cellStyle name="Normal 2 8 3 3 4 2" xfId="36199" xr:uid="{00000000-0005-0000-0000-00006A8D0000}"/>
    <cellStyle name="Normal 2 8 3 3 4 2 2" xfId="36200" xr:uid="{00000000-0005-0000-0000-00006B8D0000}"/>
    <cellStyle name="Normal 2 8 3 3 4 2 3" xfId="36201" xr:uid="{00000000-0005-0000-0000-00006C8D0000}"/>
    <cellStyle name="Normal 2 8 3 3 4 3" xfId="36202" xr:uid="{00000000-0005-0000-0000-00006D8D0000}"/>
    <cellStyle name="Normal 2 8 3 3 4 4" xfId="36203" xr:uid="{00000000-0005-0000-0000-00006E8D0000}"/>
    <cellStyle name="Normal 2 8 3 3 4 5" xfId="36204" xr:uid="{00000000-0005-0000-0000-00006F8D0000}"/>
    <cellStyle name="Normal 2 8 3 3 4 6" xfId="36205" xr:uid="{00000000-0005-0000-0000-0000708D0000}"/>
    <cellStyle name="Normal 2 8 3 3 5" xfId="36206" xr:uid="{00000000-0005-0000-0000-0000718D0000}"/>
    <cellStyle name="Normal 2 8 3 3 5 2" xfId="36207" xr:uid="{00000000-0005-0000-0000-0000728D0000}"/>
    <cellStyle name="Normal 2 8 3 3 5 2 2" xfId="36208" xr:uid="{00000000-0005-0000-0000-0000738D0000}"/>
    <cellStyle name="Normal 2 8 3 3 5 3" xfId="36209" xr:uid="{00000000-0005-0000-0000-0000748D0000}"/>
    <cellStyle name="Normal 2 8 3 3 5 4" xfId="36210" xr:uid="{00000000-0005-0000-0000-0000758D0000}"/>
    <cellStyle name="Normal 2 8 3 3 5 5" xfId="36211" xr:uid="{00000000-0005-0000-0000-0000768D0000}"/>
    <cellStyle name="Normal 2 8 3 3 6" xfId="36212" xr:uid="{00000000-0005-0000-0000-0000778D0000}"/>
    <cellStyle name="Normal 2 8 3 3 6 2" xfId="36213" xr:uid="{00000000-0005-0000-0000-0000788D0000}"/>
    <cellStyle name="Normal 2 8 3 3 6 3" xfId="36214" xr:uid="{00000000-0005-0000-0000-0000798D0000}"/>
    <cellStyle name="Normal 2 8 3 3 6 4" xfId="36215" xr:uid="{00000000-0005-0000-0000-00007A8D0000}"/>
    <cellStyle name="Normal 2 8 3 3 7" xfId="36216" xr:uid="{00000000-0005-0000-0000-00007B8D0000}"/>
    <cellStyle name="Normal 2 8 3 3 7 2" xfId="36217" xr:uid="{00000000-0005-0000-0000-00007C8D0000}"/>
    <cellStyle name="Normal 2 8 3 3 8" xfId="36218" xr:uid="{00000000-0005-0000-0000-00007D8D0000}"/>
    <cellStyle name="Normal 2 8 3 3 9" xfId="36219" xr:uid="{00000000-0005-0000-0000-00007E8D0000}"/>
    <cellStyle name="Normal 2 8 3 4" xfId="36220" xr:uid="{00000000-0005-0000-0000-00007F8D0000}"/>
    <cellStyle name="Normal 2 8 3 4 10" xfId="36221" xr:uid="{00000000-0005-0000-0000-0000808D0000}"/>
    <cellStyle name="Normal 2 8 3 4 11" xfId="36222" xr:uid="{00000000-0005-0000-0000-0000818D0000}"/>
    <cellStyle name="Normal 2 8 3 4 2" xfId="36223" xr:uid="{00000000-0005-0000-0000-0000828D0000}"/>
    <cellStyle name="Normal 2 8 3 4 2 2" xfId="36224" xr:uid="{00000000-0005-0000-0000-0000838D0000}"/>
    <cellStyle name="Normal 2 8 3 4 2 2 2" xfId="36225" xr:uid="{00000000-0005-0000-0000-0000848D0000}"/>
    <cellStyle name="Normal 2 8 3 4 2 2 2 2" xfId="36226" xr:uid="{00000000-0005-0000-0000-0000858D0000}"/>
    <cellStyle name="Normal 2 8 3 4 2 2 2 3" xfId="36227" xr:uid="{00000000-0005-0000-0000-0000868D0000}"/>
    <cellStyle name="Normal 2 8 3 4 2 2 3" xfId="36228" xr:uid="{00000000-0005-0000-0000-0000878D0000}"/>
    <cellStyle name="Normal 2 8 3 4 2 2 4" xfId="36229" xr:uid="{00000000-0005-0000-0000-0000888D0000}"/>
    <cellStyle name="Normal 2 8 3 4 2 2 5" xfId="36230" xr:uid="{00000000-0005-0000-0000-0000898D0000}"/>
    <cellStyle name="Normal 2 8 3 4 2 2 6" xfId="36231" xr:uid="{00000000-0005-0000-0000-00008A8D0000}"/>
    <cellStyle name="Normal 2 8 3 4 2 3" xfId="36232" xr:uid="{00000000-0005-0000-0000-00008B8D0000}"/>
    <cellStyle name="Normal 2 8 3 4 2 3 2" xfId="36233" xr:uid="{00000000-0005-0000-0000-00008C8D0000}"/>
    <cellStyle name="Normal 2 8 3 4 2 3 2 2" xfId="36234" xr:uid="{00000000-0005-0000-0000-00008D8D0000}"/>
    <cellStyle name="Normal 2 8 3 4 2 3 3" xfId="36235" xr:uid="{00000000-0005-0000-0000-00008E8D0000}"/>
    <cellStyle name="Normal 2 8 3 4 2 3 4" xfId="36236" xr:uid="{00000000-0005-0000-0000-00008F8D0000}"/>
    <cellStyle name="Normal 2 8 3 4 2 3 5" xfId="36237" xr:uid="{00000000-0005-0000-0000-0000908D0000}"/>
    <cellStyle name="Normal 2 8 3 4 2 4" xfId="36238" xr:uid="{00000000-0005-0000-0000-0000918D0000}"/>
    <cellStyle name="Normal 2 8 3 4 2 4 2" xfId="36239" xr:uid="{00000000-0005-0000-0000-0000928D0000}"/>
    <cellStyle name="Normal 2 8 3 4 2 4 3" xfId="36240" xr:uid="{00000000-0005-0000-0000-0000938D0000}"/>
    <cellStyle name="Normal 2 8 3 4 2 4 4" xfId="36241" xr:uid="{00000000-0005-0000-0000-0000948D0000}"/>
    <cellStyle name="Normal 2 8 3 4 2 5" xfId="36242" xr:uid="{00000000-0005-0000-0000-0000958D0000}"/>
    <cellStyle name="Normal 2 8 3 4 2 5 2" xfId="36243" xr:uid="{00000000-0005-0000-0000-0000968D0000}"/>
    <cellStyle name="Normal 2 8 3 4 2 6" xfId="36244" xr:uid="{00000000-0005-0000-0000-0000978D0000}"/>
    <cellStyle name="Normal 2 8 3 4 2 7" xfId="36245" xr:uid="{00000000-0005-0000-0000-0000988D0000}"/>
    <cellStyle name="Normal 2 8 3 4 2 8" xfId="36246" xr:uid="{00000000-0005-0000-0000-0000998D0000}"/>
    <cellStyle name="Normal 2 8 3 4 2 9" xfId="36247" xr:uid="{00000000-0005-0000-0000-00009A8D0000}"/>
    <cellStyle name="Normal 2 8 3 4 3" xfId="36248" xr:uid="{00000000-0005-0000-0000-00009B8D0000}"/>
    <cellStyle name="Normal 2 8 3 4 3 2" xfId="36249" xr:uid="{00000000-0005-0000-0000-00009C8D0000}"/>
    <cellStyle name="Normal 2 8 3 4 3 2 2" xfId="36250" xr:uid="{00000000-0005-0000-0000-00009D8D0000}"/>
    <cellStyle name="Normal 2 8 3 4 3 2 2 2" xfId="36251" xr:uid="{00000000-0005-0000-0000-00009E8D0000}"/>
    <cellStyle name="Normal 2 8 3 4 3 2 2 3" xfId="36252" xr:uid="{00000000-0005-0000-0000-00009F8D0000}"/>
    <cellStyle name="Normal 2 8 3 4 3 2 3" xfId="36253" xr:uid="{00000000-0005-0000-0000-0000A08D0000}"/>
    <cellStyle name="Normal 2 8 3 4 3 2 4" xfId="36254" xr:uid="{00000000-0005-0000-0000-0000A18D0000}"/>
    <cellStyle name="Normal 2 8 3 4 3 2 5" xfId="36255" xr:uid="{00000000-0005-0000-0000-0000A28D0000}"/>
    <cellStyle name="Normal 2 8 3 4 3 2 6" xfId="36256" xr:uid="{00000000-0005-0000-0000-0000A38D0000}"/>
    <cellStyle name="Normal 2 8 3 4 3 3" xfId="36257" xr:uid="{00000000-0005-0000-0000-0000A48D0000}"/>
    <cellStyle name="Normal 2 8 3 4 3 3 2" xfId="36258" xr:uid="{00000000-0005-0000-0000-0000A58D0000}"/>
    <cellStyle name="Normal 2 8 3 4 3 3 2 2" xfId="36259" xr:uid="{00000000-0005-0000-0000-0000A68D0000}"/>
    <cellStyle name="Normal 2 8 3 4 3 3 3" xfId="36260" xr:uid="{00000000-0005-0000-0000-0000A78D0000}"/>
    <cellStyle name="Normal 2 8 3 4 3 3 4" xfId="36261" xr:uid="{00000000-0005-0000-0000-0000A88D0000}"/>
    <cellStyle name="Normal 2 8 3 4 3 3 5" xfId="36262" xr:uid="{00000000-0005-0000-0000-0000A98D0000}"/>
    <cellStyle name="Normal 2 8 3 4 3 4" xfId="36263" xr:uid="{00000000-0005-0000-0000-0000AA8D0000}"/>
    <cellStyle name="Normal 2 8 3 4 3 4 2" xfId="36264" xr:uid="{00000000-0005-0000-0000-0000AB8D0000}"/>
    <cellStyle name="Normal 2 8 3 4 3 4 3" xfId="36265" xr:uid="{00000000-0005-0000-0000-0000AC8D0000}"/>
    <cellStyle name="Normal 2 8 3 4 3 4 4" xfId="36266" xr:uid="{00000000-0005-0000-0000-0000AD8D0000}"/>
    <cellStyle name="Normal 2 8 3 4 3 5" xfId="36267" xr:uid="{00000000-0005-0000-0000-0000AE8D0000}"/>
    <cellStyle name="Normal 2 8 3 4 3 5 2" xfId="36268" xr:uid="{00000000-0005-0000-0000-0000AF8D0000}"/>
    <cellStyle name="Normal 2 8 3 4 3 6" xfId="36269" xr:uid="{00000000-0005-0000-0000-0000B08D0000}"/>
    <cellStyle name="Normal 2 8 3 4 3 7" xfId="36270" xr:uid="{00000000-0005-0000-0000-0000B18D0000}"/>
    <cellStyle name="Normal 2 8 3 4 3 8" xfId="36271" xr:uid="{00000000-0005-0000-0000-0000B28D0000}"/>
    <cellStyle name="Normal 2 8 3 4 3 9" xfId="36272" xr:uid="{00000000-0005-0000-0000-0000B38D0000}"/>
    <cellStyle name="Normal 2 8 3 4 4" xfId="36273" xr:uid="{00000000-0005-0000-0000-0000B48D0000}"/>
    <cellStyle name="Normal 2 8 3 4 4 2" xfId="36274" xr:uid="{00000000-0005-0000-0000-0000B58D0000}"/>
    <cellStyle name="Normal 2 8 3 4 4 2 2" xfId="36275" xr:uid="{00000000-0005-0000-0000-0000B68D0000}"/>
    <cellStyle name="Normal 2 8 3 4 4 2 3" xfId="36276" xr:uid="{00000000-0005-0000-0000-0000B78D0000}"/>
    <cellStyle name="Normal 2 8 3 4 4 3" xfId="36277" xr:uid="{00000000-0005-0000-0000-0000B88D0000}"/>
    <cellStyle name="Normal 2 8 3 4 4 4" xfId="36278" xr:uid="{00000000-0005-0000-0000-0000B98D0000}"/>
    <cellStyle name="Normal 2 8 3 4 4 5" xfId="36279" xr:uid="{00000000-0005-0000-0000-0000BA8D0000}"/>
    <cellStyle name="Normal 2 8 3 4 4 6" xfId="36280" xr:uid="{00000000-0005-0000-0000-0000BB8D0000}"/>
    <cellStyle name="Normal 2 8 3 4 5" xfId="36281" xr:uid="{00000000-0005-0000-0000-0000BC8D0000}"/>
    <cellStyle name="Normal 2 8 3 4 5 2" xfId="36282" xr:uid="{00000000-0005-0000-0000-0000BD8D0000}"/>
    <cellStyle name="Normal 2 8 3 4 5 2 2" xfId="36283" xr:uid="{00000000-0005-0000-0000-0000BE8D0000}"/>
    <cellStyle name="Normal 2 8 3 4 5 3" xfId="36284" xr:uid="{00000000-0005-0000-0000-0000BF8D0000}"/>
    <cellStyle name="Normal 2 8 3 4 5 4" xfId="36285" xr:uid="{00000000-0005-0000-0000-0000C08D0000}"/>
    <cellStyle name="Normal 2 8 3 4 5 5" xfId="36286" xr:uid="{00000000-0005-0000-0000-0000C18D0000}"/>
    <cellStyle name="Normal 2 8 3 4 6" xfId="36287" xr:uid="{00000000-0005-0000-0000-0000C28D0000}"/>
    <cellStyle name="Normal 2 8 3 4 6 2" xfId="36288" xr:uid="{00000000-0005-0000-0000-0000C38D0000}"/>
    <cellStyle name="Normal 2 8 3 4 6 3" xfId="36289" xr:uid="{00000000-0005-0000-0000-0000C48D0000}"/>
    <cellStyle name="Normal 2 8 3 4 6 4" xfId="36290" xr:uid="{00000000-0005-0000-0000-0000C58D0000}"/>
    <cellStyle name="Normal 2 8 3 4 7" xfId="36291" xr:uid="{00000000-0005-0000-0000-0000C68D0000}"/>
    <cellStyle name="Normal 2 8 3 4 7 2" xfId="36292" xr:uid="{00000000-0005-0000-0000-0000C78D0000}"/>
    <cellStyle name="Normal 2 8 3 4 8" xfId="36293" xr:uid="{00000000-0005-0000-0000-0000C88D0000}"/>
    <cellStyle name="Normal 2 8 3 4 9" xfId="36294" xr:uid="{00000000-0005-0000-0000-0000C98D0000}"/>
    <cellStyle name="Normal 2 8 3 5" xfId="36295" xr:uid="{00000000-0005-0000-0000-0000CA8D0000}"/>
    <cellStyle name="Normal 2 8 3 5 10" xfId="36296" xr:uid="{00000000-0005-0000-0000-0000CB8D0000}"/>
    <cellStyle name="Normal 2 8 3 5 11" xfId="36297" xr:uid="{00000000-0005-0000-0000-0000CC8D0000}"/>
    <cellStyle name="Normal 2 8 3 5 2" xfId="36298" xr:uid="{00000000-0005-0000-0000-0000CD8D0000}"/>
    <cellStyle name="Normal 2 8 3 5 2 2" xfId="36299" xr:uid="{00000000-0005-0000-0000-0000CE8D0000}"/>
    <cellStyle name="Normal 2 8 3 5 2 2 2" xfId="36300" xr:uid="{00000000-0005-0000-0000-0000CF8D0000}"/>
    <cellStyle name="Normal 2 8 3 5 2 2 2 2" xfId="36301" xr:uid="{00000000-0005-0000-0000-0000D08D0000}"/>
    <cellStyle name="Normal 2 8 3 5 2 2 2 3" xfId="36302" xr:uid="{00000000-0005-0000-0000-0000D18D0000}"/>
    <cellStyle name="Normal 2 8 3 5 2 2 3" xfId="36303" xr:uid="{00000000-0005-0000-0000-0000D28D0000}"/>
    <cellStyle name="Normal 2 8 3 5 2 2 4" xfId="36304" xr:uid="{00000000-0005-0000-0000-0000D38D0000}"/>
    <cellStyle name="Normal 2 8 3 5 2 2 5" xfId="36305" xr:uid="{00000000-0005-0000-0000-0000D48D0000}"/>
    <cellStyle name="Normal 2 8 3 5 2 2 6" xfId="36306" xr:uid="{00000000-0005-0000-0000-0000D58D0000}"/>
    <cellStyle name="Normal 2 8 3 5 2 3" xfId="36307" xr:uid="{00000000-0005-0000-0000-0000D68D0000}"/>
    <cellStyle name="Normal 2 8 3 5 2 3 2" xfId="36308" xr:uid="{00000000-0005-0000-0000-0000D78D0000}"/>
    <cellStyle name="Normal 2 8 3 5 2 3 2 2" xfId="36309" xr:uid="{00000000-0005-0000-0000-0000D88D0000}"/>
    <cellStyle name="Normal 2 8 3 5 2 3 3" xfId="36310" xr:uid="{00000000-0005-0000-0000-0000D98D0000}"/>
    <cellStyle name="Normal 2 8 3 5 2 3 4" xfId="36311" xr:uid="{00000000-0005-0000-0000-0000DA8D0000}"/>
    <cellStyle name="Normal 2 8 3 5 2 3 5" xfId="36312" xr:uid="{00000000-0005-0000-0000-0000DB8D0000}"/>
    <cellStyle name="Normal 2 8 3 5 2 4" xfId="36313" xr:uid="{00000000-0005-0000-0000-0000DC8D0000}"/>
    <cellStyle name="Normal 2 8 3 5 2 4 2" xfId="36314" xr:uid="{00000000-0005-0000-0000-0000DD8D0000}"/>
    <cellStyle name="Normal 2 8 3 5 2 4 3" xfId="36315" xr:uid="{00000000-0005-0000-0000-0000DE8D0000}"/>
    <cellStyle name="Normal 2 8 3 5 2 4 4" xfId="36316" xr:uid="{00000000-0005-0000-0000-0000DF8D0000}"/>
    <cellStyle name="Normal 2 8 3 5 2 5" xfId="36317" xr:uid="{00000000-0005-0000-0000-0000E08D0000}"/>
    <cellStyle name="Normal 2 8 3 5 2 5 2" xfId="36318" xr:uid="{00000000-0005-0000-0000-0000E18D0000}"/>
    <cellStyle name="Normal 2 8 3 5 2 6" xfId="36319" xr:uid="{00000000-0005-0000-0000-0000E28D0000}"/>
    <cellStyle name="Normal 2 8 3 5 2 7" xfId="36320" xr:uid="{00000000-0005-0000-0000-0000E38D0000}"/>
    <cellStyle name="Normal 2 8 3 5 2 8" xfId="36321" xr:uid="{00000000-0005-0000-0000-0000E48D0000}"/>
    <cellStyle name="Normal 2 8 3 5 2 9" xfId="36322" xr:uid="{00000000-0005-0000-0000-0000E58D0000}"/>
    <cellStyle name="Normal 2 8 3 5 3" xfId="36323" xr:uid="{00000000-0005-0000-0000-0000E68D0000}"/>
    <cellStyle name="Normal 2 8 3 5 3 2" xfId="36324" xr:uid="{00000000-0005-0000-0000-0000E78D0000}"/>
    <cellStyle name="Normal 2 8 3 5 3 2 2" xfId="36325" xr:uid="{00000000-0005-0000-0000-0000E88D0000}"/>
    <cellStyle name="Normal 2 8 3 5 3 2 2 2" xfId="36326" xr:uid="{00000000-0005-0000-0000-0000E98D0000}"/>
    <cellStyle name="Normal 2 8 3 5 3 2 2 3" xfId="36327" xr:uid="{00000000-0005-0000-0000-0000EA8D0000}"/>
    <cellStyle name="Normal 2 8 3 5 3 2 3" xfId="36328" xr:uid="{00000000-0005-0000-0000-0000EB8D0000}"/>
    <cellStyle name="Normal 2 8 3 5 3 2 4" xfId="36329" xr:uid="{00000000-0005-0000-0000-0000EC8D0000}"/>
    <cellStyle name="Normal 2 8 3 5 3 2 5" xfId="36330" xr:uid="{00000000-0005-0000-0000-0000ED8D0000}"/>
    <cellStyle name="Normal 2 8 3 5 3 2 6" xfId="36331" xr:uid="{00000000-0005-0000-0000-0000EE8D0000}"/>
    <cellStyle name="Normal 2 8 3 5 3 3" xfId="36332" xr:uid="{00000000-0005-0000-0000-0000EF8D0000}"/>
    <cellStyle name="Normal 2 8 3 5 3 3 2" xfId="36333" xr:uid="{00000000-0005-0000-0000-0000F08D0000}"/>
    <cellStyle name="Normal 2 8 3 5 3 3 2 2" xfId="36334" xr:uid="{00000000-0005-0000-0000-0000F18D0000}"/>
    <cellStyle name="Normal 2 8 3 5 3 3 3" xfId="36335" xr:uid="{00000000-0005-0000-0000-0000F28D0000}"/>
    <cellStyle name="Normal 2 8 3 5 3 3 4" xfId="36336" xr:uid="{00000000-0005-0000-0000-0000F38D0000}"/>
    <cellStyle name="Normal 2 8 3 5 3 3 5" xfId="36337" xr:uid="{00000000-0005-0000-0000-0000F48D0000}"/>
    <cellStyle name="Normal 2 8 3 5 3 4" xfId="36338" xr:uid="{00000000-0005-0000-0000-0000F58D0000}"/>
    <cellStyle name="Normal 2 8 3 5 3 4 2" xfId="36339" xr:uid="{00000000-0005-0000-0000-0000F68D0000}"/>
    <cellStyle name="Normal 2 8 3 5 3 4 3" xfId="36340" xr:uid="{00000000-0005-0000-0000-0000F78D0000}"/>
    <cellStyle name="Normal 2 8 3 5 3 4 4" xfId="36341" xr:uid="{00000000-0005-0000-0000-0000F88D0000}"/>
    <cellStyle name="Normal 2 8 3 5 3 5" xfId="36342" xr:uid="{00000000-0005-0000-0000-0000F98D0000}"/>
    <cellStyle name="Normal 2 8 3 5 3 5 2" xfId="36343" xr:uid="{00000000-0005-0000-0000-0000FA8D0000}"/>
    <cellStyle name="Normal 2 8 3 5 3 6" xfId="36344" xr:uid="{00000000-0005-0000-0000-0000FB8D0000}"/>
    <cellStyle name="Normal 2 8 3 5 3 7" xfId="36345" xr:uid="{00000000-0005-0000-0000-0000FC8D0000}"/>
    <cellStyle name="Normal 2 8 3 5 3 8" xfId="36346" xr:uid="{00000000-0005-0000-0000-0000FD8D0000}"/>
    <cellStyle name="Normal 2 8 3 5 3 9" xfId="36347" xr:uid="{00000000-0005-0000-0000-0000FE8D0000}"/>
    <cellStyle name="Normal 2 8 3 5 4" xfId="36348" xr:uid="{00000000-0005-0000-0000-0000FF8D0000}"/>
    <cellStyle name="Normal 2 8 3 5 4 2" xfId="36349" xr:uid="{00000000-0005-0000-0000-0000008E0000}"/>
    <cellStyle name="Normal 2 8 3 5 4 2 2" xfId="36350" xr:uid="{00000000-0005-0000-0000-0000018E0000}"/>
    <cellStyle name="Normal 2 8 3 5 4 2 3" xfId="36351" xr:uid="{00000000-0005-0000-0000-0000028E0000}"/>
    <cellStyle name="Normal 2 8 3 5 4 3" xfId="36352" xr:uid="{00000000-0005-0000-0000-0000038E0000}"/>
    <cellStyle name="Normal 2 8 3 5 4 4" xfId="36353" xr:uid="{00000000-0005-0000-0000-0000048E0000}"/>
    <cellStyle name="Normal 2 8 3 5 4 5" xfId="36354" xr:uid="{00000000-0005-0000-0000-0000058E0000}"/>
    <cellStyle name="Normal 2 8 3 5 4 6" xfId="36355" xr:uid="{00000000-0005-0000-0000-0000068E0000}"/>
    <cellStyle name="Normal 2 8 3 5 5" xfId="36356" xr:uid="{00000000-0005-0000-0000-0000078E0000}"/>
    <cellStyle name="Normal 2 8 3 5 5 2" xfId="36357" xr:uid="{00000000-0005-0000-0000-0000088E0000}"/>
    <cellStyle name="Normal 2 8 3 5 5 2 2" xfId="36358" xr:uid="{00000000-0005-0000-0000-0000098E0000}"/>
    <cellStyle name="Normal 2 8 3 5 5 3" xfId="36359" xr:uid="{00000000-0005-0000-0000-00000A8E0000}"/>
    <cellStyle name="Normal 2 8 3 5 5 4" xfId="36360" xr:uid="{00000000-0005-0000-0000-00000B8E0000}"/>
    <cellStyle name="Normal 2 8 3 5 5 5" xfId="36361" xr:uid="{00000000-0005-0000-0000-00000C8E0000}"/>
    <cellStyle name="Normal 2 8 3 5 6" xfId="36362" xr:uid="{00000000-0005-0000-0000-00000D8E0000}"/>
    <cellStyle name="Normal 2 8 3 5 6 2" xfId="36363" xr:uid="{00000000-0005-0000-0000-00000E8E0000}"/>
    <cellStyle name="Normal 2 8 3 5 6 3" xfId="36364" xr:uid="{00000000-0005-0000-0000-00000F8E0000}"/>
    <cellStyle name="Normal 2 8 3 5 6 4" xfId="36365" xr:uid="{00000000-0005-0000-0000-0000108E0000}"/>
    <cellStyle name="Normal 2 8 3 5 7" xfId="36366" xr:uid="{00000000-0005-0000-0000-0000118E0000}"/>
    <cellStyle name="Normal 2 8 3 5 7 2" xfId="36367" xr:uid="{00000000-0005-0000-0000-0000128E0000}"/>
    <cellStyle name="Normal 2 8 3 5 8" xfId="36368" xr:uid="{00000000-0005-0000-0000-0000138E0000}"/>
    <cellStyle name="Normal 2 8 3 5 9" xfId="36369" xr:uid="{00000000-0005-0000-0000-0000148E0000}"/>
    <cellStyle name="Normal 2 8 3 6" xfId="36370" xr:uid="{00000000-0005-0000-0000-0000158E0000}"/>
    <cellStyle name="Normal 2 8 3 6 10" xfId="36371" xr:uid="{00000000-0005-0000-0000-0000168E0000}"/>
    <cellStyle name="Normal 2 8 3 6 11" xfId="36372" xr:uid="{00000000-0005-0000-0000-0000178E0000}"/>
    <cellStyle name="Normal 2 8 3 6 2" xfId="36373" xr:uid="{00000000-0005-0000-0000-0000188E0000}"/>
    <cellStyle name="Normal 2 8 3 6 2 2" xfId="36374" xr:uid="{00000000-0005-0000-0000-0000198E0000}"/>
    <cellStyle name="Normal 2 8 3 6 2 2 2" xfId="36375" xr:uid="{00000000-0005-0000-0000-00001A8E0000}"/>
    <cellStyle name="Normal 2 8 3 6 2 2 2 2" xfId="36376" xr:uid="{00000000-0005-0000-0000-00001B8E0000}"/>
    <cellStyle name="Normal 2 8 3 6 2 2 2 3" xfId="36377" xr:uid="{00000000-0005-0000-0000-00001C8E0000}"/>
    <cellStyle name="Normal 2 8 3 6 2 2 3" xfId="36378" xr:uid="{00000000-0005-0000-0000-00001D8E0000}"/>
    <cellStyle name="Normal 2 8 3 6 2 2 4" xfId="36379" xr:uid="{00000000-0005-0000-0000-00001E8E0000}"/>
    <cellStyle name="Normal 2 8 3 6 2 2 5" xfId="36380" xr:uid="{00000000-0005-0000-0000-00001F8E0000}"/>
    <cellStyle name="Normal 2 8 3 6 2 2 6" xfId="36381" xr:uid="{00000000-0005-0000-0000-0000208E0000}"/>
    <cellStyle name="Normal 2 8 3 6 2 3" xfId="36382" xr:uid="{00000000-0005-0000-0000-0000218E0000}"/>
    <cellStyle name="Normal 2 8 3 6 2 3 2" xfId="36383" xr:uid="{00000000-0005-0000-0000-0000228E0000}"/>
    <cellStyle name="Normal 2 8 3 6 2 3 2 2" xfId="36384" xr:uid="{00000000-0005-0000-0000-0000238E0000}"/>
    <cellStyle name="Normal 2 8 3 6 2 3 3" xfId="36385" xr:uid="{00000000-0005-0000-0000-0000248E0000}"/>
    <cellStyle name="Normal 2 8 3 6 2 3 4" xfId="36386" xr:uid="{00000000-0005-0000-0000-0000258E0000}"/>
    <cellStyle name="Normal 2 8 3 6 2 3 5" xfId="36387" xr:uid="{00000000-0005-0000-0000-0000268E0000}"/>
    <cellStyle name="Normal 2 8 3 6 2 4" xfId="36388" xr:uid="{00000000-0005-0000-0000-0000278E0000}"/>
    <cellStyle name="Normal 2 8 3 6 2 4 2" xfId="36389" xr:uid="{00000000-0005-0000-0000-0000288E0000}"/>
    <cellStyle name="Normal 2 8 3 6 2 4 3" xfId="36390" xr:uid="{00000000-0005-0000-0000-0000298E0000}"/>
    <cellStyle name="Normal 2 8 3 6 2 4 4" xfId="36391" xr:uid="{00000000-0005-0000-0000-00002A8E0000}"/>
    <cellStyle name="Normal 2 8 3 6 2 5" xfId="36392" xr:uid="{00000000-0005-0000-0000-00002B8E0000}"/>
    <cellStyle name="Normal 2 8 3 6 2 5 2" xfId="36393" xr:uid="{00000000-0005-0000-0000-00002C8E0000}"/>
    <cellStyle name="Normal 2 8 3 6 2 6" xfId="36394" xr:uid="{00000000-0005-0000-0000-00002D8E0000}"/>
    <cellStyle name="Normal 2 8 3 6 2 7" xfId="36395" xr:uid="{00000000-0005-0000-0000-00002E8E0000}"/>
    <cellStyle name="Normal 2 8 3 6 2 8" xfId="36396" xr:uid="{00000000-0005-0000-0000-00002F8E0000}"/>
    <cellStyle name="Normal 2 8 3 6 2 9" xfId="36397" xr:uid="{00000000-0005-0000-0000-0000308E0000}"/>
    <cellStyle name="Normal 2 8 3 6 3" xfId="36398" xr:uid="{00000000-0005-0000-0000-0000318E0000}"/>
    <cellStyle name="Normal 2 8 3 6 3 2" xfId="36399" xr:uid="{00000000-0005-0000-0000-0000328E0000}"/>
    <cellStyle name="Normal 2 8 3 6 3 2 2" xfId="36400" xr:uid="{00000000-0005-0000-0000-0000338E0000}"/>
    <cellStyle name="Normal 2 8 3 6 3 2 2 2" xfId="36401" xr:uid="{00000000-0005-0000-0000-0000348E0000}"/>
    <cellStyle name="Normal 2 8 3 6 3 2 2 3" xfId="36402" xr:uid="{00000000-0005-0000-0000-0000358E0000}"/>
    <cellStyle name="Normal 2 8 3 6 3 2 3" xfId="36403" xr:uid="{00000000-0005-0000-0000-0000368E0000}"/>
    <cellStyle name="Normal 2 8 3 6 3 2 4" xfId="36404" xr:uid="{00000000-0005-0000-0000-0000378E0000}"/>
    <cellStyle name="Normal 2 8 3 6 3 2 5" xfId="36405" xr:uid="{00000000-0005-0000-0000-0000388E0000}"/>
    <cellStyle name="Normal 2 8 3 6 3 2 6" xfId="36406" xr:uid="{00000000-0005-0000-0000-0000398E0000}"/>
    <cellStyle name="Normal 2 8 3 6 3 3" xfId="36407" xr:uid="{00000000-0005-0000-0000-00003A8E0000}"/>
    <cellStyle name="Normal 2 8 3 6 3 3 2" xfId="36408" xr:uid="{00000000-0005-0000-0000-00003B8E0000}"/>
    <cellStyle name="Normal 2 8 3 6 3 3 2 2" xfId="36409" xr:uid="{00000000-0005-0000-0000-00003C8E0000}"/>
    <cellStyle name="Normal 2 8 3 6 3 3 3" xfId="36410" xr:uid="{00000000-0005-0000-0000-00003D8E0000}"/>
    <cellStyle name="Normal 2 8 3 6 3 3 4" xfId="36411" xr:uid="{00000000-0005-0000-0000-00003E8E0000}"/>
    <cellStyle name="Normal 2 8 3 6 3 3 5" xfId="36412" xr:uid="{00000000-0005-0000-0000-00003F8E0000}"/>
    <cellStyle name="Normal 2 8 3 6 3 4" xfId="36413" xr:uid="{00000000-0005-0000-0000-0000408E0000}"/>
    <cellStyle name="Normal 2 8 3 6 3 4 2" xfId="36414" xr:uid="{00000000-0005-0000-0000-0000418E0000}"/>
    <cellStyle name="Normal 2 8 3 6 3 4 3" xfId="36415" xr:uid="{00000000-0005-0000-0000-0000428E0000}"/>
    <cellStyle name="Normal 2 8 3 6 3 4 4" xfId="36416" xr:uid="{00000000-0005-0000-0000-0000438E0000}"/>
    <cellStyle name="Normal 2 8 3 6 3 5" xfId="36417" xr:uid="{00000000-0005-0000-0000-0000448E0000}"/>
    <cellStyle name="Normal 2 8 3 6 3 5 2" xfId="36418" xr:uid="{00000000-0005-0000-0000-0000458E0000}"/>
    <cellStyle name="Normal 2 8 3 6 3 6" xfId="36419" xr:uid="{00000000-0005-0000-0000-0000468E0000}"/>
    <cellStyle name="Normal 2 8 3 6 3 7" xfId="36420" xr:uid="{00000000-0005-0000-0000-0000478E0000}"/>
    <cellStyle name="Normal 2 8 3 6 3 8" xfId="36421" xr:uid="{00000000-0005-0000-0000-0000488E0000}"/>
    <cellStyle name="Normal 2 8 3 6 3 9" xfId="36422" xr:uid="{00000000-0005-0000-0000-0000498E0000}"/>
    <cellStyle name="Normal 2 8 3 6 4" xfId="36423" xr:uid="{00000000-0005-0000-0000-00004A8E0000}"/>
    <cellStyle name="Normal 2 8 3 6 4 2" xfId="36424" xr:uid="{00000000-0005-0000-0000-00004B8E0000}"/>
    <cellStyle name="Normal 2 8 3 6 4 2 2" xfId="36425" xr:uid="{00000000-0005-0000-0000-00004C8E0000}"/>
    <cellStyle name="Normal 2 8 3 6 4 2 3" xfId="36426" xr:uid="{00000000-0005-0000-0000-00004D8E0000}"/>
    <cellStyle name="Normal 2 8 3 6 4 3" xfId="36427" xr:uid="{00000000-0005-0000-0000-00004E8E0000}"/>
    <cellStyle name="Normal 2 8 3 6 4 4" xfId="36428" xr:uid="{00000000-0005-0000-0000-00004F8E0000}"/>
    <cellStyle name="Normal 2 8 3 6 4 5" xfId="36429" xr:uid="{00000000-0005-0000-0000-0000508E0000}"/>
    <cellStyle name="Normal 2 8 3 6 4 6" xfId="36430" xr:uid="{00000000-0005-0000-0000-0000518E0000}"/>
    <cellStyle name="Normal 2 8 3 6 5" xfId="36431" xr:uid="{00000000-0005-0000-0000-0000528E0000}"/>
    <cellStyle name="Normal 2 8 3 6 5 2" xfId="36432" xr:uid="{00000000-0005-0000-0000-0000538E0000}"/>
    <cellStyle name="Normal 2 8 3 6 5 2 2" xfId="36433" xr:uid="{00000000-0005-0000-0000-0000548E0000}"/>
    <cellStyle name="Normal 2 8 3 6 5 3" xfId="36434" xr:uid="{00000000-0005-0000-0000-0000558E0000}"/>
    <cellStyle name="Normal 2 8 3 6 5 4" xfId="36435" xr:uid="{00000000-0005-0000-0000-0000568E0000}"/>
    <cellStyle name="Normal 2 8 3 6 5 5" xfId="36436" xr:uid="{00000000-0005-0000-0000-0000578E0000}"/>
    <cellStyle name="Normal 2 8 3 6 6" xfId="36437" xr:uid="{00000000-0005-0000-0000-0000588E0000}"/>
    <cellStyle name="Normal 2 8 3 6 6 2" xfId="36438" xr:uid="{00000000-0005-0000-0000-0000598E0000}"/>
    <cellStyle name="Normal 2 8 3 6 6 3" xfId="36439" xr:uid="{00000000-0005-0000-0000-00005A8E0000}"/>
    <cellStyle name="Normal 2 8 3 6 6 4" xfId="36440" xr:uid="{00000000-0005-0000-0000-00005B8E0000}"/>
    <cellStyle name="Normal 2 8 3 6 7" xfId="36441" xr:uid="{00000000-0005-0000-0000-00005C8E0000}"/>
    <cellStyle name="Normal 2 8 3 6 7 2" xfId="36442" xr:uid="{00000000-0005-0000-0000-00005D8E0000}"/>
    <cellStyle name="Normal 2 8 3 6 8" xfId="36443" xr:uid="{00000000-0005-0000-0000-00005E8E0000}"/>
    <cellStyle name="Normal 2 8 3 6 9" xfId="36444" xr:uid="{00000000-0005-0000-0000-00005F8E0000}"/>
    <cellStyle name="Normal 2 8 3 7" xfId="36445" xr:uid="{00000000-0005-0000-0000-0000608E0000}"/>
    <cellStyle name="Normal 2 8 3 7 10" xfId="36446" xr:uid="{00000000-0005-0000-0000-0000618E0000}"/>
    <cellStyle name="Normal 2 8 3 7 11" xfId="36447" xr:uid="{00000000-0005-0000-0000-0000628E0000}"/>
    <cellStyle name="Normal 2 8 3 7 2" xfId="36448" xr:uid="{00000000-0005-0000-0000-0000638E0000}"/>
    <cellStyle name="Normal 2 8 3 7 2 2" xfId="36449" xr:uid="{00000000-0005-0000-0000-0000648E0000}"/>
    <cellStyle name="Normal 2 8 3 7 2 2 2" xfId="36450" xr:uid="{00000000-0005-0000-0000-0000658E0000}"/>
    <cellStyle name="Normal 2 8 3 7 2 2 2 2" xfId="36451" xr:uid="{00000000-0005-0000-0000-0000668E0000}"/>
    <cellStyle name="Normal 2 8 3 7 2 2 2 3" xfId="36452" xr:uid="{00000000-0005-0000-0000-0000678E0000}"/>
    <cellStyle name="Normal 2 8 3 7 2 2 3" xfId="36453" xr:uid="{00000000-0005-0000-0000-0000688E0000}"/>
    <cellStyle name="Normal 2 8 3 7 2 2 4" xfId="36454" xr:uid="{00000000-0005-0000-0000-0000698E0000}"/>
    <cellStyle name="Normal 2 8 3 7 2 2 5" xfId="36455" xr:uid="{00000000-0005-0000-0000-00006A8E0000}"/>
    <cellStyle name="Normal 2 8 3 7 2 2 6" xfId="36456" xr:uid="{00000000-0005-0000-0000-00006B8E0000}"/>
    <cellStyle name="Normal 2 8 3 7 2 3" xfId="36457" xr:uid="{00000000-0005-0000-0000-00006C8E0000}"/>
    <cellStyle name="Normal 2 8 3 7 2 3 2" xfId="36458" xr:uid="{00000000-0005-0000-0000-00006D8E0000}"/>
    <cellStyle name="Normal 2 8 3 7 2 3 2 2" xfId="36459" xr:uid="{00000000-0005-0000-0000-00006E8E0000}"/>
    <cellStyle name="Normal 2 8 3 7 2 3 3" xfId="36460" xr:uid="{00000000-0005-0000-0000-00006F8E0000}"/>
    <cellStyle name="Normal 2 8 3 7 2 3 4" xfId="36461" xr:uid="{00000000-0005-0000-0000-0000708E0000}"/>
    <cellStyle name="Normal 2 8 3 7 2 3 5" xfId="36462" xr:uid="{00000000-0005-0000-0000-0000718E0000}"/>
    <cellStyle name="Normal 2 8 3 7 2 4" xfId="36463" xr:uid="{00000000-0005-0000-0000-0000728E0000}"/>
    <cellStyle name="Normal 2 8 3 7 2 4 2" xfId="36464" xr:uid="{00000000-0005-0000-0000-0000738E0000}"/>
    <cellStyle name="Normal 2 8 3 7 2 4 3" xfId="36465" xr:uid="{00000000-0005-0000-0000-0000748E0000}"/>
    <cellStyle name="Normal 2 8 3 7 2 4 4" xfId="36466" xr:uid="{00000000-0005-0000-0000-0000758E0000}"/>
    <cellStyle name="Normal 2 8 3 7 2 5" xfId="36467" xr:uid="{00000000-0005-0000-0000-0000768E0000}"/>
    <cellStyle name="Normal 2 8 3 7 2 5 2" xfId="36468" xr:uid="{00000000-0005-0000-0000-0000778E0000}"/>
    <cellStyle name="Normal 2 8 3 7 2 6" xfId="36469" xr:uid="{00000000-0005-0000-0000-0000788E0000}"/>
    <cellStyle name="Normal 2 8 3 7 2 7" xfId="36470" xr:uid="{00000000-0005-0000-0000-0000798E0000}"/>
    <cellStyle name="Normal 2 8 3 7 2 8" xfId="36471" xr:uid="{00000000-0005-0000-0000-00007A8E0000}"/>
    <cellStyle name="Normal 2 8 3 7 2 9" xfId="36472" xr:uid="{00000000-0005-0000-0000-00007B8E0000}"/>
    <cellStyle name="Normal 2 8 3 7 3" xfId="36473" xr:uid="{00000000-0005-0000-0000-00007C8E0000}"/>
    <cellStyle name="Normal 2 8 3 7 3 2" xfId="36474" xr:uid="{00000000-0005-0000-0000-00007D8E0000}"/>
    <cellStyle name="Normal 2 8 3 7 3 2 2" xfId="36475" xr:uid="{00000000-0005-0000-0000-00007E8E0000}"/>
    <cellStyle name="Normal 2 8 3 7 3 2 2 2" xfId="36476" xr:uid="{00000000-0005-0000-0000-00007F8E0000}"/>
    <cellStyle name="Normal 2 8 3 7 3 2 2 3" xfId="36477" xr:uid="{00000000-0005-0000-0000-0000808E0000}"/>
    <cellStyle name="Normal 2 8 3 7 3 2 3" xfId="36478" xr:uid="{00000000-0005-0000-0000-0000818E0000}"/>
    <cellStyle name="Normal 2 8 3 7 3 2 4" xfId="36479" xr:uid="{00000000-0005-0000-0000-0000828E0000}"/>
    <cellStyle name="Normal 2 8 3 7 3 2 5" xfId="36480" xr:uid="{00000000-0005-0000-0000-0000838E0000}"/>
    <cellStyle name="Normal 2 8 3 7 3 2 6" xfId="36481" xr:uid="{00000000-0005-0000-0000-0000848E0000}"/>
    <cellStyle name="Normal 2 8 3 7 3 3" xfId="36482" xr:uid="{00000000-0005-0000-0000-0000858E0000}"/>
    <cellStyle name="Normal 2 8 3 7 3 3 2" xfId="36483" xr:uid="{00000000-0005-0000-0000-0000868E0000}"/>
    <cellStyle name="Normal 2 8 3 7 3 3 2 2" xfId="36484" xr:uid="{00000000-0005-0000-0000-0000878E0000}"/>
    <cellStyle name="Normal 2 8 3 7 3 3 3" xfId="36485" xr:uid="{00000000-0005-0000-0000-0000888E0000}"/>
    <cellStyle name="Normal 2 8 3 7 3 3 4" xfId="36486" xr:uid="{00000000-0005-0000-0000-0000898E0000}"/>
    <cellStyle name="Normal 2 8 3 7 3 3 5" xfId="36487" xr:uid="{00000000-0005-0000-0000-00008A8E0000}"/>
    <cellStyle name="Normal 2 8 3 7 3 4" xfId="36488" xr:uid="{00000000-0005-0000-0000-00008B8E0000}"/>
    <cellStyle name="Normal 2 8 3 7 3 4 2" xfId="36489" xr:uid="{00000000-0005-0000-0000-00008C8E0000}"/>
    <cellStyle name="Normal 2 8 3 7 3 4 3" xfId="36490" xr:uid="{00000000-0005-0000-0000-00008D8E0000}"/>
    <cellStyle name="Normal 2 8 3 7 3 4 4" xfId="36491" xr:uid="{00000000-0005-0000-0000-00008E8E0000}"/>
    <cellStyle name="Normal 2 8 3 7 3 5" xfId="36492" xr:uid="{00000000-0005-0000-0000-00008F8E0000}"/>
    <cellStyle name="Normal 2 8 3 7 3 5 2" xfId="36493" xr:uid="{00000000-0005-0000-0000-0000908E0000}"/>
    <cellStyle name="Normal 2 8 3 7 3 6" xfId="36494" xr:uid="{00000000-0005-0000-0000-0000918E0000}"/>
    <cellStyle name="Normal 2 8 3 7 3 7" xfId="36495" xr:uid="{00000000-0005-0000-0000-0000928E0000}"/>
    <cellStyle name="Normal 2 8 3 7 3 8" xfId="36496" xr:uid="{00000000-0005-0000-0000-0000938E0000}"/>
    <cellStyle name="Normal 2 8 3 7 3 9" xfId="36497" xr:uid="{00000000-0005-0000-0000-0000948E0000}"/>
    <cellStyle name="Normal 2 8 3 7 4" xfId="36498" xr:uid="{00000000-0005-0000-0000-0000958E0000}"/>
    <cellStyle name="Normal 2 8 3 7 4 2" xfId="36499" xr:uid="{00000000-0005-0000-0000-0000968E0000}"/>
    <cellStyle name="Normal 2 8 3 7 4 2 2" xfId="36500" xr:uid="{00000000-0005-0000-0000-0000978E0000}"/>
    <cellStyle name="Normal 2 8 3 7 4 2 3" xfId="36501" xr:uid="{00000000-0005-0000-0000-0000988E0000}"/>
    <cellStyle name="Normal 2 8 3 7 4 3" xfId="36502" xr:uid="{00000000-0005-0000-0000-0000998E0000}"/>
    <cellStyle name="Normal 2 8 3 7 4 4" xfId="36503" xr:uid="{00000000-0005-0000-0000-00009A8E0000}"/>
    <cellStyle name="Normal 2 8 3 7 4 5" xfId="36504" xr:uid="{00000000-0005-0000-0000-00009B8E0000}"/>
    <cellStyle name="Normal 2 8 3 7 4 6" xfId="36505" xr:uid="{00000000-0005-0000-0000-00009C8E0000}"/>
    <cellStyle name="Normal 2 8 3 7 5" xfId="36506" xr:uid="{00000000-0005-0000-0000-00009D8E0000}"/>
    <cellStyle name="Normal 2 8 3 7 5 2" xfId="36507" xr:uid="{00000000-0005-0000-0000-00009E8E0000}"/>
    <cellStyle name="Normal 2 8 3 7 5 2 2" xfId="36508" xr:uid="{00000000-0005-0000-0000-00009F8E0000}"/>
    <cellStyle name="Normal 2 8 3 7 5 3" xfId="36509" xr:uid="{00000000-0005-0000-0000-0000A08E0000}"/>
    <cellStyle name="Normal 2 8 3 7 5 4" xfId="36510" xr:uid="{00000000-0005-0000-0000-0000A18E0000}"/>
    <cellStyle name="Normal 2 8 3 7 5 5" xfId="36511" xr:uid="{00000000-0005-0000-0000-0000A28E0000}"/>
    <cellStyle name="Normal 2 8 3 7 6" xfId="36512" xr:uid="{00000000-0005-0000-0000-0000A38E0000}"/>
    <cellStyle name="Normal 2 8 3 7 6 2" xfId="36513" xr:uid="{00000000-0005-0000-0000-0000A48E0000}"/>
    <cellStyle name="Normal 2 8 3 7 6 3" xfId="36514" xr:uid="{00000000-0005-0000-0000-0000A58E0000}"/>
    <cellStyle name="Normal 2 8 3 7 6 4" xfId="36515" xr:uid="{00000000-0005-0000-0000-0000A68E0000}"/>
    <cellStyle name="Normal 2 8 3 7 7" xfId="36516" xr:uid="{00000000-0005-0000-0000-0000A78E0000}"/>
    <cellStyle name="Normal 2 8 3 7 7 2" xfId="36517" xr:uid="{00000000-0005-0000-0000-0000A88E0000}"/>
    <cellStyle name="Normal 2 8 3 7 8" xfId="36518" xr:uid="{00000000-0005-0000-0000-0000A98E0000}"/>
    <cellStyle name="Normal 2 8 3 7 9" xfId="36519" xr:uid="{00000000-0005-0000-0000-0000AA8E0000}"/>
    <cellStyle name="Normal 2 8 3 8" xfId="36520" xr:uid="{00000000-0005-0000-0000-0000AB8E0000}"/>
    <cellStyle name="Normal 2 8 3 8 10" xfId="36521" xr:uid="{00000000-0005-0000-0000-0000AC8E0000}"/>
    <cellStyle name="Normal 2 8 3 8 2" xfId="36522" xr:uid="{00000000-0005-0000-0000-0000AD8E0000}"/>
    <cellStyle name="Normal 2 8 3 8 2 2" xfId="36523" xr:uid="{00000000-0005-0000-0000-0000AE8E0000}"/>
    <cellStyle name="Normal 2 8 3 8 2 2 2" xfId="36524" xr:uid="{00000000-0005-0000-0000-0000AF8E0000}"/>
    <cellStyle name="Normal 2 8 3 8 2 2 3" xfId="36525" xr:uid="{00000000-0005-0000-0000-0000B08E0000}"/>
    <cellStyle name="Normal 2 8 3 8 2 3" xfId="36526" xr:uid="{00000000-0005-0000-0000-0000B18E0000}"/>
    <cellStyle name="Normal 2 8 3 8 2 4" xfId="36527" xr:uid="{00000000-0005-0000-0000-0000B28E0000}"/>
    <cellStyle name="Normal 2 8 3 8 2 5" xfId="36528" xr:uid="{00000000-0005-0000-0000-0000B38E0000}"/>
    <cellStyle name="Normal 2 8 3 8 2 6" xfId="36529" xr:uid="{00000000-0005-0000-0000-0000B48E0000}"/>
    <cellStyle name="Normal 2 8 3 8 3" xfId="36530" xr:uid="{00000000-0005-0000-0000-0000B58E0000}"/>
    <cellStyle name="Normal 2 8 3 8 3 2" xfId="36531" xr:uid="{00000000-0005-0000-0000-0000B68E0000}"/>
    <cellStyle name="Normal 2 8 3 8 3 2 2" xfId="36532" xr:uid="{00000000-0005-0000-0000-0000B78E0000}"/>
    <cellStyle name="Normal 2 8 3 8 3 2 3" xfId="36533" xr:uid="{00000000-0005-0000-0000-0000B88E0000}"/>
    <cellStyle name="Normal 2 8 3 8 3 3" xfId="36534" xr:uid="{00000000-0005-0000-0000-0000B98E0000}"/>
    <cellStyle name="Normal 2 8 3 8 3 4" xfId="36535" xr:uid="{00000000-0005-0000-0000-0000BA8E0000}"/>
    <cellStyle name="Normal 2 8 3 8 3 5" xfId="36536" xr:uid="{00000000-0005-0000-0000-0000BB8E0000}"/>
    <cellStyle name="Normal 2 8 3 8 3 6" xfId="36537" xr:uid="{00000000-0005-0000-0000-0000BC8E0000}"/>
    <cellStyle name="Normal 2 8 3 8 4" xfId="36538" xr:uid="{00000000-0005-0000-0000-0000BD8E0000}"/>
    <cellStyle name="Normal 2 8 3 8 4 2" xfId="36539" xr:uid="{00000000-0005-0000-0000-0000BE8E0000}"/>
    <cellStyle name="Normal 2 8 3 8 4 2 2" xfId="36540" xr:uid="{00000000-0005-0000-0000-0000BF8E0000}"/>
    <cellStyle name="Normal 2 8 3 8 4 3" xfId="36541" xr:uid="{00000000-0005-0000-0000-0000C08E0000}"/>
    <cellStyle name="Normal 2 8 3 8 4 4" xfId="36542" xr:uid="{00000000-0005-0000-0000-0000C18E0000}"/>
    <cellStyle name="Normal 2 8 3 8 4 5" xfId="36543" xr:uid="{00000000-0005-0000-0000-0000C28E0000}"/>
    <cellStyle name="Normal 2 8 3 8 5" xfId="36544" xr:uid="{00000000-0005-0000-0000-0000C38E0000}"/>
    <cellStyle name="Normal 2 8 3 8 5 2" xfId="36545" xr:uid="{00000000-0005-0000-0000-0000C48E0000}"/>
    <cellStyle name="Normal 2 8 3 8 5 3" xfId="36546" xr:uid="{00000000-0005-0000-0000-0000C58E0000}"/>
    <cellStyle name="Normal 2 8 3 8 5 4" xfId="36547" xr:uid="{00000000-0005-0000-0000-0000C68E0000}"/>
    <cellStyle name="Normal 2 8 3 8 6" xfId="36548" xr:uid="{00000000-0005-0000-0000-0000C78E0000}"/>
    <cellStyle name="Normal 2 8 3 8 6 2" xfId="36549" xr:uid="{00000000-0005-0000-0000-0000C88E0000}"/>
    <cellStyle name="Normal 2 8 3 8 7" xfId="36550" xr:uid="{00000000-0005-0000-0000-0000C98E0000}"/>
    <cellStyle name="Normal 2 8 3 8 8" xfId="36551" xr:uid="{00000000-0005-0000-0000-0000CA8E0000}"/>
    <cellStyle name="Normal 2 8 3 8 9" xfId="36552" xr:uid="{00000000-0005-0000-0000-0000CB8E0000}"/>
    <cellStyle name="Normal 2 8 3 9" xfId="36553" xr:uid="{00000000-0005-0000-0000-0000CC8E0000}"/>
    <cellStyle name="Normal 2 8 3 9 10" xfId="36554" xr:uid="{00000000-0005-0000-0000-0000CD8E0000}"/>
    <cellStyle name="Normal 2 8 3 9 2" xfId="36555" xr:uid="{00000000-0005-0000-0000-0000CE8E0000}"/>
    <cellStyle name="Normal 2 8 3 9 2 2" xfId="36556" xr:uid="{00000000-0005-0000-0000-0000CF8E0000}"/>
    <cellStyle name="Normal 2 8 3 9 2 2 2" xfId="36557" xr:uid="{00000000-0005-0000-0000-0000D08E0000}"/>
    <cellStyle name="Normal 2 8 3 9 2 2 3" xfId="36558" xr:uid="{00000000-0005-0000-0000-0000D18E0000}"/>
    <cellStyle name="Normal 2 8 3 9 2 3" xfId="36559" xr:uid="{00000000-0005-0000-0000-0000D28E0000}"/>
    <cellStyle name="Normal 2 8 3 9 2 4" xfId="36560" xr:uid="{00000000-0005-0000-0000-0000D38E0000}"/>
    <cellStyle name="Normal 2 8 3 9 2 5" xfId="36561" xr:uid="{00000000-0005-0000-0000-0000D48E0000}"/>
    <cellStyle name="Normal 2 8 3 9 2 6" xfId="36562" xr:uid="{00000000-0005-0000-0000-0000D58E0000}"/>
    <cellStyle name="Normal 2 8 3 9 3" xfId="36563" xr:uid="{00000000-0005-0000-0000-0000D68E0000}"/>
    <cellStyle name="Normal 2 8 3 9 3 2" xfId="36564" xr:uid="{00000000-0005-0000-0000-0000D78E0000}"/>
    <cellStyle name="Normal 2 8 3 9 3 2 2" xfId="36565" xr:uid="{00000000-0005-0000-0000-0000D88E0000}"/>
    <cellStyle name="Normal 2 8 3 9 3 2 3" xfId="36566" xr:uid="{00000000-0005-0000-0000-0000D98E0000}"/>
    <cellStyle name="Normal 2 8 3 9 3 3" xfId="36567" xr:uid="{00000000-0005-0000-0000-0000DA8E0000}"/>
    <cellStyle name="Normal 2 8 3 9 3 4" xfId="36568" xr:uid="{00000000-0005-0000-0000-0000DB8E0000}"/>
    <cellStyle name="Normal 2 8 3 9 3 5" xfId="36569" xr:uid="{00000000-0005-0000-0000-0000DC8E0000}"/>
    <cellStyle name="Normal 2 8 3 9 3 6" xfId="36570" xr:uid="{00000000-0005-0000-0000-0000DD8E0000}"/>
    <cellStyle name="Normal 2 8 3 9 4" xfId="36571" xr:uid="{00000000-0005-0000-0000-0000DE8E0000}"/>
    <cellStyle name="Normal 2 8 3 9 4 2" xfId="36572" xr:uid="{00000000-0005-0000-0000-0000DF8E0000}"/>
    <cellStyle name="Normal 2 8 3 9 4 2 2" xfId="36573" xr:uid="{00000000-0005-0000-0000-0000E08E0000}"/>
    <cellStyle name="Normal 2 8 3 9 4 3" xfId="36574" xr:uid="{00000000-0005-0000-0000-0000E18E0000}"/>
    <cellStyle name="Normal 2 8 3 9 4 4" xfId="36575" xr:uid="{00000000-0005-0000-0000-0000E28E0000}"/>
    <cellStyle name="Normal 2 8 3 9 4 5" xfId="36576" xr:uid="{00000000-0005-0000-0000-0000E38E0000}"/>
    <cellStyle name="Normal 2 8 3 9 5" xfId="36577" xr:uid="{00000000-0005-0000-0000-0000E48E0000}"/>
    <cellStyle name="Normal 2 8 3 9 5 2" xfId="36578" xr:uid="{00000000-0005-0000-0000-0000E58E0000}"/>
    <cellStyle name="Normal 2 8 3 9 5 3" xfId="36579" xr:uid="{00000000-0005-0000-0000-0000E68E0000}"/>
    <cellStyle name="Normal 2 8 3 9 5 4" xfId="36580" xr:uid="{00000000-0005-0000-0000-0000E78E0000}"/>
    <cellStyle name="Normal 2 8 3 9 6" xfId="36581" xr:uid="{00000000-0005-0000-0000-0000E88E0000}"/>
    <cellStyle name="Normal 2 8 3 9 6 2" xfId="36582" xr:uid="{00000000-0005-0000-0000-0000E98E0000}"/>
    <cellStyle name="Normal 2 8 3 9 7" xfId="36583" xr:uid="{00000000-0005-0000-0000-0000EA8E0000}"/>
    <cellStyle name="Normal 2 8 3 9 8" xfId="36584" xr:uid="{00000000-0005-0000-0000-0000EB8E0000}"/>
    <cellStyle name="Normal 2 8 3 9 9" xfId="36585" xr:uid="{00000000-0005-0000-0000-0000EC8E0000}"/>
    <cellStyle name="Normal 2 8 30" xfId="36586" xr:uid="{00000000-0005-0000-0000-0000ED8E0000}"/>
    <cellStyle name="Normal 2 8 30 2" xfId="36587" xr:uid="{00000000-0005-0000-0000-0000EE8E0000}"/>
    <cellStyle name="Normal 2 8 30 2 2" xfId="36588" xr:uid="{00000000-0005-0000-0000-0000EF8E0000}"/>
    <cellStyle name="Normal 2 8 30 2 2 2" xfId="36589" xr:uid="{00000000-0005-0000-0000-0000F08E0000}"/>
    <cellStyle name="Normal 2 8 30 2 2 3" xfId="36590" xr:uid="{00000000-0005-0000-0000-0000F18E0000}"/>
    <cellStyle name="Normal 2 8 30 2 3" xfId="36591" xr:uid="{00000000-0005-0000-0000-0000F28E0000}"/>
    <cellStyle name="Normal 2 8 30 2 4" xfId="36592" xr:uid="{00000000-0005-0000-0000-0000F38E0000}"/>
    <cellStyle name="Normal 2 8 30 2 5" xfId="36593" xr:uid="{00000000-0005-0000-0000-0000F48E0000}"/>
    <cellStyle name="Normal 2 8 30 2 6" xfId="36594" xr:uid="{00000000-0005-0000-0000-0000F58E0000}"/>
    <cellStyle name="Normal 2 8 30 3" xfId="36595" xr:uid="{00000000-0005-0000-0000-0000F68E0000}"/>
    <cellStyle name="Normal 2 8 30 3 2" xfId="36596" xr:uid="{00000000-0005-0000-0000-0000F78E0000}"/>
    <cellStyle name="Normal 2 8 30 3 2 2" xfId="36597" xr:uid="{00000000-0005-0000-0000-0000F88E0000}"/>
    <cellStyle name="Normal 2 8 30 3 3" xfId="36598" xr:uid="{00000000-0005-0000-0000-0000F98E0000}"/>
    <cellStyle name="Normal 2 8 30 3 4" xfId="36599" xr:uid="{00000000-0005-0000-0000-0000FA8E0000}"/>
    <cellStyle name="Normal 2 8 30 3 5" xfId="36600" xr:uid="{00000000-0005-0000-0000-0000FB8E0000}"/>
    <cellStyle name="Normal 2 8 30 4" xfId="36601" xr:uid="{00000000-0005-0000-0000-0000FC8E0000}"/>
    <cellStyle name="Normal 2 8 30 4 2" xfId="36602" xr:uid="{00000000-0005-0000-0000-0000FD8E0000}"/>
    <cellStyle name="Normal 2 8 30 4 3" xfId="36603" xr:uid="{00000000-0005-0000-0000-0000FE8E0000}"/>
    <cellStyle name="Normal 2 8 30 4 4" xfId="36604" xr:uid="{00000000-0005-0000-0000-0000FF8E0000}"/>
    <cellStyle name="Normal 2 8 30 5" xfId="36605" xr:uid="{00000000-0005-0000-0000-0000008F0000}"/>
    <cellStyle name="Normal 2 8 30 5 2" xfId="36606" xr:uid="{00000000-0005-0000-0000-0000018F0000}"/>
    <cellStyle name="Normal 2 8 30 6" xfId="36607" xr:uid="{00000000-0005-0000-0000-0000028F0000}"/>
    <cellStyle name="Normal 2 8 30 7" xfId="36608" xr:uid="{00000000-0005-0000-0000-0000038F0000}"/>
    <cellStyle name="Normal 2 8 30 8" xfId="36609" xr:uid="{00000000-0005-0000-0000-0000048F0000}"/>
    <cellStyle name="Normal 2 8 30 9" xfId="36610" xr:uid="{00000000-0005-0000-0000-0000058F0000}"/>
    <cellStyle name="Normal 2 8 31" xfId="36611" xr:uid="{00000000-0005-0000-0000-0000068F0000}"/>
    <cellStyle name="Normal 2 8 31 2" xfId="36612" xr:uid="{00000000-0005-0000-0000-0000078F0000}"/>
    <cellStyle name="Normal 2 8 31 2 2" xfId="36613" xr:uid="{00000000-0005-0000-0000-0000088F0000}"/>
    <cellStyle name="Normal 2 8 31 2 2 2" xfId="36614" xr:uid="{00000000-0005-0000-0000-0000098F0000}"/>
    <cellStyle name="Normal 2 8 31 2 2 3" xfId="36615" xr:uid="{00000000-0005-0000-0000-00000A8F0000}"/>
    <cellStyle name="Normal 2 8 31 2 3" xfId="36616" xr:uid="{00000000-0005-0000-0000-00000B8F0000}"/>
    <cellStyle name="Normal 2 8 31 2 4" xfId="36617" xr:uid="{00000000-0005-0000-0000-00000C8F0000}"/>
    <cellStyle name="Normal 2 8 31 2 5" xfId="36618" xr:uid="{00000000-0005-0000-0000-00000D8F0000}"/>
    <cellStyle name="Normal 2 8 31 2 6" xfId="36619" xr:uid="{00000000-0005-0000-0000-00000E8F0000}"/>
    <cellStyle name="Normal 2 8 31 3" xfId="36620" xr:uid="{00000000-0005-0000-0000-00000F8F0000}"/>
    <cellStyle name="Normal 2 8 31 3 2" xfId="36621" xr:uid="{00000000-0005-0000-0000-0000108F0000}"/>
    <cellStyle name="Normal 2 8 31 3 2 2" xfId="36622" xr:uid="{00000000-0005-0000-0000-0000118F0000}"/>
    <cellStyle name="Normal 2 8 31 3 3" xfId="36623" xr:uid="{00000000-0005-0000-0000-0000128F0000}"/>
    <cellStyle name="Normal 2 8 31 3 4" xfId="36624" xr:uid="{00000000-0005-0000-0000-0000138F0000}"/>
    <cellStyle name="Normal 2 8 31 3 5" xfId="36625" xr:uid="{00000000-0005-0000-0000-0000148F0000}"/>
    <cellStyle name="Normal 2 8 31 4" xfId="36626" xr:uid="{00000000-0005-0000-0000-0000158F0000}"/>
    <cellStyle name="Normal 2 8 31 4 2" xfId="36627" xr:uid="{00000000-0005-0000-0000-0000168F0000}"/>
    <cellStyle name="Normal 2 8 31 4 3" xfId="36628" xr:uid="{00000000-0005-0000-0000-0000178F0000}"/>
    <cellStyle name="Normal 2 8 31 4 4" xfId="36629" xr:uid="{00000000-0005-0000-0000-0000188F0000}"/>
    <cellStyle name="Normal 2 8 31 5" xfId="36630" xr:uid="{00000000-0005-0000-0000-0000198F0000}"/>
    <cellStyle name="Normal 2 8 31 5 2" xfId="36631" xr:uid="{00000000-0005-0000-0000-00001A8F0000}"/>
    <cellStyle name="Normal 2 8 31 6" xfId="36632" xr:uid="{00000000-0005-0000-0000-00001B8F0000}"/>
    <cellStyle name="Normal 2 8 31 7" xfId="36633" xr:uid="{00000000-0005-0000-0000-00001C8F0000}"/>
    <cellStyle name="Normal 2 8 31 8" xfId="36634" xr:uid="{00000000-0005-0000-0000-00001D8F0000}"/>
    <cellStyle name="Normal 2 8 31 9" xfId="36635" xr:uid="{00000000-0005-0000-0000-00001E8F0000}"/>
    <cellStyle name="Normal 2 8 32" xfId="36636" xr:uid="{00000000-0005-0000-0000-00001F8F0000}"/>
    <cellStyle name="Normal 2 8 32 2" xfId="36637" xr:uid="{00000000-0005-0000-0000-0000208F0000}"/>
    <cellStyle name="Normal 2 8 32 2 2" xfId="36638" xr:uid="{00000000-0005-0000-0000-0000218F0000}"/>
    <cellStyle name="Normal 2 8 32 2 3" xfId="36639" xr:uid="{00000000-0005-0000-0000-0000228F0000}"/>
    <cellStyle name="Normal 2 8 32 3" xfId="36640" xr:uid="{00000000-0005-0000-0000-0000238F0000}"/>
    <cellStyle name="Normal 2 8 32 4" xfId="36641" xr:uid="{00000000-0005-0000-0000-0000248F0000}"/>
    <cellStyle name="Normal 2 8 32 5" xfId="36642" xr:uid="{00000000-0005-0000-0000-0000258F0000}"/>
    <cellStyle name="Normal 2 8 32 6" xfId="36643" xr:uid="{00000000-0005-0000-0000-0000268F0000}"/>
    <cellStyle name="Normal 2 8 33" xfId="36644" xr:uid="{00000000-0005-0000-0000-0000278F0000}"/>
    <cellStyle name="Normal 2 8 33 2" xfId="36645" xr:uid="{00000000-0005-0000-0000-0000288F0000}"/>
    <cellStyle name="Normal 2 8 33 2 2" xfId="36646" xr:uid="{00000000-0005-0000-0000-0000298F0000}"/>
    <cellStyle name="Normal 2 8 33 3" xfId="36647" xr:uid="{00000000-0005-0000-0000-00002A8F0000}"/>
    <cellStyle name="Normal 2 8 33 4" xfId="36648" xr:uid="{00000000-0005-0000-0000-00002B8F0000}"/>
    <cellStyle name="Normal 2 8 33 5" xfId="36649" xr:uid="{00000000-0005-0000-0000-00002C8F0000}"/>
    <cellStyle name="Normal 2 8 34" xfId="36650" xr:uid="{00000000-0005-0000-0000-00002D8F0000}"/>
    <cellStyle name="Normal 2 8 34 2" xfId="36651" xr:uid="{00000000-0005-0000-0000-00002E8F0000}"/>
    <cellStyle name="Normal 2 8 34 2 2" xfId="36652" xr:uid="{00000000-0005-0000-0000-00002F8F0000}"/>
    <cellStyle name="Normal 2 8 34 3" xfId="36653" xr:uid="{00000000-0005-0000-0000-0000308F0000}"/>
    <cellStyle name="Normal 2 8 34 4" xfId="36654" xr:uid="{00000000-0005-0000-0000-0000318F0000}"/>
    <cellStyle name="Normal 2 8 34 5" xfId="36655" xr:uid="{00000000-0005-0000-0000-0000328F0000}"/>
    <cellStyle name="Normal 2 8 35" xfId="36656" xr:uid="{00000000-0005-0000-0000-0000338F0000}"/>
    <cellStyle name="Normal 2 8 35 2" xfId="36657" xr:uid="{00000000-0005-0000-0000-0000348F0000}"/>
    <cellStyle name="Normal 2 8 36" xfId="36658" xr:uid="{00000000-0005-0000-0000-0000358F0000}"/>
    <cellStyle name="Normal 2 8 37" xfId="36659" xr:uid="{00000000-0005-0000-0000-0000368F0000}"/>
    <cellStyle name="Normal 2 8 38" xfId="36660" xr:uid="{00000000-0005-0000-0000-0000378F0000}"/>
    <cellStyle name="Normal 2 8 39" xfId="36661" xr:uid="{00000000-0005-0000-0000-0000388F0000}"/>
    <cellStyle name="Normal 2 8 4" xfId="36662" xr:uid="{00000000-0005-0000-0000-0000398F0000}"/>
    <cellStyle name="Normal 2 8 4 10" xfId="36663" xr:uid="{00000000-0005-0000-0000-00003A8F0000}"/>
    <cellStyle name="Normal 2 8 4 10 10" xfId="36664" xr:uid="{00000000-0005-0000-0000-00003B8F0000}"/>
    <cellStyle name="Normal 2 8 4 10 2" xfId="36665" xr:uid="{00000000-0005-0000-0000-00003C8F0000}"/>
    <cellStyle name="Normal 2 8 4 10 2 2" xfId="36666" xr:uid="{00000000-0005-0000-0000-00003D8F0000}"/>
    <cellStyle name="Normal 2 8 4 10 2 2 2" xfId="36667" xr:uid="{00000000-0005-0000-0000-00003E8F0000}"/>
    <cellStyle name="Normal 2 8 4 10 2 2 3" xfId="36668" xr:uid="{00000000-0005-0000-0000-00003F8F0000}"/>
    <cellStyle name="Normal 2 8 4 10 2 3" xfId="36669" xr:uid="{00000000-0005-0000-0000-0000408F0000}"/>
    <cellStyle name="Normal 2 8 4 10 2 4" xfId="36670" xr:uid="{00000000-0005-0000-0000-0000418F0000}"/>
    <cellStyle name="Normal 2 8 4 10 2 5" xfId="36671" xr:uid="{00000000-0005-0000-0000-0000428F0000}"/>
    <cellStyle name="Normal 2 8 4 10 2 6" xfId="36672" xr:uid="{00000000-0005-0000-0000-0000438F0000}"/>
    <cellStyle name="Normal 2 8 4 10 3" xfId="36673" xr:uid="{00000000-0005-0000-0000-0000448F0000}"/>
    <cellStyle name="Normal 2 8 4 10 3 2" xfId="36674" xr:uid="{00000000-0005-0000-0000-0000458F0000}"/>
    <cellStyle name="Normal 2 8 4 10 3 2 2" xfId="36675" xr:uid="{00000000-0005-0000-0000-0000468F0000}"/>
    <cellStyle name="Normal 2 8 4 10 3 2 3" xfId="36676" xr:uid="{00000000-0005-0000-0000-0000478F0000}"/>
    <cellStyle name="Normal 2 8 4 10 3 3" xfId="36677" xr:uid="{00000000-0005-0000-0000-0000488F0000}"/>
    <cellStyle name="Normal 2 8 4 10 3 4" xfId="36678" xr:uid="{00000000-0005-0000-0000-0000498F0000}"/>
    <cellStyle name="Normal 2 8 4 10 3 5" xfId="36679" xr:uid="{00000000-0005-0000-0000-00004A8F0000}"/>
    <cellStyle name="Normal 2 8 4 10 3 6" xfId="36680" xr:uid="{00000000-0005-0000-0000-00004B8F0000}"/>
    <cellStyle name="Normal 2 8 4 10 4" xfId="36681" xr:uid="{00000000-0005-0000-0000-00004C8F0000}"/>
    <cellStyle name="Normal 2 8 4 10 4 2" xfId="36682" xr:uid="{00000000-0005-0000-0000-00004D8F0000}"/>
    <cellStyle name="Normal 2 8 4 10 4 2 2" xfId="36683" xr:uid="{00000000-0005-0000-0000-00004E8F0000}"/>
    <cellStyle name="Normal 2 8 4 10 4 3" xfId="36684" xr:uid="{00000000-0005-0000-0000-00004F8F0000}"/>
    <cellStyle name="Normal 2 8 4 10 4 4" xfId="36685" xr:uid="{00000000-0005-0000-0000-0000508F0000}"/>
    <cellStyle name="Normal 2 8 4 10 4 5" xfId="36686" xr:uid="{00000000-0005-0000-0000-0000518F0000}"/>
    <cellStyle name="Normal 2 8 4 10 5" xfId="36687" xr:uid="{00000000-0005-0000-0000-0000528F0000}"/>
    <cellStyle name="Normal 2 8 4 10 5 2" xfId="36688" xr:uid="{00000000-0005-0000-0000-0000538F0000}"/>
    <cellStyle name="Normal 2 8 4 10 5 3" xfId="36689" xr:uid="{00000000-0005-0000-0000-0000548F0000}"/>
    <cellStyle name="Normal 2 8 4 10 5 4" xfId="36690" xr:uid="{00000000-0005-0000-0000-0000558F0000}"/>
    <cellStyle name="Normal 2 8 4 10 6" xfId="36691" xr:uid="{00000000-0005-0000-0000-0000568F0000}"/>
    <cellStyle name="Normal 2 8 4 10 6 2" xfId="36692" xr:uid="{00000000-0005-0000-0000-0000578F0000}"/>
    <cellStyle name="Normal 2 8 4 10 7" xfId="36693" xr:uid="{00000000-0005-0000-0000-0000588F0000}"/>
    <cellStyle name="Normal 2 8 4 10 8" xfId="36694" xr:uid="{00000000-0005-0000-0000-0000598F0000}"/>
    <cellStyle name="Normal 2 8 4 10 9" xfId="36695" xr:uid="{00000000-0005-0000-0000-00005A8F0000}"/>
    <cellStyle name="Normal 2 8 4 11" xfId="36696" xr:uid="{00000000-0005-0000-0000-00005B8F0000}"/>
    <cellStyle name="Normal 2 8 4 11 10" xfId="36697" xr:uid="{00000000-0005-0000-0000-00005C8F0000}"/>
    <cellStyle name="Normal 2 8 4 11 2" xfId="36698" xr:uid="{00000000-0005-0000-0000-00005D8F0000}"/>
    <cellStyle name="Normal 2 8 4 11 2 2" xfId="36699" xr:uid="{00000000-0005-0000-0000-00005E8F0000}"/>
    <cellStyle name="Normal 2 8 4 11 2 2 2" xfId="36700" xr:uid="{00000000-0005-0000-0000-00005F8F0000}"/>
    <cellStyle name="Normal 2 8 4 11 2 2 3" xfId="36701" xr:uid="{00000000-0005-0000-0000-0000608F0000}"/>
    <cellStyle name="Normal 2 8 4 11 2 3" xfId="36702" xr:uid="{00000000-0005-0000-0000-0000618F0000}"/>
    <cellStyle name="Normal 2 8 4 11 2 4" xfId="36703" xr:uid="{00000000-0005-0000-0000-0000628F0000}"/>
    <cellStyle name="Normal 2 8 4 11 2 5" xfId="36704" xr:uid="{00000000-0005-0000-0000-0000638F0000}"/>
    <cellStyle name="Normal 2 8 4 11 2 6" xfId="36705" xr:uid="{00000000-0005-0000-0000-0000648F0000}"/>
    <cellStyle name="Normal 2 8 4 11 3" xfId="36706" xr:uid="{00000000-0005-0000-0000-0000658F0000}"/>
    <cellStyle name="Normal 2 8 4 11 3 2" xfId="36707" xr:uid="{00000000-0005-0000-0000-0000668F0000}"/>
    <cellStyle name="Normal 2 8 4 11 3 2 2" xfId="36708" xr:uid="{00000000-0005-0000-0000-0000678F0000}"/>
    <cellStyle name="Normal 2 8 4 11 3 2 3" xfId="36709" xr:uid="{00000000-0005-0000-0000-0000688F0000}"/>
    <cellStyle name="Normal 2 8 4 11 3 3" xfId="36710" xr:uid="{00000000-0005-0000-0000-0000698F0000}"/>
    <cellStyle name="Normal 2 8 4 11 3 4" xfId="36711" xr:uid="{00000000-0005-0000-0000-00006A8F0000}"/>
    <cellStyle name="Normal 2 8 4 11 3 5" xfId="36712" xr:uid="{00000000-0005-0000-0000-00006B8F0000}"/>
    <cellStyle name="Normal 2 8 4 11 3 6" xfId="36713" xr:uid="{00000000-0005-0000-0000-00006C8F0000}"/>
    <cellStyle name="Normal 2 8 4 11 4" xfId="36714" xr:uid="{00000000-0005-0000-0000-00006D8F0000}"/>
    <cellStyle name="Normal 2 8 4 11 4 2" xfId="36715" xr:uid="{00000000-0005-0000-0000-00006E8F0000}"/>
    <cellStyle name="Normal 2 8 4 11 4 2 2" xfId="36716" xr:uid="{00000000-0005-0000-0000-00006F8F0000}"/>
    <cellStyle name="Normal 2 8 4 11 4 3" xfId="36717" xr:uid="{00000000-0005-0000-0000-0000708F0000}"/>
    <cellStyle name="Normal 2 8 4 11 4 4" xfId="36718" xr:uid="{00000000-0005-0000-0000-0000718F0000}"/>
    <cellStyle name="Normal 2 8 4 11 4 5" xfId="36719" xr:uid="{00000000-0005-0000-0000-0000728F0000}"/>
    <cellStyle name="Normal 2 8 4 11 5" xfId="36720" xr:uid="{00000000-0005-0000-0000-0000738F0000}"/>
    <cellStyle name="Normal 2 8 4 11 5 2" xfId="36721" xr:uid="{00000000-0005-0000-0000-0000748F0000}"/>
    <cellStyle name="Normal 2 8 4 11 5 3" xfId="36722" xr:uid="{00000000-0005-0000-0000-0000758F0000}"/>
    <cellStyle name="Normal 2 8 4 11 5 4" xfId="36723" xr:uid="{00000000-0005-0000-0000-0000768F0000}"/>
    <cellStyle name="Normal 2 8 4 11 6" xfId="36724" xr:uid="{00000000-0005-0000-0000-0000778F0000}"/>
    <cellStyle name="Normal 2 8 4 11 6 2" xfId="36725" xr:uid="{00000000-0005-0000-0000-0000788F0000}"/>
    <cellStyle name="Normal 2 8 4 11 7" xfId="36726" xr:uid="{00000000-0005-0000-0000-0000798F0000}"/>
    <cellStyle name="Normal 2 8 4 11 8" xfId="36727" xr:uid="{00000000-0005-0000-0000-00007A8F0000}"/>
    <cellStyle name="Normal 2 8 4 11 9" xfId="36728" xr:uid="{00000000-0005-0000-0000-00007B8F0000}"/>
    <cellStyle name="Normal 2 8 4 12" xfId="36729" xr:uid="{00000000-0005-0000-0000-00007C8F0000}"/>
    <cellStyle name="Normal 2 8 4 12 10" xfId="36730" xr:uid="{00000000-0005-0000-0000-00007D8F0000}"/>
    <cellStyle name="Normal 2 8 4 12 2" xfId="36731" xr:uid="{00000000-0005-0000-0000-00007E8F0000}"/>
    <cellStyle name="Normal 2 8 4 12 2 2" xfId="36732" xr:uid="{00000000-0005-0000-0000-00007F8F0000}"/>
    <cellStyle name="Normal 2 8 4 12 2 2 2" xfId="36733" xr:uid="{00000000-0005-0000-0000-0000808F0000}"/>
    <cellStyle name="Normal 2 8 4 12 2 2 3" xfId="36734" xr:uid="{00000000-0005-0000-0000-0000818F0000}"/>
    <cellStyle name="Normal 2 8 4 12 2 3" xfId="36735" xr:uid="{00000000-0005-0000-0000-0000828F0000}"/>
    <cellStyle name="Normal 2 8 4 12 2 4" xfId="36736" xr:uid="{00000000-0005-0000-0000-0000838F0000}"/>
    <cellStyle name="Normal 2 8 4 12 2 5" xfId="36737" xr:uid="{00000000-0005-0000-0000-0000848F0000}"/>
    <cellStyle name="Normal 2 8 4 12 2 6" xfId="36738" xr:uid="{00000000-0005-0000-0000-0000858F0000}"/>
    <cellStyle name="Normal 2 8 4 12 3" xfId="36739" xr:uid="{00000000-0005-0000-0000-0000868F0000}"/>
    <cellStyle name="Normal 2 8 4 12 3 2" xfId="36740" xr:uid="{00000000-0005-0000-0000-0000878F0000}"/>
    <cellStyle name="Normal 2 8 4 12 3 2 2" xfId="36741" xr:uid="{00000000-0005-0000-0000-0000888F0000}"/>
    <cellStyle name="Normal 2 8 4 12 3 2 3" xfId="36742" xr:uid="{00000000-0005-0000-0000-0000898F0000}"/>
    <cellStyle name="Normal 2 8 4 12 3 3" xfId="36743" xr:uid="{00000000-0005-0000-0000-00008A8F0000}"/>
    <cellStyle name="Normal 2 8 4 12 3 4" xfId="36744" xr:uid="{00000000-0005-0000-0000-00008B8F0000}"/>
    <cellStyle name="Normal 2 8 4 12 3 5" xfId="36745" xr:uid="{00000000-0005-0000-0000-00008C8F0000}"/>
    <cellStyle name="Normal 2 8 4 12 3 6" xfId="36746" xr:uid="{00000000-0005-0000-0000-00008D8F0000}"/>
    <cellStyle name="Normal 2 8 4 12 4" xfId="36747" xr:uid="{00000000-0005-0000-0000-00008E8F0000}"/>
    <cellStyle name="Normal 2 8 4 12 4 2" xfId="36748" xr:uid="{00000000-0005-0000-0000-00008F8F0000}"/>
    <cellStyle name="Normal 2 8 4 12 4 2 2" xfId="36749" xr:uid="{00000000-0005-0000-0000-0000908F0000}"/>
    <cellStyle name="Normal 2 8 4 12 4 3" xfId="36750" xr:uid="{00000000-0005-0000-0000-0000918F0000}"/>
    <cellStyle name="Normal 2 8 4 12 4 4" xfId="36751" xr:uid="{00000000-0005-0000-0000-0000928F0000}"/>
    <cellStyle name="Normal 2 8 4 12 4 5" xfId="36752" xr:uid="{00000000-0005-0000-0000-0000938F0000}"/>
    <cellStyle name="Normal 2 8 4 12 5" xfId="36753" xr:uid="{00000000-0005-0000-0000-0000948F0000}"/>
    <cellStyle name="Normal 2 8 4 12 5 2" xfId="36754" xr:uid="{00000000-0005-0000-0000-0000958F0000}"/>
    <cellStyle name="Normal 2 8 4 12 5 3" xfId="36755" xr:uid="{00000000-0005-0000-0000-0000968F0000}"/>
    <cellStyle name="Normal 2 8 4 12 5 4" xfId="36756" xr:uid="{00000000-0005-0000-0000-0000978F0000}"/>
    <cellStyle name="Normal 2 8 4 12 6" xfId="36757" xr:uid="{00000000-0005-0000-0000-0000988F0000}"/>
    <cellStyle name="Normal 2 8 4 12 6 2" xfId="36758" xr:uid="{00000000-0005-0000-0000-0000998F0000}"/>
    <cellStyle name="Normal 2 8 4 12 7" xfId="36759" xr:uid="{00000000-0005-0000-0000-00009A8F0000}"/>
    <cellStyle name="Normal 2 8 4 12 8" xfId="36760" xr:uid="{00000000-0005-0000-0000-00009B8F0000}"/>
    <cellStyle name="Normal 2 8 4 12 9" xfId="36761" xr:uid="{00000000-0005-0000-0000-00009C8F0000}"/>
    <cellStyle name="Normal 2 8 4 13" xfId="36762" xr:uid="{00000000-0005-0000-0000-00009D8F0000}"/>
    <cellStyle name="Normal 2 8 4 13 2" xfId="36763" xr:uid="{00000000-0005-0000-0000-00009E8F0000}"/>
    <cellStyle name="Normal 2 8 4 13 2 2" xfId="36764" xr:uid="{00000000-0005-0000-0000-00009F8F0000}"/>
    <cellStyle name="Normal 2 8 4 13 2 2 2" xfId="36765" xr:uid="{00000000-0005-0000-0000-0000A08F0000}"/>
    <cellStyle name="Normal 2 8 4 13 2 2 3" xfId="36766" xr:uid="{00000000-0005-0000-0000-0000A18F0000}"/>
    <cellStyle name="Normal 2 8 4 13 2 3" xfId="36767" xr:uid="{00000000-0005-0000-0000-0000A28F0000}"/>
    <cellStyle name="Normal 2 8 4 13 2 4" xfId="36768" xr:uid="{00000000-0005-0000-0000-0000A38F0000}"/>
    <cellStyle name="Normal 2 8 4 13 2 5" xfId="36769" xr:uid="{00000000-0005-0000-0000-0000A48F0000}"/>
    <cellStyle name="Normal 2 8 4 13 2 6" xfId="36770" xr:uid="{00000000-0005-0000-0000-0000A58F0000}"/>
    <cellStyle name="Normal 2 8 4 13 3" xfId="36771" xr:uid="{00000000-0005-0000-0000-0000A68F0000}"/>
    <cellStyle name="Normal 2 8 4 13 3 2" xfId="36772" xr:uid="{00000000-0005-0000-0000-0000A78F0000}"/>
    <cellStyle name="Normal 2 8 4 13 3 2 2" xfId="36773" xr:uid="{00000000-0005-0000-0000-0000A88F0000}"/>
    <cellStyle name="Normal 2 8 4 13 3 3" xfId="36774" xr:uid="{00000000-0005-0000-0000-0000A98F0000}"/>
    <cellStyle name="Normal 2 8 4 13 3 4" xfId="36775" xr:uid="{00000000-0005-0000-0000-0000AA8F0000}"/>
    <cellStyle name="Normal 2 8 4 13 3 5" xfId="36776" xr:uid="{00000000-0005-0000-0000-0000AB8F0000}"/>
    <cellStyle name="Normal 2 8 4 13 4" xfId="36777" xr:uid="{00000000-0005-0000-0000-0000AC8F0000}"/>
    <cellStyle name="Normal 2 8 4 13 4 2" xfId="36778" xr:uid="{00000000-0005-0000-0000-0000AD8F0000}"/>
    <cellStyle name="Normal 2 8 4 13 4 3" xfId="36779" xr:uid="{00000000-0005-0000-0000-0000AE8F0000}"/>
    <cellStyle name="Normal 2 8 4 13 4 4" xfId="36780" xr:uid="{00000000-0005-0000-0000-0000AF8F0000}"/>
    <cellStyle name="Normal 2 8 4 13 5" xfId="36781" xr:uid="{00000000-0005-0000-0000-0000B08F0000}"/>
    <cellStyle name="Normal 2 8 4 13 5 2" xfId="36782" xr:uid="{00000000-0005-0000-0000-0000B18F0000}"/>
    <cellStyle name="Normal 2 8 4 13 6" xfId="36783" xr:uid="{00000000-0005-0000-0000-0000B28F0000}"/>
    <cellStyle name="Normal 2 8 4 13 7" xfId="36784" xr:uid="{00000000-0005-0000-0000-0000B38F0000}"/>
    <cellStyle name="Normal 2 8 4 13 8" xfId="36785" xr:uid="{00000000-0005-0000-0000-0000B48F0000}"/>
    <cellStyle name="Normal 2 8 4 13 9" xfId="36786" xr:uid="{00000000-0005-0000-0000-0000B58F0000}"/>
    <cellStyle name="Normal 2 8 4 14" xfId="36787" xr:uid="{00000000-0005-0000-0000-0000B68F0000}"/>
    <cellStyle name="Normal 2 8 4 14 2" xfId="36788" xr:uid="{00000000-0005-0000-0000-0000B78F0000}"/>
    <cellStyle name="Normal 2 8 4 14 2 2" xfId="36789" xr:uid="{00000000-0005-0000-0000-0000B88F0000}"/>
    <cellStyle name="Normal 2 8 4 14 2 2 2" xfId="36790" xr:uid="{00000000-0005-0000-0000-0000B98F0000}"/>
    <cellStyle name="Normal 2 8 4 14 2 2 3" xfId="36791" xr:uid="{00000000-0005-0000-0000-0000BA8F0000}"/>
    <cellStyle name="Normal 2 8 4 14 2 3" xfId="36792" xr:uid="{00000000-0005-0000-0000-0000BB8F0000}"/>
    <cellStyle name="Normal 2 8 4 14 2 4" xfId="36793" xr:uid="{00000000-0005-0000-0000-0000BC8F0000}"/>
    <cellStyle name="Normal 2 8 4 14 2 5" xfId="36794" xr:uid="{00000000-0005-0000-0000-0000BD8F0000}"/>
    <cellStyle name="Normal 2 8 4 14 2 6" xfId="36795" xr:uid="{00000000-0005-0000-0000-0000BE8F0000}"/>
    <cellStyle name="Normal 2 8 4 14 3" xfId="36796" xr:uid="{00000000-0005-0000-0000-0000BF8F0000}"/>
    <cellStyle name="Normal 2 8 4 14 3 2" xfId="36797" xr:uid="{00000000-0005-0000-0000-0000C08F0000}"/>
    <cellStyle name="Normal 2 8 4 14 3 2 2" xfId="36798" xr:uid="{00000000-0005-0000-0000-0000C18F0000}"/>
    <cellStyle name="Normal 2 8 4 14 3 3" xfId="36799" xr:uid="{00000000-0005-0000-0000-0000C28F0000}"/>
    <cellStyle name="Normal 2 8 4 14 3 4" xfId="36800" xr:uid="{00000000-0005-0000-0000-0000C38F0000}"/>
    <cellStyle name="Normal 2 8 4 14 3 5" xfId="36801" xr:uid="{00000000-0005-0000-0000-0000C48F0000}"/>
    <cellStyle name="Normal 2 8 4 14 4" xfId="36802" xr:uid="{00000000-0005-0000-0000-0000C58F0000}"/>
    <cellStyle name="Normal 2 8 4 14 4 2" xfId="36803" xr:uid="{00000000-0005-0000-0000-0000C68F0000}"/>
    <cellStyle name="Normal 2 8 4 14 4 3" xfId="36804" xr:uid="{00000000-0005-0000-0000-0000C78F0000}"/>
    <cellStyle name="Normal 2 8 4 14 4 4" xfId="36805" xr:uid="{00000000-0005-0000-0000-0000C88F0000}"/>
    <cellStyle name="Normal 2 8 4 14 5" xfId="36806" xr:uid="{00000000-0005-0000-0000-0000C98F0000}"/>
    <cellStyle name="Normal 2 8 4 14 5 2" xfId="36807" xr:uid="{00000000-0005-0000-0000-0000CA8F0000}"/>
    <cellStyle name="Normal 2 8 4 14 6" xfId="36808" xr:uid="{00000000-0005-0000-0000-0000CB8F0000}"/>
    <cellStyle name="Normal 2 8 4 14 7" xfId="36809" xr:uid="{00000000-0005-0000-0000-0000CC8F0000}"/>
    <cellStyle name="Normal 2 8 4 14 8" xfId="36810" xr:uid="{00000000-0005-0000-0000-0000CD8F0000}"/>
    <cellStyle name="Normal 2 8 4 14 9" xfId="36811" xr:uid="{00000000-0005-0000-0000-0000CE8F0000}"/>
    <cellStyle name="Normal 2 8 4 15" xfId="36812" xr:uid="{00000000-0005-0000-0000-0000CF8F0000}"/>
    <cellStyle name="Normal 2 8 4 15 2" xfId="36813" xr:uid="{00000000-0005-0000-0000-0000D08F0000}"/>
    <cellStyle name="Normal 2 8 4 15 2 2" xfId="36814" xr:uid="{00000000-0005-0000-0000-0000D18F0000}"/>
    <cellStyle name="Normal 2 8 4 15 2 3" xfId="36815" xr:uid="{00000000-0005-0000-0000-0000D28F0000}"/>
    <cellStyle name="Normal 2 8 4 15 3" xfId="36816" xr:uid="{00000000-0005-0000-0000-0000D38F0000}"/>
    <cellStyle name="Normal 2 8 4 15 4" xfId="36817" xr:uid="{00000000-0005-0000-0000-0000D48F0000}"/>
    <cellStyle name="Normal 2 8 4 15 5" xfId="36818" xr:uid="{00000000-0005-0000-0000-0000D58F0000}"/>
    <cellStyle name="Normal 2 8 4 15 6" xfId="36819" xr:uid="{00000000-0005-0000-0000-0000D68F0000}"/>
    <cellStyle name="Normal 2 8 4 16" xfId="36820" xr:uid="{00000000-0005-0000-0000-0000D78F0000}"/>
    <cellStyle name="Normal 2 8 4 16 2" xfId="36821" xr:uid="{00000000-0005-0000-0000-0000D88F0000}"/>
    <cellStyle name="Normal 2 8 4 16 2 2" xfId="36822" xr:uid="{00000000-0005-0000-0000-0000D98F0000}"/>
    <cellStyle name="Normal 2 8 4 16 3" xfId="36823" xr:uid="{00000000-0005-0000-0000-0000DA8F0000}"/>
    <cellStyle name="Normal 2 8 4 16 4" xfId="36824" xr:uid="{00000000-0005-0000-0000-0000DB8F0000}"/>
    <cellStyle name="Normal 2 8 4 16 5" xfId="36825" xr:uid="{00000000-0005-0000-0000-0000DC8F0000}"/>
    <cellStyle name="Normal 2 8 4 17" xfId="36826" xr:uid="{00000000-0005-0000-0000-0000DD8F0000}"/>
    <cellStyle name="Normal 2 8 4 17 2" xfId="36827" xr:uid="{00000000-0005-0000-0000-0000DE8F0000}"/>
    <cellStyle name="Normal 2 8 4 17 2 2" xfId="36828" xr:uid="{00000000-0005-0000-0000-0000DF8F0000}"/>
    <cellStyle name="Normal 2 8 4 17 3" xfId="36829" xr:uid="{00000000-0005-0000-0000-0000E08F0000}"/>
    <cellStyle name="Normal 2 8 4 17 4" xfId="36830" xr:uid="{00000000-0005-0000-0000-0000E18F0000}"/>
    <cellStyle name="Normal 2 8 4 17 5" xfId="36831" xr:uid="{00000000-0005-0000-0000-0000E28F0000}"/>
    <cellStyle name="Normal 2 8 4 18" xfId="36832" xr:uid="{00000000-0005-0000-0000-0000E38F0000}"/>
    <cellStyle name="Normal 2 8 4 18 2" xfId="36833" xr:uid="{00000000-0005-0000-0000-0000E48F0000}"/>
    <cellStyle name="Normal 2 8 4 19" xfId="36834" xr:uid="{00000000-0005-0000-0000-0000E58F0000}"/>
    <cellStyle name="Normal 2 8 4 2" xfId="36835" xr:uid="{00000000-0005-0000-0000-0000E68F0000}"/>
    <cellStyle name="Normal 2 8 4 2 10" xfId="36836" xr:uid="{00000000-0005-0000-0000-0000E78F0000}"/>
    <cellStyle name="Normal 2 8 4 2 11" xfId="36837" xr:uid="{00000000-0005-0000-0000-0000E88F0000}"/>
    <cellStyle name="Normal 2 8 4 2 2" xfId="36838" xr:uid="{00000000-0005-0000-0000-0000E98F0000}"/>
    <cellStyle name="Normal 2 8 4 2 2 2" xfId="36839" xr:uid="{00000000-0005-0000-0000-0000EA8F0000}"/>
    <cellStyle name="Normal 2 8 4 2 2 2 2" xfId="36840" xr:uid="{00000000-0005-0000-0000-0000EB8F0000}"/>
    <cellStyle name="Normal 2 8 4 2 2 2 2 2" xfId="36841" xr:uid="{00000000-0005-0000-0000-0000EC8F0000}"/>
    <cellStyle name="Normal 2 8 4 2 2 2 2 3" xfId="36842" xr:uid="{00000000-0005-0000-0000-0000ED8F0000}"/>
    <cellStyle name="Normal 2 8 4 2 2 2 3" xfId="36843" xr:uid="{00000000-0005-0000-0000-0000EE8F0000}"/>
    <cellStyle name="Normal 2 8 4 2 2 2 4" xfId="36844" xr:uid="{00000000-0005-0000-0000-0000EF8F0000}"/>
    <cellStyle name="Normal 2 8 4 2 2 2 5" xfId="36845" xr:uid="{00000000-0005-0000-0000-0000F08F0000}"/>
    <cellStyle name="Normal 2 8 4 2 2 2 6" xfId="36846" xr:uid="{00000000-0005-0000-0000-0000F18F0000}"/>
    <cellStyle name="Normal 2 8 4 2 2 3" xfId="36847" xr:uid="{00000000-0005-0000-0000-0000F28F0000}"/>
    <cellStyle name="Normal 2 8 4 2 2 3 2" xfId="36848" xr:uid="{00000000-0005-0000-0000-0000F38F0000}"/>
    <cellStyle name="Normal 2 8 4 2 2 3 2 2" xfId="36849" xr:uid="{00000000-0005-0000-0000-0000F48F0000}"/>
    <cellStyle name="Normal 2 8 4 2 2 3 3" xfId="36850" xr:uid="{00000000-0005-0000-0000-0000F58F0000}"/>
    <cellStyle name="Normal 2 8 4 2 2 3 4" xfId="36851" xr:uid="{00000000-0005-0000-0000-0000F68F0000}"/>
    <cellStyle name="Normal 2 8 4 2 2 3 5" xfId="36852" xr:uid="{00000000-0005-0000-0000-0000F78F0000}"/>
    <cellStyle name="Normal 2 8 4 2 2 4" xfId="36853" xr:uid="{00000000-0005-0000-0000-0000F88F0000}"/>
    <cellStyle name="Normal 2 8 4 2 2 4 2" xfId="36854" xr:uid="{00000000-0005-0000-0000-0000F98F0000}"/>
    <cellStyle name="Normal 2 8 4 2 2 4 3" xfId="36855" xr:uid="{00000000-0005-0000-0000-0000FA8F0000}"/>
    <cellStyle name="Normal 2 8 4 2 2 4 4" xfId="36856" xr:uid="{00000000-0005-0000-0000-0000FB8F0000}"/>
    <cellStyle name="Normal 2 8 4 2 2 5" xfId="36857" xr:uid="{00000000-0005-0000-0000-0000FC8F0000}"/>
    <cellStyle name="Normal 2 8 4 2 2 5 2" xfId="36858" xr:uid="{00000000-0005-0000-0000-0000FD8F0000}"/>
    <cellStyle name="Normal 2 8 4 2 2 6" xfId="36859" xr:uid="{00000000-0005-0000-0000-0000FE8F0000}"/>
    <cellStyle name="Normal 2 8 4 2 2 7" xfId="36860" xr:uid="{00000000-0005-0000-0000-0000FF8F0000}"/>
    <cellStyle name="Normal 2 8 4 2 2 8" xfId="36861" xr:uid="{00000000-0005-0000-0000-000000900000}"/>
    <cellStyle name="Normal 2 8 4 2 2 9" xfId="36862" xr:uid="{00000000-0005-0000-0000-000001900000}"/>
    <cellStyle name="Normal 2 8 4 2 3" xfId="36863" xr:uid="{00000000-0005-0000-0000-000002900000}"/>
    <cellStyle name="Normal 2 8 4 2 3 2" xfId="36864" xr:uid="{00000000-0005-0000-0000-000003900000}"/>
    <cellStyle name="Normal 2 8 4 2 3 2 2" xfId="36865" xr:uid="{00000000-0005-0000-0000-000004900000}"/>
    <cellStyle name="Normal 2 8 4 2 3 2 2 2" xfId="36866" xr:uid="{00000000-0005-0000-0000-000005900000}"/>
    <cellStyle name="Normal 2 8 4 2 3 2 2 3" xfId="36867" xr:uid="{00000000-0005-0000-0000-000006900000}"/>
    <cellStyle name="Normal 2 8 4 2 3 2 3" xfId="36868" xr:uid="{00000000-0005-0000-0000-000007900000}"/>
    <cellStyle name="Normal 2 8 4 2 3 2 4" xfId="36869" xr:uid="{00000000-0005-0000-0000-000008900000}"/>
    <cellStyle name="Normal 2 8 4 2 3 2 5" xfId="36870" xr:uid="{00000000-0005-0000-0000-000009900000}"/>
    <cellStyle name="Normal 2 8 4 2 3 2 6" xfId="36871" xr:uid="{00000000-0005-0000-0000-00000A900000}"/>
    <cellStyle name="Normal 2 8 4 2 3 3" xfId="36872" xr:uid="{00000000-0005-0000-0000-00000B900000}"/>
    <cellStyle name="Normal 2 8 4 2 3 3 2" xfId="36873" xr:uid="{00000000-0005-0000-0000-00000C900000}"/>
    <cellStyle name="Normal 2 8 4 2 3 3 2 2" xfId="36874" xr:uid="{00000000-0005-0000-0000-00000D900000}"/>
    <cellStyle name="Normal 2 8 4 2 3 3 3" xfId="36875" xr:uid="{00000000-0005-0000-0000-00000E900000}"/>
    <cellStyle name="Normal 2 8 4 2 3 3 4" xfId="36876" xr:uid="{00000000-0005-0000-0000-00000F900000}"/>
    <cellStyle name="Normal 2 8 4 2 3 3 5" xfId="36877" xr:uid="{00000000-0005-0000-0000-000010900000}"/>
    <cellStyle name="Normal 2 8 4 2 3 4" xfId="36878" xr:uid="{00000000-0005-0000-0000-000011900000}"/>
    <cellStyle name="Normal 2 8 4 2 3 4 2" xfId="36879" xr:uid="{00000000-0005-0000-0000-000012900000}"/>
    <cellStyle name="Normal 2 8 4 2 3 4 3" xfId="36880" xr:uid="{00000000-0005-0000-0000-000013900000}"/>
    <cellStyle name="Normal 2 8 4 2 3 4 4" xfId="36881" xr:uid="{00000000-0005-0000-0000-000014900000}"/>
    <cellStyle name="Normal 2 8 4 2 3 5" xfId="36882" xr:uid="{00000000-0005-0000-0000-000015900000}"/>
    <cellStyle name="Normal 2 8 4 2 3 5 2" xfId="36883" xr:uid="{00000000-0005-0000-0000-000016900000}"/>
    <cellStyle name="Normal 2 8 4 2 3 6" xfId="36884" xr:uid="{00000000-0005-0000-0000-000017900000}"/>
    <cellStyle name="Normal 2 8 4 2 3 7" xfId="36885" xr:uid="{00000000-0005-0000-0000-000018900000}"/>
    <cellStyle name="Normal 2 8 4 2 3 8" xfId="36886" xr:uid="{00000000-0005-0000-0000-000019900000}"/>
    <cellStyle name="Normal 2 8 4 2 3 9" xfId="36887" xr:uid="{00000000-0005-0000-0000-00001A900000}"/>
    <cellStyle name="Normal 2 8 4 2 4" xfId="36888" xr:uid="{00000000-0005-0000-0000-00001B900000}"/>
    <cellStyle name="Normal 2 8 4 2 4 2" xfId="36889" xr:uid="{00000000-0005-0000-0000-00001C900000}"/>
    <cellStyle name="Normal 2 8 4 2 4 2 2" xfId="36890" xr:uid="{00000000-0005-0000-0000-00001D900000}"/>
    <cellStyle name="Normal 2 8 4 2 4 2 3" xfId="36891" xr:uid="{00000000-0005-0000-0000-00001E900000}"/>
    <cellStyle name="Normal 2 8 4 2 4 3" xfId="36892" xr:uid="{00000000-0005-0000-0000-00001F900000}"/>
    <cellStyle name="Normal 2 8 4 2 4 4" xfId="36893" xr:uid="{00000000-0005-0000-0000-000020900000}"/>
    <cellStyle name="Normal 2 8 4 2 4 5" xfId="36894" xr:uid="{00000000-0005-0000-0000-000021900000}"/>
    <cellStyle name="Normal 2 8 4 2 4 6" xfId="36895" xr:uid="{00000000-0005-0000-0000-000022900000}"/>
    <cellStyle name="Normal 2 8 4 2 5" xfId="36896" xr:uid="{00000000-0005-0000-0000-000023900000}"/>
    <cellStyle name="Normal 2 8 4 2 5 2" xfId="36897" xr:uid="{00000000-0005-0000-0000-000024900000}"/>
    <cellStyle name="Normal 2 8 4 2 5 2 2" xfId="36898" xr:uid="{00000000-0005-0000-0000-000025900000}"/>
    <cellStyle name="Normal 2 8 4 2 5 3" xfId="36899" xr:uid="{00000000-0005-0000-0000-000026900000}"/>
    <cellStyle name="Normal 2 8 4 2 5 4" xfId="36900" xr:uid="{00000000-0005-0000-0000-000027900000}"/>
    <cellStyle name="Normal 2 8 4 2 5 5" xfId="36901" xr:uid="{00000000-0005-0000-0000-000028900000}"/>
    <cellStyle name="Normal 2 8 4 2 6" xfId="36902" xr:uid="{00000000-0005-0000-0000-000029900000}"/>
    <cellStyle name="Normal 2 8 4 2 6 2" xfId="36903" xr:uid="{00000000-0005-0000-0000-00002A900000}"/>
    <cellStyle name="Normal 2 8 4 2 6 3" xfId="36904" xr:uid="{00000000-0005-0000-0000-00002B900000}"/>
    <cellStyle name="Normal 2 8 4 2 6 4" xfId="36905" xr:uid="{00000000-0005-0000-0000-00002C900000}"/>
    <cellStyle name="Normal 2 8 4 2 7" xfId="36906" xr:uid="{00000000-0005-0000-0000-00002D900000}"/>
    <cellStyle name="Normal 2 8 4 2 7 2" xfId="36907" xr:uid="{00000000-0005-0000-0000-00002E900000}"/>
    <cellStyle name="Normal 2 8 4 2 8" xfId="36908" xr:uid="{00000000-0005-0000-0000-00002F900000}"/>
    <cellStyle name="Normal 2 8 4 2 9" xfId="36909" xr:uid="{00000000-0005-0000-0000-000030900000}"/>
    <cellStyle name="Normal 2 8 4 20" xfId="36910" xr:uid="{00000000-0005-0000-0000-000031900000}"/>
    <cellStyle name="Normal 2 8 4 21" xfId="36911" xr:uid="{00000000-0005-0000-0000-000032900000}"/>
    <cellStyle name="Normal 2 8 4 22" xfId="36912" xr:uid="{00000000-0005-0000-0000-000033900000}"/>
    <cellStyle name="Normal 2 8 4 3" xfId="36913" xr:uid="{00000000-0005-0000-0000-000034900000}"/>
    <cellStyle name="Normal 2 8 4 3 10" xfId="36914" xr:uid="{00000000-0005-0000-0000-000035900000}"/>
    <cellStyle name="Normal 2 8 4 3 11" xfId="36915" xr:uid="{00000000-0005-0000-0000-000036900000}"/>
    <cellStyle name="Normal 2 8 4 3 2" xfId="36916" xr:uid="{00000000-0005-0000-0000-000037900000}"/>
    <cellStyle name="Normal 2 8 4 3 2 2" xfId="36917" xr:uid="{00000000-0005-0000-0000-000038900000}"/>
    <cellStyle name="Normal 2 8 4 3 2 2 2" xfId="36918" xr:uid="{00000000-0005-0000-0000-000039900000}"/>
    <cellStyle name="Normal 2 8 4 3 2 2 2 2" xfId="36919" xr:uid="{00000000-0005-0000-0000-00003A900000}"/>
    <cellStyle name="Normal 2 8 4 3 2 2 2 3" xfId="36920" xr:uid="{00000000-0005-0000-0000-00003B900000}"/>
    <cellStyle name="Normal 2 8 4 3 2 2 3" xfId="36921" xr:uid="{00000000-0005-0000-0000-00003C900000}"/>
    <cellStyle name="Normal 2 8 4 3 2 2 4" xfId="36922" xr:uid="{00000000-0005-0000-0000-00003D900000}"/>
    <cellStyle name="Normal 2 8 4 3 2 2 5" xfId="36923" xr:uid="{00000000-0005-0000-0000-00003E900000}"/>
    <cellStyle name="Normal 2 8 4 3 2 2 6" xfId="36924" xr:uid="{00000000-0005-0000-0000-00003F900000}"/>
    <cellStyle name="Normal 2 8 4 3 2 3" xfId="36925" xr:uid="{00000000-0005-0000-0000-000040900000}"/>
    <cellStyle name="Normal 2 8 4 3 2 3 2" xfId="36926" xr:uid="{00000000-0005-0000-0000-000041900000}"/>
    <cellStyle name="Normal 2 8 4 3 2 3 2 2" xfId="36927" xr:uid="{00000000-0005-0000-0000-000042900000}"/>
    <cellStyle name="Normal 2 8 4 3 2 3 3" xfId="36928" xr:uid="{00000000-0005-0000-0000-000043900000}"/>
    <cellStyle name="Normal 2 8 4 3 2 3 4" xfId="36929" xr:uid="{00000000-0005-0000-0000-000044900000}"/>
    <cellStyle name="Normal 2 8 4 3 2 3 5" xfId="36930" xr:uid="{00000000-0005-0000-0000-000045900000}"/>
    <cellStyle name="Normal 2 8 4 3 2 4" xfId="36931" xr:uid="{00000000-0005-0000-0000-000046900000}"/>
    <cellStyle name="Normal 2 8 4 3 2 4 2" xfId="36932" xr:uid="{00000000-0005-0000-0000-000047900000}"/>
    <cellStyle name="Normal 2 8 4 3 2 4 3" xfId="36933" xr:uid="{00000000-0005-0000-0000-000048900000}"/>
    <cellStyle name="Normal 2 8 4 3 2 4 4" xfId="36934" xr:uid="{00000000-0005-0000-0000-000049900000}"/>
    <cellStyle name="Normal 2 8 4 3 2 5" xfId="36935" xr:uid="{00000000-0005-0000-0000-00004A900000}"/>
    <cellStyle name="Normal 2 8 4 3 2 5 2" xfId="36936" xr:uid="{00000000-0005-0000-0000-00004B900000}"/>
    <cellStyle name="Normal 2 8 4 3 2 6" xfId="36937" xr:uid="{00000000-0005-0000-0000-00004C900000}"/>
    <cellStyle name="Normal 2 8 4 3 2 7" xfId="36938" xr:uid="{00000000-0005-0000-0000-00004D900000}"/>
    <cellStyle name="Normal 2 8 4 3 2 8" xfId="36939" xr:uid="{00000000-0005-0000-0000-00004E900000}"/>
    <cellStyle name="Normal 2 8 4 3 2 9" xfId="36940" xr:uid="{00000000-0005-0000-0000-00004F900000}"/>
    <cellStyle name="Normal 2 8 4 3 3" xfId="36941" xr:uid="{00000000-0005-0000-0000-000050900000}"/>
    <cellStyle name="Normal 2 8 4 3 3 2" xfId="36942" xr:uid="{00000000-0005-0000-0000-000051900000}"/>
    <cellStyle name="Normal 2 8 4 3 3 2 2" xfId="36943" xr:uid="{00000000-0005-0000-0000-000052900000}"/>
    <cellStyle name="Normal 2 8 4 3 3 2 2 2" xfId="36944" xr:uid="{00000000-0005-0000-0000-000053900000}"/>
    <cellStyle name="Normal 2 8 4 3 3 2 2 3" xfId="36945" xr:uid="{00000000-0005-0000-0000-000054900000}"/>
    <cellStyle name="Normal 2 8 4 3 3 2 3" xfId="36946" xr:uid="{00000000-0005-0000-0000-000055900000}"/>
    <cellStyle name="Normal 2 8 4 3 3 2 4" xfId="36947" xr:uid="{00000000-0005-0000-0000-000056900000}"/>
    <cellStyle name="Normal 2 8 4 3 3 2 5" xfId="36948" xr:uid="{00000000-0005-0000-0000-000057900000}"/>
    <cellStyle name="Normal 2 8 4 3 3 2 6" xfId="36949" xr:uid="{00000000-0005-0000-0000-000058900000}"/>
    <cellStyle name="Normal 2 8 4 3 3 3" xfId="36950" xr:uid="{00000000-0005-0000-0000-000059900000}"/>
    <cellStyle name="Normal 2 8 4 3 3 3 2" xfId="36951" xr:uid="{00000000-0005-0000-0000-00005A900000}"/>
    <cellStyle name="Normal 2 8 4 3 3 3 2 2" xfId="36952" xr:uid="{00000000-0005-0000-0000-00005B900000}"/>
    <cellStyle name="Normal 2 8 4 3 3 3 3" xfId="36953" xr:uid="{00000000-0005-0000-0000-00005C900000}"/>
    <cellStyle name="Normal 2 8 4 3 3 3 4" xfId="36954" xr:uid="{00000000-0005-0000-0000-00005D900000}"/>
    <cellStyle name="Normal 2 8 4 3 3 3 5" xfId="36955" xr:uid="{00000000-0005-0000-0000-00005E900000}"/>
    <cellStyle name="Normal 2 8 4 3 3 4" xfId="36956" xr:uid="{00000000-0005-0000-0000-00005F900000}"/>
    <cellStyle name="Normal 2 8 4 3 3 4 2" xfId="36957" xr:uid="{00000000-0005-0000-0000-000060900000}"/>
    <cellStyle name="Normal 2 8 4 3 3 4 3" xfId="36958" xr:uid="{00000000-0005-0000-0000-000061900000}"/>
    <cellStyle name="Normal 2 8 4 3 3 4 4" xfId="36959" xr:uid="{00000000-0005-0000-0000-000062900000}"/>
    <cellStyle name="Normal 2 8 4 3 3 5" xfId="36960" xr:uid="{00000000-0005-0000-0000-000063900000}"/>
    <cellStyle name="Normal 2 8 4 3 3 5 2" xfId="36961" xr:uid="{00000000-0005-0000-0000-000064900000}"/>
    <cellStyle name="Normal 2 8 4 3 3 6" xfId="36962" xr:uid="{00000000-0005-0000-0000-000065900000}"/>
    <cellStyle name="Normal 2 8 4 3 3 7" xfId="36963" xr:uid="{00000000-0005-0000-0000-000066900000}"/>
    <cellStyle name="Normal 2 8 4 3 3 8" xfId="36964" xr:uid="{00000000-0005-0000-0000-000067900000}"/>
    <cellStyle name="Normal 2 8 4 3 3 9" xfId="36965" xr:uid="{00000000-0005-0000-0000-000068900000}"/>
    <cellStyle name="Normal 2 8 4 3 4" xfId="36966" xr:uid="{00000000-0005-0000-0000-000069900000}"/>
    <cellStyle name="Normal 2 8 4 3 4 2" xfId="36967" xr:uid="{00000000-0005-0000-0000-00006A900000}"/>
    <cellStyle name="Normal 2 8 4 3 4 2 2" xfId="36968" xr:uid="{00000000-0005-0000-0000-00006B900000}"/>
    <cellStyle name="Normal 2 8 4 3 4 2 3" xfId="36969" xr:uid="{00000000-0005-0000-0000-00006C900000}"/>
    <cellStyle name="Normal 2 8 4 3 4 3" xfId="36970" xr:uid="{00000000-0005-0000-0000-00006D900000}"/>
    <cellStyle name="Normal 2 8 4 3 4 4" xfId="36971" xr:uid="{00000000-0005-0000-0000-00006E900000}"/>
    <cellStyle name="Normal 2 8 4 3 4 5" xfId="36972" xr:uid="{00000000-0005-0000-0000-00006F900000}"/>
    <cellStyle name="Normal 2 8 4 3 4 6" xfId="36973" xr:uid="{00000000-0005-0000-0000-000070900000}"/>
    <cellStyle name="Normal 2 8 4 3 5" xfId="36974" xr:uid="{00000000-0005-0000-0000-000071900000}"/>
    <cellStyle name="Normal 2 8 4 3 5 2" xfId="36975" xr:uid="{00000000-0005-0000-0000-000072900000}"/>
    <cellStyle name="Normal 2 8 4 3 5 2 2" xfId="36976" xr:uid="{00000000-0005-0000-0000-000073900000}"/>
    <cellStyle name="Normal 2 8 4 3 5 3" xfId="36977" xr:uid="{00000000-0005-0000-0000-000074900000}"/>
    <cellStyle name="Normal 2 8 4 3 5 4" xfId="36978" xr:uid="{00000000-0005-0000-0000-000075900000}"/>
    <cellStyle name="Normal 2 8 4 3 5 5" xfId="36979" xr:uid="{00000000-0005-0000-0000-000076900000}"/>
    <cellStyle name="Normal 2 8 4 3 6" xfId="36980" xr:uid="{00000000-0005-0000-0000-000077900000}"/>
    <cellStyle name="Normal 2 8 4 3 6 2" xfId="36981" xr:uid="{00000000-0005-0000-0000-000078900000}"/>
    <cellStyle name="Normal 2 8 4 3 6 3" xfId="36982" xr:uid="{00000000-0005-0000-0000-000079900000}"/>
    <cellStyle name="Normal 2 8 4 3 6 4" xfId="36983" xr:uid="{00000000-0005-0000-0000-00007A900000}"/>
    <cellStyle name="Normal 2 8 4 3 7" xfId="36984" xr:uid="{00000000-0005-0000-0000-00007B900000}"/>
    <cellStyle name="Normal 2 8 4 3 7 2" xfId="36985" xr:uid="{00000000-0005-0000-0000-00007C900000}"/>
    <cellStyle name="Normal 2 8 4 3 8" xfId="36986" xr:uid="{00000000-0005-0000-0000-00007D900000}"/>
    <cellStyle name="Normal 2 8 4 3 9" xfId="36987" xr:uid="{00000000-0005-0000-0000-00007E900000}"/>
    <cellStyle name="Normal 2 8 4 4" xfId="36988" xr:uid="{00000000-0005-0000-0000-00007F900000}"/>
    <cellStyle name="Normal 2 8 4 4 10" xfId="36989" xr:uid="{00000000-0005-0000-0000-000080900000}"/>
    <cellStyle name="Normal 2 8 4 4 11" xfId="36990" xr:uid="{00000000-0005-0000-0000-000081900000}"/>
    <cellStyle name="Normal 2 8 4 4 2" xfId="36991" xr:uid="{00000000-0005-0000-0000-000082900000}"/>
    <cellStyle name="Normal 2 8 4 4 2 2" xfId="36992" xr:uid="{00000000-0005-0000-0000-000083900000}"/>
    <cellStyle name="Normal 2 8 4 4 2 2 2" xfId="36993" xr:uid="{00000000-0005-0000-0000-000084900000}"/>
    <cellStyle name="Normal 2 8 4 4 2 2 2 2" xfId="36994" xr:uid="{00000000-0005-0000-0000-000085900000}"/>
    <cellStyle name="Normal 2 8 4 4 2 2 2 3" xfId="36995" xr:uid="{00000000-0005-0000-0000-000086900000}"/>
    <cellStyle name="Normal 2 8 4 4 2 2 3" xfId="36996" xr:uid="{00000000-0005-0000-0000-000087900000}"/>
    <cellStyle name="Normal 2 8 4 4 2 2 4" xfId="36997" xr:uid="{00000000-0005-0000-0000-000088900000}"/>
    <cellStyle name="Normal 2 8 4 4 2 2 5" xfId="36998" xr:uid="{00000000-0005-0000-0000-000089900000}"/>
    <cellStyle name="Normal 2 8 4 4 2 2 6" xfId="36999" xr:uid="{00000000-0005-0000-0000-00008A900000}"/>
    <cellStyle name="Normal 2 8 4 4 2 3" xfId="37000" xr:uid="{00000000-0005-0000-0000-00008B900000}"/>
    <cellStyle name="Normal 2 8 4 4 2 3 2" xfId="37001" xr:uid="{00000000-0005-0000-0000-00008C900000}"/>
    <cellStyle name="Normal 2 8 4 4 2 3 2 2" xfId="37002" xr:uid="{00000000-0005-0000-0000-00008D900000}"/>
    <cellStyle name="Normal 2 8 4 4 2 3 3" xfId="37003" xr:uid="{00000000-0005-0000-0000-00008E900000}"/>
    <cellStyle name="Normal 2 8 4 4 2 3 4" xfId="37004" xr:uid="{00000000-0005-0000-0000-00008F900000}"/>
    <cellStyle name="Normal 2 8 4 4 2 3 5" xfId="37005" xr:uid="{00000000-0005-0000-0000-000090900000}"/>
    <cellStyle name="Normal 2 8 4 4 2 4" xfId="37006" xr:uid="{00000000-0005-0000-0000-000091900000}"/>
    <cellStyle name="Normal 2 8 4 4 2 4 2" xfId="37007" xr:uid="{00000000-0005-0000-0000-000092900000}"/>
    <cellStyle name="Normal 2 8 4 4 2 4 3" xfId="37008" xr:uid="{00000000-0005-0000-0000-000093900000}"/>
    <cellStyle name="Normal 2 8 4 4 2 4 4" xfId="37009" xr:uid="{00000000-0005-0000-0000-000094900000}"/>
    <cellStyle name="Normal 2 8 4 4 2 5" xfId="37010" xr:uid="{00000000-0005-0000-0000-000095900000}"/>
    <cellStyle name="Normal 2 8 4 4 2 5 2" xfId="37011" xr:uid="{00000000-0005-0000-0000-000096900000}"/>
    <cellStyle name="Normal 2 8 4 4 2 6" xfId="37012" xr:uid="{00000000-0005-0000-0000-000097900000}"/>
    <cellStyle name="Normal 2 8 4 4 2 7" xfId="37013" xr:uid="{00000000-0005-0000-0000-000098900000}"/>
    <cellStyle name="Normal 2 8 4 4 2 8" xfId="37014" xr:uid="{00000000-0005-0000-0000-000099900000}"/>
    <cellStyle name="Normal 2 8 4 4 2 9" xfId="37015" xr:uid="{00000000-0005-0000-0000-00009A900000}"/>
    <cellStyle name="Normal 2 8 4 4 3" xfId="37016" xr:uid="{00000000-0005-0000-0000-00009B900000}"/>
    <cellStyle name="Normal 2 8 4 4 3 2" xfId="37017" xr:uid="{00000000-0005-0000-0000-00009C900000}"/>
    <cellStyle name="Normal 2 8 4 4 3 2 2" xfId="37018" xr:uid="{00000000-0005-0000-0000-00009D900000}"/>
    <cellStyle name="Normal 2 8 4 4 3 2 2 2" xfId="37019" xr:uid="{00000000-0005-0000-0000-00009E900000}"/>
    <cellStyle name="Normal 2 8 4 4 3 2 2 3" xfId="37020" xr:uid="{00000000-0005-0000-0000-00009F900000}"/>
    <cellStyle name="Normal 2 8 4 4 3 2 3" xfId="37021" xr:uid="{00000000-0005-0000-0000-0000A0900000}"/>
    <cellStyle name="Normal 2 8 4 4 3 2 4" xfId="37022" xr:uid="{00000000-0005-0000-0000-0000A1900000}"/>
    <cellStyle name="Normal 2 8 4 4 3 2 5" xfId="37023" xr:uid="{00000000-0005-0000-0000-0000A2900000}"/>
    <cellStyle name="Normal 2 8 4 4 3 2 6" xfId="37024" xr:uid="{00000000-0005-0000-0000-0000A3900000}"/>
    <cellStyle name="Normal 2 8 4 4 3 3" xfId="37025" xr:uid="{00000000-0005-0000-0000-0000A4900000}"/>
    <cellStyle name="Normal 2 8 4 4 3 3 2" xfId="37026" xr:uid="{00000000-0005-0000-0000-0000A5900000}"/>
    <cellStyle name="Normal 2 8 4 4 3 3 2 2" xfId="37027" xr:uid="{00000000-0005-0000-0000-0000A6900000}"/>
    <cellStyle name="Normal 2 8 4 4 3 3 3" xfId="37028" xr:uid="{00000000-0005-0000-0000-0000A7900000}"/>
    <cellStyle name="Normal 2 8 4 4 3 3 4" xfId="37029" xr:uid="{00000000-0005-0000-0000-0000A8900000}"/>
    <cellStyle name="Normal 2 8 4 4 3 3 5" xfId="37030" xr:uid="{00000000-0005-0000-0000-0000A9900000}"/>
    <cellStyle name="Normal 2 8 4 4 3 4" xfId="37031" xr:uid="{00000000-0005-0000-0000-0000AA900000}"/>
    <cellStyle name="Normal 2 8 4 4 3 4 2" xfId="37032" xr:uid="{00000000-0005-0000-0000-0000AB900000}"/>
    <cellStyle name="Normal 2 8 4 4 3 4 3" xfId="37033" xr:uid="{00000000-0005-0000-0000-0000AC900000}"/>
    <cellStyle name="Normal 2 8 4 4 3 4 4" xfId="37034" xr:uid="{00000000-0005-0000-0000-0000AD900000}"/>
    <cellStyle name="Normal 2 8 4 4 3 5" xfId="37035" xr:uid="{00000000-0005-0000-0000-0000AE900000}"/>
    <cellStyle name="Normal 2 8 4 4 3 5 2" xfId="37036" xr:uid="{00000000-0005-0000-0000-0000AF900000}"/>
    <cellStyle name="Normal 2 8 4 4 3 6" xfId="37037" xr:uid="{00000000-0005-0000-0000-0000B0900000}"/>
    <cellStyle name="Normal 2 8 4 4 3 7" xfId="37038" xr:uid="{00000000-0005-0000-0000-0000B1900000}"/>
    <cellStyle name="Normal 2 8 4 4 3 8" xfId="37039" xr:uid="{00000000-0005-0000-0000-0000B2900000}"/>
    <cellStyle name="Normal 2 8 4 4 3 9" xfId="37040" xr:uid="{00000000-0005-0000-0000-0000B3900000}"/>
    <cellStyle name="Normal 2 8 4 4 4" xfId="37041" xr:uid="{00000000-0005-0000-0000-0000B4900000}"/>
    <cellStyle name="Normal 2 8 4 4 4 2" xfId="37042" xr:uid="{00000000-0005-0000-0000-0000B5900000}"/>
    <cellStyle name="Normal 2 8 4 4 4 2 2" xfId="37043" xr:uid="{00000000-0005-0000-0000-0000B6900000}"/>
    <cellStyle name="Normal 2 8 4 4 4 2 3" xfId="37044" xr:uid="{00000000-0005-0000-0000-0000B7900000}"/>
    <cellStyle name="Normal 2 8 4 4 4 3" xfId="37045" xr:uid="{00000000-0005-0000-0000-0000B8900000}"/>
    <cellStyle name="Normal 2 8 4 4 4 4" xfId="37046" xr:uid="{00000000-0005-0000-0000-0000B9900000}"/>
    <cellStyle name="Normal 2 8 4 4 4 5" xfId="37047" xr:uid="{00000000-0005-0000-0000-0000BA900000}"/>
    <cellStyle name="Normal 2 8 4 4 4 6" xfId="37048" xr:uid="{00000000-0005-0000-0000-0000BB900000}"/>
    <cellStyle name="Normal 2 8 4 4 5" xfId="37049" xr:uid="{00000000-0005-0000-0000-0000BC900000}"/>
    <cellStyle name="Normal 2 8 4 4 5 2" xfId="37050" xr:uid="{00000000-0005-0000-0000-0000BD900000}"/>
    <cellStyle name="Normal 2 8 4 4 5 2 2" xfId="37051" xr:uid="{00000000-0005-0000-0000-0000BE900000}"/>
    <cellStyle name="Normal 2 8 4 4 5 3" xfId="37052" xr:uid="{00000000-0005-0000-0000-0000BF900000}"/>
    <cellStyle name="Normal 2 8 4 4 5 4" xfId="37053" xr:uid="{00000000-0005-0000-0000-0000C0900000}"/>
    <cellStyle name="Normal 2 8 4 4 5 5" xfId="37054" xr:uid="{00000000-0005-0000-0000-0000C1900000}"/>
    <cellStyle name="Normal 2 8 4 4 6" xfId="37055" xr:uid="{00000000-0005-0000-0000-0000C2900000}"/>
    <cellStyle name="Normal 2 8 4 4 6 2" xfId="37056" xr:uid="{00000000-0005-0000-0000-0000C3900000}"/>
    <cellStyle name="Normal 2 8 4 4 6 3" xfId="37057" xr:uid="{00000000-0005-0000-0000-0000C4900000}"/>
    <cellStyle name="Normal 2 8 4 4 6 4" xfId="37058" xr:uid="{00000000-0005-0000-0000-0000C5900000}"/>
    <cellStyle name="Normal 2 8 4 4 7" xfId="37059" xr:uid="{00000000-0005-0000-0000-0000C6900000}"/>
    <cellStyle name="Normal 2 8 4 4 7 2" xfId="37060" xr:uid="{00000000-0005-0000-0000-0000C7900000}"/>
    <cellStyle name="Normal 2 8 4 4 8" xfId="37061" xr:uid="{00000000-0005-0000-0000-0000C8900000}"/>
    <cellStyle name="Normal 2 8 4 4 9" xfId="37062" xr:uid="{00000000-0005-0000-0000-0000C9900000}"/>
    <cellStyle name="Normal 2 8 4 5" xfId="37063" xr:uid="{00000000-0005-0000-0000-0000CA900000}"/>
    <cellStyle name="Normal 2 8 4 5 10" xfId="37064" xr:uid="{00000000-0005-0000-0000-0000CB900000}"/>
    <cellStyle name="Normal 2 8 4 5 11" xfId="37065" xr:uid="{00000000-0005-0000-0000-0000CC900000}"/>
    <cellStyle name="Normal 2 8 4 5 2" xfId="37066" xr:uid="{00000000-0005-0000-0000-0000CD900000}"/>
    <cellStyle name="Normal 2 8 4 5 2 2" xfId="37067" xr:uid="{00000000-0005-0000-0000-0000CE900000}"/>
    <cellStyle name="Normal 2 8 4 5 2 2 2" xfId="37068" xr:uid="{00000000-0005-0000-0000-0000CF900000}"/>
    <cellStyle name="Normal 2 8 4 5 2 2 2 2" xfId="37069" xr:uid="{00000000-0005-0000-0000-0000D0900000}"/>
    <cellStyle name="Normal 2 8 4 5 2 2 2 3" xfId="37070" xr:uid="{00000000-0005-0000-0000-0000D1900000}"/>
    <cellStyle name="Normal 2 8 4 5 2 2 3" xfId="37071" xr:uid="{00000000-0005-0000-0000-0000D2900000}"/>
    <cellStyle name="Normal 2 8 4 5 2 2 4" xfId="37072" xr:uid="{00000000-0005-0000-0000-0000D3900000}"/>
    <cellStyle name="Normal 2 8 4 5 2 2 5" xfId="37073" xr:uid="{00000000-0005-0000-0000-0000D4900000}"/>
    <cellStyle name="Normal 2 8 4 5 2 2 6" xfId="37074" xr:uid="{00000000-0005-0000-0000-0000D5900000}"/>
    <cellStyle name="Normal 2 8 4 5 2 3" xfId="37075" xr:uid="{00000000-0005-0000-0000-0000D6900000}"/>
    <cellStyle name="Normal 2 8 4 5 2 3 2" xfId="37076" xr:uid="{00000000-0005-0000-0000-0000D7900000}"/>
    <cellStyle name="Normal 2 8 4 5 2 3 2 2" xfId="37077" xr:uid="{00000000-0005-0000-0000-0000D8900000}"/>
    <cellStyle name="Normal 2 8 4 5 2 3 3" xfId="37078" xr:uid="{00000000-0005-0000-0000-0000D9900000}"/>
    <cellStyle name="Normal 2 8 4 5 2 3 4" xfId="37079" xr:uid="{00000000-0005-0000-0000-0000DA900000}"/>
    <cellStyle name="Normal 2 8 4 5 2 3 5" xfId="37080" xr:uid="{00000000-0005-0000-0000-0000DB900000}"/>
    <cellStyle name="Normal 2 8 4 5 2 4" xfId="37081" xr:uid="{00000000-0005-0000-0000-0000DC900000}"/>
    <cellStyle name="Normal 2 8 4 5 2 4 2" xfId="37082" xr:uid="{00000000-0005-0000-0000-0000DD900000}"/>
    <cellStyle name="Normal 2 8 4 5 2 4 3" xfId="37083" xr:uid="{00000000-0005-0000-0000-0000DE900000}"/>
    <cellStyle name="Normal 2 8 4 5 2 4 4" xfId="37084" xr:uid="{00000000-0005-0000-0000-0000DF900000}"/>
    <cellStyle name="Normal 2 8 4 5 2 5" xfId="37085" xr:uid="{00000000-0005-0000-0000-0000E0900000}"/>
    <cellStyle name="Normal 2 8 4 5 2 5 2" xfId="37086" xr:uid="{00000000-0005-0000-0000-0000E1900000}"/>
    <cellStyle name="Normal 2 8 4 5 2 6" xfId="37087" xr:uid="{00000000-0005-0000-0000-0000E2900000}"/>
    <cellStyle name="Normal 2 8 4 5 2 7" xfId="37088" xr:uid="{00000000-0005-0000-0000-0000E3900000}"/>
    <cellStyle name="Normal 2 8 4 5 2 8" xfId="37089" xr:uid="{00000000-0005-0000-0000-0000E4900000}"/>
    <cellStyle name="Normal 2 8 4 5 2 9" xfId="37090" xr:uid="{00000000-0005-0000-0000-0000E5900000}"/>
    <cellStyle name="Normal 2 8 4 5 3" xfId="37091" xr:uid="{00000000-0005-0000-0000-0000E6900000}"/>
    <cellStyle name="Normal 2 8 4 5 3 2" xfId="37092" xr:uid="{00000000-0005-0000-0000-0000E7900000}"/>
    <cellStyle name="Normal 2 8 4 5 3 2 2" xfId="37093" xr:uid="{00000000-0005-0000-0000-0000E8900000}"/>
    <cellStyle name="Normal 2 8 4 5 3 2 2 2" xfId="37094" xr:uid="{00000000-0005-0000-0000-0000E9900000}"/>
    <cellStyle name="Normal 2 8 4 5 3 2 2 3" xfId="37095" xr:uid="{00000000-0005-0000-0000-0000EA900000}"/>
    <cellStyle name="Normal 2 8 4 5 3 2 3" xfId="37096" xr:uid="{00000000-0005-0000-0000-0000EB900000}"/>
    <cellStyle name="Normal 2 8 4 5 3 2 4" xfId="37097" xr:uid="{00000000-0005-0000-0000-0000EC900000}"/>
    <cellStyle name="Normal 2 8 4 5 3 2 5" xfId="37098" xr:uid="{00000000-0005-0000-0000-0000ED900000}"/>
    <cellStyle name="Normal 2 8 4 5 3 2 6" xfId="37099" xr:uid="{00000000-0005-0000-0000-0000EE900000}"/>
    <cellStyle name="Normal 2 8 4 5 3 3" xfId="37100" xr:uid="{00000000-0005-0000-0000-0000EF900000}"/>
    <cellStyle name="Normal 2 8 4 5 3 3 2" xfId="37101" xr:uid="{00000000-0005-0000-0000-0000F0900000}"/>
    <cellStyle name="Normal 2 8 4 5 3 3 2 2" xfId="37102" xr:uid="{00000000-0005-0000-0000-0000F1900000}"/>
    <cellStyle name="Normal 2 8 4 5 3 3 3" xfId="37103" xr:uid="{00000000-0005-0000-0000-0000F2900000}"/>
    <cellStyle name="Normal 2 8 4 5 3 3 4" xfId="37104" xr:uid="{00000000-0005-0000-0000-0000F3900000}"/>
    <cellStyle name="Normal 2 8 4 5 3 3 5" xfId="37105" xr:uid="{00000000-0005-0000-0000-0000F4900000}"/>
    <cellStyle name="Normal 2 8 4 5 3 4" xfId="37106" xr:uid="{00000000-0005-0000-0000-0000F5900000}"/>
    <cellStyle name="Normal 2 8 4 5 3 4 2" xfId="37107" xr:uid="{00000000-0005-0000-0000-0000F6900000}"/>
    <cellStyle name="Normal 2 8 4 5 3 4 3" xfId="37108" xr:uid="{00000000-0005-0000-0000-0000F7900000}"/>
    <cellStyle name="Normal 2 8 4 5 3 4 4" xfId="37109" xr:uid="{00000000-0005-0000-0000-0000F8900000}"/>
    <cellStyle name="Normal 2 8 4 5 3 5" xfId="37110" xr:uid="{00000000-0005-0000-0000-0000F9900000}"/>
    <cellStyle name="Normal 2 8 4 5 3 5 2" xfId="37111" xr:uid="{00000000-0005-0000-0000-0000FA900000}"/>
    <cellStyle name="Normal 2 8 4 5 3 6" xfId="37112" xr:uid="{00000000-0005-0000-0000-0000FB900000}"/>
    <cellStyle name="Normal 2 8 4 5 3 7" xfId="37113" xr:uid="{00000000-0005-0000-0000-0000FC900000}"/>
    <cellStyle name="Normal 2 8 4 5 3 8" xfId="37114" xr:uid="{00000000-0005-0000-0000-0000FD900000}"/>
    <cellStyle name="Normal 2 8 4 5 3 9" xfId="37115" xr:uid="{00000000-0005-0000-0000-0000FE900000}"/>
    <cellStyle name="Normal 2 8 4 5 4" xfId="37116" xr:uid="{00000000-0005-0000-0000-0000FF900000}"/>
    <cellStyle name="Normal 2 8 4 5 4 2" xfId="37117" xr:uid="{00000000-0005-0000-0000-000000910000}"/>
    <cellStyle name="Normal 2 8 4 5 4 2 2" xfId="37118" xr:uid="{00000000-0005-0000-0000-000001910000}"/>
    <cellStyle name="Normal 2 8 4 5 4 2 3" xfId="37119" xr:uid="{00000000-0005-0000-0000-000002910000}"/>
    <cellStyle name="Normal 2 8 4 5 4 3" xfId="37120" xr:uid="{00000000-0005-0000-0000-000003910000}"/>
    <cellStyle name="Normal 2 8 4 5 4 4" xfId="37121" xr:uid="{00000000-0005-0000-0000-000004910000}"/>
    <cellStyle name="Normal 2 8 4 5 4 5" xfId="37122" xr:uid="{00000000-0005-0000-0000-000005910000}"/>
    <cellStyle name="Normal 2 8 4 5 4 6" xfId="37123" xr:uid="{00000000-0005-0000-0000-000006910000}"/>
    <cellStyle name="Normal 2 8 4 5 5" xfId="37124" xr:uid="{00000000-0005-0000-0000-000007910000}"/>
    <cellStyle name="Normal 2 8 4 5 5 2" xfId="37125" xr:uid="{00000000-0005-0000-0000-000008910000}"/>
    <cellStyle name="Normal 2 8 4 5 5 2 2" xfId="37126" xr:uid="{00000000-0005-0000-0000-000009910000}"/>
    <cellStyle name="Normal 2 8 4 5 5 3" xfId="37127" xr:uid="{00000000-0005-0000-0000-00000A910000}"/>
    <cellStyle name="Normal 2 8 4 5 5 4" xfId="37128" xr:uid="{00000000-0005-0000-0000-00000B910000}"/>
    <cellStyle name="Normal 2 8 4 5 5 5" xfId="37129" xr:uid="{00000000-0005-0000-0000-00000C910000}"/>
    <cellStyle name="Normal 2 8 4 5 6" xfId="37130" xr:uid="{00000000-0005-0000-0000-00000D910000}"/>
    <cellStyle name="Normal 2 8 4 5 6 2" xfId="37131" xr:uid="{00000000-0005-0000-0000-00000E910000}"/>
    <cellStyle name="Normal 2 8 4 5 6 3" xfId="37132" xr:uid="{00000000-0005-0000-0000-00000F910000}"/>
    <cellStyle name="Normal 2 8 4 5 6 4" xfId="37133" xr:uid="{00000000-0005-0000-0000-000010910000}"/>
    <cellStyle name="Normal 2 8 4 5 7" xfId="37134" xr:uid="{00000000-0005-0000-0000-000011910000}"/>
    <cellStyle name="Normal 2 8 4 5 7 2" xfId="37135" xr:uid="{00000000-0005-0000-0000-000012910000}"/>
    <cellStyle name="Normal 2 8 4 5 8" xfId="37136" xr:uid="{00000000-0005-0000-0000-000013910000}"/>
    <cellStyle name="Normal 2 8 4 5 9" xfId="37137" xr:uid="{00000000-0005-0000-0000-000014910000}"/>
    <cellStyle name="Normal 2 8 4 6" xfId="37138" xr:uid="{00000000-0005-0000-0000-000015910000}"/>
    <cellStyle name="Normal 2 8 4 6 10" xfId="37139" xr:uid="{00000000-0005-0000-0000-000016910000}"/>
    <cellStyle name="Normal 2 8 4 6 11" xfId="37140" xr:uid="{00000000-0005-0000-0000-000017910000}"/>
    <cellStyle name="Normal 2 8 4 6 2" xfId="37141" xr:uid="{00000000-0005-0000-0000-000018910000}"/>
    <cellStyle name="Normal 2 8 4 6 2 2" xfId="37142" xr:uid="{00000000-0005-0000-0000-000019910000}"/>
    <cellStyle name="Normal 2 8 4 6 2 2 2" xfId="37143" xr:uid="{00000000-0005-0000-0000-00001A910000}"/>
    <cellStyle name="Normal 2 8 4 6 2 2 2 2" xfId="37144" xr:uid="{00000000-0005-0000-0000-00001B910000}"/>
    <cellStyle name="Normal 2 8 4 6 2 2 2 3" xfId="37145" xr:uid="{00000000-0005-0000-0000-00001C910000}"/>
    <cellStyle name="Normal 2 8 4 6 2 2 3" xfId="37146" xr:uid="{00000000-0005-0000-0000-00001D910000}"/>
    <cellStyle name="Normal 2 8 4 6 2 2 4" xfId="37147" xr:uid="{00000000-0005-0000-0000-00001E910000}"/>
    <cellStyle name="Normal 2 8 4 6 2 2 5" xfId="37148" xr:uid="{00000000-0005-0000-0000-00001F910000}"/>
    <cellStyle name="Normal 2 8 4 6 2 2 6" xfId="37149" xr:uid="{00000000-0005-0000-0000-000020910000}"/>
    <cellStyle name="Normal 2 8 4 6 2 3" xfId="37150" xr:uid="{00000000-0005-0000-0000-000021910000}"/>
    <cellStyle name="Normal 2 8 4 6 2 3 2" xfId="37151" xr:uid="{00000000-0005-0000-0000-000022910000}"/>
    <cellStyle name="Normal 2 8 4 6 2 3 2 2" xfId="37152" xr:uid="{00000000-0005-0000-0000-000023910000}"/>
    <cellStyle name="Normal 2 8 4 6 2 3 3" xfId="37153" xr:uid="{00000000-0005-0000-0000-000024910000}"/>
    <cellStyle name="Normal 2 8 4 6 2 3 4" xfId="37154" xr:uid="{00000000-0005-0000-0000-000025910000}"/>
    <cellStyle name="Normal 2 8 4 6 2 3 5" xfId="37155" xr:uid="{00000000-0005-0000-0000-000026910000}"/>
    <cellStyle name="Normal 2 8 4 6 2 4" xfId="37156" xr:uid="{00000000-0005-0000-0000-000027910000}"/>
    <cellStyle name="Normal 2 8 4 6 2 4 2" xfId="37157" xr:uid="{00000000-0005-0000-0000-000028910000}"/>
    <cellStyle name="Normal 2 8 4 6 2 4 3" xfId="37158" xr:uid="{00000000-0005-0000-0000-000029910000}"/>
    <cellStyle name="Normal 2 8 4 6 2 4 4" xfId="37159" xr:uid="{00000000-0005-0000-0000-00002A910000}"/>
    <cellStyle name="Normal 2 8 4 6 2 5" xfId="37160" xr:uid="{00000000-0005-0000-0000-00002B910000}"/>
    <cellStyle name="Normal 2 8 4 6 2 5 2" xfId="37161" xr:uid="{00000000-0005-0000-0000-00002C910000}"/>
    <cellStyle name="Normal 2 8 4 6 2 6" xfId="37162" xr:uid="{00000000-0005-0000-0000-00002D910000}"/>
    <cellStyle name="Normal 2 8 4 6 2 7" xfId="37163" xr:uid="{00000000-0005-0000-0000-00002E910000}"/>
    <cellStyle name="Normal 2 8 4 6 2 8" xfId="37164" xr:uid="{00000000-0005-0000-0000-00002F910000}"/>
    <cellStyle name="Normal 2 8 4 6 2 9" xfId="37165" xr:uid="{00000000-0005-0000-0000-000030910000}"/>
    <cellStyle name="Normal 2 8 4 6 3" xfId="37166" xr:uid="{00000000-0005-0000-0000-000031910000}"/>
    <cellStyle name="Normal 2 8 4 6 3 2" xfId="37167" xr:uid="{00000000-0005-0000-0000-000032910000}"/>
    <cellStyle name="Normal 2 8 4 6 3 2 2" xfId="37168" xr:uid="{00000000-0005-0000-0000-000033910000}"/>
    <cellStyle name="Normal 2 8 4 6 3 2 2 2" xfId="37169" xr:uid="{00000000-0005-0000-0000-000034910000}"/>
    <cellStyle name="Normal 2 8 4 6 3 2 2 3" xfId="37170" xr:uid="{00000000-0005-0000-0000-000035910000}"/>
    <cellStyle name="Normal 2 8 4 6 3 2 3" xfId="37171" xr:uid="{00000000-0005-0000-0000-000036910000}"/>
    <cellStyle name="Normal 2 8 4 6 3 2 4" xfId="37172" xr:uid="{00000000-0005-0000-0000-000037910000}"/>
    <cellStyle name="Normal 2 8 4 6 3 2 5" xfId="37173" xr:uid="{00000000-0005-0000-0000-000038910000}"/>
    <cellStyle name="Normal 2 8 4 6 3 2 6" xfId="37174" xr:uid="{00000000-0005-0000-0000-000039910000}"/>
    <cellStyle name="Normal 2 8 4 6 3 3" xfId="37175" xr:uid="{00000000-0005-0000-0000-00003A910000}"/>
    <cellStyle name="Normal 2 8 4 6 3 3 2" xfId="37176" xr:uid="{00000000-0005-0000-0000-00003B910000}"/>
    <cellStyle name="Normal 2 8 4 6 3 3 2 2" xfId="37177" xr:uid="{00000000-0005-0000-0000-00003C910000}"/>
    <cellStyle name="Normal 2 8 4 6 3 3 3" xfId="37178" xr:uid="{00000000-0005-0000-0000-00003D910000}"/>
    <cellStyle name="Normal 2 8 4 6 3 3 4" xfId="37179" xr:uid="{00000000-0005-0000-0000-00003E910000}"/>
    <cellStyle name="Normal 2 8 4 6 3 3 5" xfId="37180" xr:uid="{00000000-0005-0000-0000-00003F910000}"/>
    <cellStyle name="Normal 2 8 4 6 3 4" xfId="37181" xr:uid="{00000000-0005-0000-0000-000040910000}"/>
    <cellStyle name="Normal 2 8 4 6 3 4 2" xfId="37182" xr:uid="{00000000-0005-0000-0000-000041910000}"/>
    <cellStyle name="Normal 2 8 4 6 3 4 3" xfId="37183" xr:uid="{00000000-0005-0000-0000-000042910000}"/>
    <cellStyle name="Normal 2 8 4 6 3 4 4" xfId="37184" xr:uid="{00000000-0005-0000-0000-000043910000}"/>
    <cellStyle name="Normal 2 8 4 6 3 5" xfId="37185" xr:uid="{00000000-0005-0000-0000-000044910000}"/>
    <cellStyle name="Normal 2 8 4 6 3 5 2" xfId="37186" xr:uid="{00000000-0005-0000-0000-000045910000}"/>
    <cellStyle name="Normal 2 8 4 6 3 6" xfId="37187" xr:uid="{00000000-0005-0000-0000-000046910000}"/>
    <cellStyle name="Normal 2 8 4 6 3 7" xfId="37188" xr:uid="{00000000-0005-0000-0000-000047910000}"/>
    <cellStyle name="Normal 2 8 4 6 3 8" xfId="37189" xr:uid="{00000000-0005-0000-0000-000048910000}"/>
    <cellStyle name="Normal 2 8 4 6 3 9" xfId="37190" xr:uid="{00000000-0005-0000-0000-000049910000}"/>
    <cellStyle name="Normal 2 8 4 6 4" xfId="37191" xr:uid="{00000000-0005-0000-0000-00004A910000}"/>
    <cellStyle name="Normal 2 8 4 6 4 2" xfId="37192" xr:uid="{00000000-0005-0000-0000-00004B910000}"/>
    <cellStyle name="Normal 2 8 4 6 4 2 2" xfId="37193" xr:uid="{00000000-0005-0000-0000-00004C910000}"/>
    <cellStyle name="Normal 2 8 4 6 4 2 3" xfId="37194" xr:uid="{00000000-0005-0000-0000-00004D910000}"/>
    <cellStyle name="Normal 2 8 4 6 4 3" xfId="37195" xr:uid="{00000000-0005-0000-0000-00004E910000}"/>
    <cellStyle name="Normal 2 8 4 6 4 4" xfId="37196" xr:uid="{00000000-0005-0000-0000-00004F910000}"/>
    <cellStyle name="Normal 2 8 4 6 4 5" xfId="37197" xr:uid="{00000000-0005-0000-0000-000050910000}"/>
    <cellStyle name="Normal 2 8 4 6 4 6" xfId="37198" xr:uid="{00000000-0005-0000-0000-000051910000}"/>
    <cellStyle name="Normal 2 8 4 6 5" xfId="37199" xr:uid="{00000000-0005-0000-0000-000052910000}"/>
    <cellStyle name="Normal 2 8 4 6 5 2" xfId="37200" xr:uid="{00000000-0005-0000-0000-000053910000}"/>
    <cellStyle name="Normal 2 8 4 6 5 2 2" xfId="37201" xr:uid="{00000000-0005-0000-0000-000054910000}"/>
    <cellStyle name="Normal 2 8 4 6 5 3" xfId="37202" xr:uid="{00000000-0005-0000-0000-000055910000}"/>
    <cellStyle name="Normal 2 8 4 6 5 4" xfId="37203" xr:uid="{00000000-0005-0000-0000-000056910000}"/>
    <cellStyle name="Normal 2 8 4 6 5 5" xfId="37204" xr:uid="{00000000-0005-0000-0000-000057910000}"/>
    <cellStyle name="Normal 2 8 4 6 6" xfId="37205" xr:uid="{00000000-0005-0000-0000-000058910000}"/>
    <cellStyle name="Normal 2 8 4 6 6 2" xfId="37206" xr:uid="{00000000-0005-0000-0000-000059910000}"/>
    <cellStyle name="Normal 2 8 4 6 6 3" xfId="37207" xr:uid="{00000000-0005-0000-0000-00005A910000}"/>
    <cellStyle name="Normal 2 8 4 6 6 4" xfId="37208" xr:uid="{00000000-0005-0000-0000-00005B910000}"/>
    <cellStyle name="Normal 2 8 4 6 7" xfId="37209" xr:uid="{00000000-0005-0000-0000-00005C910000}"/>
    <cellStyle name="Normal 2 8 4 6 7 2" xfId="37210" xr:uid="{00000000-0005-0000-0000-00005D910000}"/>
    <cellStyle name="Normal 2 8 4 6 8" xfId="37211" xr:uid="{00000000-0005-0000-0000-00005E910000}"/>
    <cellStyle name="Normal 2 8 4 6 9" xfId="37212" xr:uid="{00000000-0005-0000-0000-00005F910000}"/>
    <cellStyle name="Normal 2 8 4 7" xfId="37213" xr:uid="{00000000-0005-0000-0000-000060910000}"/>
    <cellStyle name="Normal 2 8 4 7 10" xfId="37214" xr:uid="{00000000-0005-0000-0000-000061910000}"/>
    <cellStyle name="Normal 2 8 4 7 11" xfId="37215" xr:uid="{00000000-0005-0000-0000-000062910000}"/>
    <cellStyle name="Normal 2 8 4 7 2" xfId="37216" xr:uid="{00000000-0005-0000-0000-000063910000}"/>
    <cellStyle name="Normal 2 8 4 7 2 2" xfId="37217" xr:uid="{00000000-0005-0000-0000-000064910000}"/>
    <cellStyle name="Normal 2 8 4 7 2 2 2" xfId="37218" xr:uid="{00000000-0005-0000-0000-000065910000}"/>
    <cellStyle name="Normal 2 8 4 7 2 2 2 2" xfId="37219" xr:uid="{00000000-0005-0000-0000-000066910000}"/>
    <cellStyle name="Normal 2 8 4 7 2 2 2 3" xfId="37220" xr:uid="{00000000-0005-0000-0000-000067910000}"/>
    <cellStyle name="Normal 2 8 4 7 2 2 3" xfId="37221" xr:uid="{00000000-0005-0000-0000-000068910000}"/>
    <cellStyle name="Normal 2 8 4 7 2 2 4" xfId="37222" xr:uid="{00000000-0005-0000-0000-000069910000}"/>
    <cellStyle name="Normal 2 8 4 7 2 2 5" xfId="37223" xr:uid="{00000000-0005-0000-0000-00006A910000}"/>
    <cellStyle name="Normal 2 8 4 7 2 2 6" xfId="37224" xr:uid="{00000000-0005-0000-0000-00006B910000}"/>
    <cellStyle name="Normal 2 8 4 7 2 3" xfId="37225" xr:uid="{00000000-0005-0000-0000-00006C910000}"/>
    <cellStyle name="Normal 2 8 4 7 2 3 2" xfId="37226" xr:uid="{00000000-0005-0000-0000-00006D910000}"/>
    <cellStyle name="Normal 2 8 4 7 2 3 2 2" xfId="37227" xr:uid="{00000000-0005-0000-0000-00006E910000}"/>
    <cellStyle name="Normal 2 8 4 7 2 3 3" xfId="37228" xr:uid="{00000000-0005-0000-0000-00006F910000}"/>
    <cellStyle name="Normal 2 8 4 7 2 3 4" xfId="37229" xr:uid="{00000000-0005-0000-0000-000070910000}"/>
    <cellStyle name="Normal 2 8 4 7 2 3 5" xfId="37230" xr:uid="{00000000-0005-0000-0000-000071910000}"/>
    <cellStyle name="Normal 2 8 4 7 2 4" xfId="37231" xr:uid="{00000000-0005-0000-0000-000072910000}"/>
    <cellStyle name="Normal 2 8 4 7 2 4 2" xfId="37232" xr:uid="{00000000-0005-0000-0000-000073910000}"/>
    <cellStyle name="Normal 2 8 4 7 2 4 3" xfId="37233" xr:uid="{00000000-0005-0000-0000-000074910000}"/>
    <cellStyle name="Normal 2 8 4 7 2 4 4" xfId="37234" xr:uid="{00000000-0005-0000-0000-000075910000}"/>
    <cellStyle name="Normal 2 8 4 7 2 5" xfId="37235" xr:uid="{00000000-0005-0000-0000-000076910000}"/>
    <cellStyle name="Normal 2 8 4 7 2 5 2" xfId="37236" xr:uid="{00000000-0005-0000-0000-000077910000}"/>
    <cellStyle name="Normal 2 8 4 7 2 6" xfId="37237" xr:uid="{00000000-0005-0000-0000-000078910000}"/>
    <cellStyle name="Normal 2 8 4 7 2 7" xfId="37238" xr:uid="{00000000-0005-0000-0000-000079910000}"/>
    <cellStyle name="Normal 2 8 4 7 2 8" xfId="37239" xr:uid="{00000000-0005-0000-0000-00007A910000}"/>
    <cellStyle name="Normal 2 8 4 7 2 9" xfId="37240" xr:uid="{00000000-0005-0000-0000-00007B910000}"/>
    <cellStyle name="Normal 2 8 4 7 3" xfId="37241" xr:uid="{00000000-0005-0000-0000-00007C910000}"/>
    <cellStyle name="Normal 2 8 4 7 3 2" xfId="37242" xr:uid="{00000000-0005-0000-0000-00007D910000}"/>
    <cellStyle name="Normal 2 8 4 7 3 2 2" xfId="37243" xr:uid="{00000000-0005-0000-0000-00007E910000}"/>
    <cellStyle name="Normal 2 8 4 7 3 2 2 2" xfId="37244" xr:uid="{00000000-0005-0000-0000-00007F910000}"/>
    <cellStyle name="Normal 2 8 4 7 3 2 2 3" xfId="37245" xr:uid="{00000000-0005-0000-0000-000080910000}"/>
    <cellStyle name="Normal 2 8 4 7 3 2 3" xfId="37246" xr:uid="{00000000-0005-0000-0000-000081910000}"/>
    <cellStyle name="Normal 2 8 4 7 3 2 4" xfId="37247" xr:uid="{00000000-0005-0000-0000-000082910000}"/>
    <cellStyle name="Normal 2 8 4 7 3 2 5" xfId="37248" xr:uid="{00000000-0005-0000-0000-000083910000}"/>
    <cellStyle name="Normal 2 8 4 7 3 2 6" xfId="37249" xr:uid="{00000000-0005-0000-0000-000084910000}"/>
    <cellStyle name="Normal 2 8 4 7 3 3" xfId="37250" xr:uid="{00000000-0005-0000-0000-000085910000}"/>
    <cellStyle name="Normal 2 8 4 7 3 3 2" xfId="37251" xr:uid="{00000000-0005-0000-0000-000086910000}"/>
    <cellStyle name="Normal 2 8 4 7 3 3 2 2" xfId="37252" xr:uid="{00000000-0005-0000-0000-000087910000}"/>
    <cellStyle name="Normal 2 8 4 7 3 3 3" xfId="37253" xr:uid="{00000000-0005-0000-0000-000088910000}"/>
    <cellStyle name="Normal 2 8 4 7 3 3 4" xfId="37254" xr:uid="{00000000-0005-0000-0000-000089910000}"/>
    <cellStyle name="Normal 2 8 4 7 3 3 5" xfId="37255" xr:uid="{00000000-0005-0000-0000-00008A910000}"/>
    <cellStyle name="Normal 2 8 4 7 3 4" xfId="37256" xr:uid="{00000000-0005-0000-0000-00008B910000}"/>
    <cellStyle name="Normal 2 8 4 7 3 4 2" xfId="37257" xr:uid="{00000000-0005-0000-0000-00008C910000}"/>
    <cellStyle name="Normal 2 8 4 7 3 4 3" xfId="37258" xr:uid="{00000000-0005-0000-0000-00008D910000}"/>
    <cellStyle name="Normal 2 8 4 7 3 4 4" xfId="37259" xr:uid="{00000000-0005-0000-0000-00008E910000}"/>
    <cellStyle name="Normal 2 8 4 7 3 5" xfId="37260" xr:uid="{00000000-0005-0000-0000-00008F910000}"/>
    <cellStyle name="Normal 2 8 4 7 3 5 2" xfId="37261" xr:uid="{00000000-0005-0000-0000-000090910000}"/>
    <cellStyle name="Normal 2 8 4 7 3 6" xfId="37262" xr:uid="{00000000-0005-0000-0000-000091910000}"/>
    <cellStyle name="Normal 2 8 4 7 3 7" xfId="37263" xr:uid="{00000000-0005-0000-0000-000092910000}"/>
    <cellStyle name="Normal 2 8 4 7 3 8" xfId="37264" xr:uid="{00000000-0005-0000-0000-000093910000}"/>
    <cellStyle name="Normal 2 8 4 7 3 9" xfId="37265" xr:uid="{00000000-0005-0000-0000-000094910000}"/>
    <cellStyle name="Normal 2 8 4 7 4" xfId="37266" xr:uid="{00000000-0005-0000-0000-000095910000}"/>
    <cellStyle name="Normal 2 8 4 7 4 2" xfId="37267" xr:uid="{00000000-0005-0000-0000-000096910000}"/>
    <cellStyle name="Normal 2 8 4 7 4 2 2" xfId="37268" xr:uid="{00000000-0005-0000-0000-000097910000}"/>
    <cellStyle name="Normal 2 8 4 7 4 2 3" xfId="37269" xr:uid="{00000000-0005-0000-0000-000098910000}"/>
    <cellStyle name="Normal 2 8 4 7 4 3" xfId="37270" xr:uid="{00000000-0005-0000-0000-000099910000}"/>
    <cellStyle name="Normal 2 8 4 7 4 4" xfId="37271" xr:uid="{00000000-0005-0000-0000-00009A910000}"/>
    <cellStyle name="Normal 2 8 4 7 4 5" xfId="37272" xr:uid="{00000000-0005-0000-0000-00009B910000}"/>
    <cellStyle name="Normal 2 8 4 7 4 6" xfId="37273" xr:uid="{00000000-0005-0000-0000-00009C910000}"/>
    <cellStyle name="Normal 2 8 4 7 5" xfId="37274" xr:uid="{00000000-0005-0000-0000-00009D910000}"/>
    <cellStyle name="Normal 2 8 4 7 5 2" xfId="37275" xr:uid="{00000000-0005-0000-0000-00009E910000}"/>
    <cellStyle name="Normal 2 8 4 7 5 2 2" xfId="37276" xr:uid="{00000000-0005-0000-0000-00009F910000}"/>
    <cellStyle name="Normal 2 8 4 7 5 3" xfId="37277" xr:uid="{00000000-0005-0000-0000-0000A0910000}"/>
    <cellStyle name="Normal 2 8 4 7 5 4" xfId="37278" xr:uid="{00000000-0005-0000-0000-0000A1910000}"/>
    <cellStyle name="Normal 2 8 4 7 5 5" xfId="37279" xr:uid="{00000000-0005-0000-0000-0000A2910000}"/>
    <cellStyle name="Normal 2 8 4 7 6" xfId="37280" xr:uid="{00000000-0005-0000-0000-0000A3910000}"/>
    <cellStyle name="Normal 2 8 4 7 6 2" xfId="37281" xr:uid="{00000000-0005-0000-0000-0000A4910000}"/>
    <cellStyle name="Normal 2 8 4 7 6 3" xfId="37282" xr:uid="{00000000-0005-0000-0000-0000A5910000}"/>
    <cellStyle name="Normal 2 8 4 7 6 4" xfId="37283" xr:uid="{00000000-0005-0000-0000-0000A6910000}"/>
    <cellStyle name="Normal 2 8 4 7 7" xfId="37284" xr:uid="{00000000-0005-0000-0000-0000A7910000}"/>
    <cellStyle name="Normal 2 8 4 7 7 2" xfId="37285" xr:uid="{00000000-0005-0000-0000-0000A8910000}"/>
    <cellStyle name="Normal 2 8 4 7 8" xfId="37286" xr:uid="{00000000-0005-0000-0000-0000A9910000}"/>
    <cellStyle name="Normal 2 8 4 7 9" xfId="37287" xr:uid="{00000000-0005-0000-0000-0000AA910000}"/>
    <cellStyle name="Normal 2 8 4 8" xfId="37288" xr:uid="{00000000-0005-0000-0000-0000AB910000}"/>
    <cellStyle name="Normal 2 8 4 8 10" xfId="37289" xr:uid="{00000000-0005-0000-0000-0000AC910000}"/>
    <cellStyle name="Normal 2 8 4 8 2" xfId="37290" xr:uid="{00000000-0005-0000-0000-0000AD910000}"/>
    <cellStyle name="Normal 2 8 4 8 2 2" xfId="37291" xr:uid="{00000000-0005-0000-0000-0000AE910000}"/>
    <cellStyle name="Normal 2 8 4 8 2 2 2" xfId="37292" xr:uid="{00000000-0005-0000-0000-0000AF910000}"/>
    <cellStyle name="Normal 2 8 4 8 2 2 3" xfId="37293" xr:uid="{00000000-0005-0000-0000-0000B0910000}"/>
    <cellStyle name="Normal 2 8 4 8 2 3" xfId="37294" xr:uid="{00000000-0005-0000-0000-0000B1910000}"/>
    <cellStyle name="Normal 2 8 4 8 2 4" xfId="37295" xr:uid="{00000000-0005-0000-0000-0000B2910000}"/>
    <cellStyle name="Normal 2 8 4 8 2 5" xfId="37296" xr:uid="{00000000-0005-0000-0000-0000B3910000}"/>
    <cellStyle name="Normal 2 8 4 8 2 6" xfId="37297" xr:uid="{00000000-0005-0000-0000-0000B4910000}"/>
    <cellStyle name="Normal 2 8 4 8 3" xfId="37298" xr:uid="{00000000-0005-0000-0000-0000B5910000}"/>
    <cellStyle name="Normal 2 8 4 8 3 2" xfId="37299" xr:uid="{00000000-0005-0000-0000-0000B6910000}"/>
    <cellStyle name="Normal 2 8 4 8 3 2 2" xfId="37300" xr:uid="{00000000-0005-0000-0000-0000B7910000}"/>
    <cellStyle name="Normal 2 8 4 8 3 2 3" xfId="37301" xr:uid="{00000000-0005-0000-0000-0000B8910000}"/>
    <cellStyle name="Normal 2 8 4 8 3 3" xfId="37302" xr:uid="{00000000-0005-0000-0000-0000B9910000}"/>
    <cellStyle name="Normal 2 8 4 8 3 4" xfId="37303" xr:uid="{00000000-0005-0000-0000-0000BA910000}"/>
    <cellStyle name="Normal 2 8 4 8 3 5" xfId="37304" xr:uid="{00000000-0005-0000-0000-0000BB910000}"/>
    <cellStyle name="Normal 2 8 4 8 3 6" xfId="37305" xr:uid="{00000000-0005-0000-0000-0000BC910000}"/>
    <cellStyle name="Normal 2 8 4 8 4" xfId="37306" xr:uid="{00000000-0005-0000-0000-0000BD910000}"/>
    <cellStyle name="Normal 2 8 4 8 4 2" xfId="37307" xr:uid="{00000000-0005-0000-0000-0000BE910000}"/>
    <cellStyle name="Normal 2 8 4 8 4 2 2" xfId="37308" xr:uid="{00000000-0005-0000-0000-0000BF910000}"/>
    <cellStyle name="Normal 2 8 4 8 4 3" xfId="37309" xr:uid="{00000000-0005-0000-0000-0000C0910000}"/>
    <cellStyle name="Normal 2 8 4 8 4 4" xfId="37310" xr:uid="{00000000-0005-0000-0000-0000C1910000}"/>
    <cellStyle name="Normal 2 8 4 8 4 5" xfId="37311" xr:uid="{00000000-0005-0000-0000-0000C2910000}"/>
    <cellStyle name="Normal 2 8 4 8 5" xfId="37312" xr:uid="{00000000-0005-0000-0000-0000C3910000}"/>
    <cellStyle name="Normal 2 8 4 8 5 2" xfId="37313" xr:uid="{00000000-0005-0000-0000-0000C4910000}"/>
    <cellStyle name="Normal 2 8 4 8 5 3" xfId="37314" xr:uid="{00000000-0005-0000-0000-0000C5910000}"/>
    <cellStyle name="Normal 2 8 4 8 5 4" xfId="37315" xr:uid="{00000000-0005-0000-0000-0000C6910000}"/>
    <cellStyle name="Normal 2 8 4 8 6" xfId="37316" xr:uid="{00000000-0005-0000-0000-0000C7910000}"/>
    <cellStyle name="Normal 2 8 4 8 6 2" xfId="37317" xr:uid="{00000000-0005-0000-0000-0000C8910000}"/>
    <cellStyle name="Normal 2 8 4 8 7" xfId="37318" xr:uid="{00000000-0005-0000-0000-0000C9910000}"/>
    <cellStyle name="Normal 2 8 4 8 8" xfId="37319" xr:uid="{00000000-0005-0000-0000-0000CA910000}"/>
    <cellStyle name="Normal 2 8 4 8 9" xfId="37320" xr:uid="{00000000-0005-0000-0000-0000CB910000}"/>
    <cellStyle name="Normal 2 8 4 9" xfId="37321" xr:uid="{00000000-0005-0000-0000-0000CC910000}"/>
    <cellStyle name="Normal 2 8 4 9 10" xfId="37322" xr:uid="{00000000-0005-0000-0000-0000CD910000}"/>
    <cellStyle name="Normal 2 8 4 9 2" xfId="37323" xr:uid="{00000000-0005-0000-0000-0000CE910000}"/>
    <cellStyle name="Normal 2 8 4 9 2 2" xfId="37324" xr:uid="{00000000-0005-0000-0000-0000CF910000}"/>
    <cellStyle name="Normal 2 8 4 9 2 2 2" xfId="37325" xr:uid="{00000000-0005-0000-0000-0000D0910000}"/>
    <cellStyle name="Normal 2 8 4 9 2 2 3" xfId="37326" xr:uid="{00000000-0005-0000-0000-0000D1910000}"/>
    <cellStyle name="Normal 2 8 4 9 2 3" xfId="37327" xr:uid="{00000000-0005-0000-0000-0000D2910000}"/>
    <cellStyle name="Normal 2 8 4 9 2 4" xfId="37328" xr:uid="{00000000-0005-0000-0000-0000D3910000}"/>
    <cellStyle name="Normal 2 8 4 9 2 5" xfId="37329" xr:uid="{00000000-0005-0000-0000-0000D4910000}"/>
    <cellStyle name="Normal 2 8 4 9 2 6" xfId="37330" xr:uid="{00000000-0005-0000-0000-0000D5910000}"/>
    <cellStyle name="Normal 2 8 4 9 3" xfId="37331" xr:uid="{00000000-0005-0000-0000-0000D6910000}"/>
    <cellStyle name="Normal 2 8 4 9 3 2" xfId="37332" xr:uid="{00000000-0005-0000-0000-0000D7910000}"/>
    <cellStyle name="Normal 2 8 4 9 3 2 2" xfId="37333" xr:uid="{00000000-0005-0000-0000-0000D8910000}"/>
    <cellStyle name="Normal 2 8 4 9 3 2 3" xfId="37334" xr:uid="{00000000-0005-0000-0000-0000D9910000}"/>
    <cellStyle name="Normal 2 8 4 9 3 3" xfId="37335" xr:uid="{00000000-0005-0000-0000-0000DA910000}"/>
    <cellStyle name="Normal 2 8 4 9 3 4" xfId="37336" xr:uid="{00000000-0005-0000-0000-0000DB910000}"/>
    <cellStyle name="Normal 2 8 4 9 3 5" xfId="37337" xr:uid="{00000000-0005-0000-0000-0000DC910000}"/>
    <cellStyle name="Normal 2 8 4 9 3 6" xfId="37338" xr:uid="{00000000-0005-0000-0000-0000DD910000}"/>
    <cellStyle name="Normal 2 8 4 9 4" xfId="37339" xr:uid="{00000000-0005-0000-0000-0000DE910000}"/>
    <cellStyle name="Normal 2 8 4 9 4 2" xfId="37340" xr:uid="{00000000-0005-0000-0000-0000DF910000}"/>
    <cellStyle name="Normal 2 8 4 9 4 2 2" xfId="37341" xr:uid="{00000000-0005-0000-0000-0000E0910000}"/>
    <cellStyle name="Normal 2 8 4 9 4 3" xfId="37342" xr:uid="{00000000-0005-0000-0000-0000E1910000}"/>
    <cellStyle name="Normal 2 8 4 9 4 4" xfId="37343" xr:uid="{00000000-0005-0000-0000-0000E2910000}"/>
    <cellStyle name="Normal 2 8 4 9 4 5" xfId="37344" xr:uid="{00000000-0005-0000-0000-0000E3910000}"/>
    <cellStyle name="Normal 2 8 4 9 5" xfId="37345" xr:uid="{00000000-0005-0000-0000-0000E4910000}"/>
    <cellStyle name="Normal 2 8 4 9 5 2" xfId="37346" xr:uid="{00000000-0005-0000-0000-0000E5910000}"/>
    <cellStyle name="Normal 2 8 4 9 5 3" xfId="37347" xr:uid="{00000000-0005-0000-0000-0000E6910000}"/>
    <cellStyle name="Normal 2 8 4 9 5 4" xfId="37348" xr:uid="{00000000-0005-0000-0000-0000E7910000}"/>
    <cellStyle name="Normal 2 8 4 9 6" xfId="37349" xr:uid="{00000000-0005-0000-0000-0000E8910000}"/>
    <cellStyle name="Normal 2 8 4 9 6 2" xfId="37350" xr:uid="{00000000-0005-0000-0000-0000E9910000}"/>
    <cellStyle name="Normal 2 8 4 9 7" xfId="37351" xr:uid="{00000000-0005-0000-0000-0000EA910000}"/>
    <cellStyle name="Normal 2 8 4 9 8" xfId="37352" xr:uid="{00000000-0005-0000-0000-0000EB910000}"/>
    <cellStyle name="Normal 2 8 4 9 9" xfId="37353" xr:uid="{00000000-0005-0000-0000-0000EC910000}"/>
    <cellStyle name="Normal 2 8 5" xfId="37354" xr:uid="{00000000-0005-0000-0000-0000ED910000}"/>
    <cellStyle name="Normal 2 8 5 10" xfId="37355" xr:uid="{00000000-0005-0000-0000-0000EE910000}"/>
    <cellStyle name="Normal 2 8 5 11" xfId="37356" xr:uid="{00000000-0005-0000-0000-0000EF910000}"/>
    <cellStyle name="Normal 2 8 5 2" xfId="37357" xr:uid="{00000000-0005-0000-0000-0000F0910000}"/>
    <cellStyle name="Normal 2 8 5 2 2" xfId="37358" xr:uid="{00000000-0005-0000-0000-0000F1910000}"/>
    <cellStyle name="Normal 2 8 5 2 2 2" xfId="37359" xr:uid="{00000000-0005-0000-0000-0000F2910000}"/>
    <cellStyle name="Normal 2 8 5 2 2 2 2" xfId="37360" xr:uid="{00000000-0005-0000-0000-0000F3910000}"/>
    <cellStyle name="Normal 2 8 5 2 2 2 3" xfId="37361" xr:uid="{00000000-0005-0000-0000-0000F4910000}"/>
    <cellStyle name="Normal 2 8 5 2 2 3" xfId="37362" xr:uid="{00000000-0005-0000-0000-0000F5910000}"/>
    <cellStyle name="Normal 2 8 5 2 2 4" xfId="37363" xr:uid="{00000000-0005-0000-0000-0000F6910000}"/>
    <cellStyle name="Normal 2 8 5 2 2 5" xfId="37364" xr:uid="{00000000-0005-0000-0000-0000F7910000}"/>
    <cellStyle name="Normal 2 8 5 2 2 6" xfId="37365" xr:uid="{00000000-0005-0000-0000-0000F8910000}"/>
    <cellStyle name="Normal 2 8 5 2 3" xfId="37366" xr:uid="{00000000-0005-0000-0000-0000F9910000}"/>
    <cellStyle name="Normal 2 8 5 2 3 2" xfId="37367" xr:uid="{00000000-0005-0000-0000-0000FA910000}"/>
    <cellStyle name="Normal 2 8 5 2 3 2 2" xfId="37368" xr:uid="{00000000-0005-0000-0000-0000FB910000}"/>
    <cellStyle name="Normal 2 8 5 2 3 3" xfId="37369" xr:uid="{00000000-0005-0000-0000-0000FC910000}"/>
    <cellStyle name="Normal 2 8 5 2 3 4" xfId="37370" xr:uid="{00000000-0005-0000-0000-0000FD910000}"/>
    <cellStyle name="Normal 2 8 5 2 3 5" xfId="37371" xr:uid="{00000000-0005-0000-0000-0000FE910000}"/>
    <cellStyle name="Normal 2 8 5 2 4" xfId="37372" xr:uid="{00000000-0005-0000-0000-0000FF910000}"/>
    <cellStyle name="Normal 2 8 5 2 4 2" xfId="37373" xr:uid="{00000000-0005-0000-0000-000000920000}"/>
    <cellStyle name="Normal 2 8 5 2 4 3" xfId="37374" xr:uid="{00000000-0005-0000-0000-000001920000}"/>
    <cellStyle name="Normal 2 8 5 2 4 4" xfId="37375" xr:uid="{00000000-0005-0000-0000-000002920000}"/>
    <cellStyle name="Normal 2 8 5 2 5" xfId="37376" xr:uid="{00000000-0005-0000-0000-000003920000}"/>
    <cellStyle name="Normal 2 8 5 2 5 2" xfId="37377" xr:uid="{00000000-0005-0000-0000-000004920000}"/>
    <cellStyle name="Normal 2 8 5 2 6" xfId="37378" xr:uid="{00000000-0005-0000-0000-000005920000}"/>
    <cellStyle name="Normal 2 8 5 2 7" xfId="37379" xr:uid="{00000000-0005-0000-0000-000006920000}"/>
    <cellStyle name="Normal 2 8 5 2 8" xfId="37380" xr:uid="{00000000-0005-0000-0000-000007920000}"/>
    <cellStyle name="Normal 2 8 5 2 9" xfId="37381" xr:uid="{00000000-0005-0000-0000-000008920000}"/>
    <cellStyle name="Normal 2 8 5 3" xfId="37382" xr:uid="{00000000-0005-0000-0000-000009920000}"/>
    <cellStyle name="Normal 2 8 5 3 2" xfId="37383" xr:uid="{00000000-0005-0000-0000-00000A920000}"/>
    <cellStyle name="Normal 2 8 5 3 2 2" xfId="37384" xr:uid="{00000000-0005-0000-0000-00000B920000}"/>
    <cellStyle name="Normal 2 8 5 3 2 2 2" xfId="37385" xr:uid="{00000000-0005-0000-0000-00000C920000}"/>
    <cellStyle name="Normal 2 8 5 3 2 2 3" xfId="37386" xr:uid="{00000000-0005-0000-0000-00000D920000}"/>
    <cellStyle name="Normal 2 8 5 3 2 3" xfId="37387" xr:uid="{00000000-0005-0000-0000-00000E920000}"/>
    <cellStyle name="Normal 2 8 5 3 2 4" xfId="37388" xr:uid="{00000000-0005-0000-0000-00000F920000}"/>
    <cellStyle name="Normal 2 8 5 3 2 5" xfId="37389" xr:uid="{00000000-0005-0000-0000-000010920000}"/>
    <cellStyle name="Normal 2 8 5 3 2 6" xfId="37390" xr:uid="{00000000-0005-0000-0000-000011920000}"/>
    <cellStyle name="Normal 2 8 5 3 3" xfId="37391" xr:uid="{00000000-0005-0000-0000-000012920000}"/>
    <cellStyle name="Normal 2 8 5 3 3 2" xfId="37392" xr:uid="{00000000-0005-0000-0000-000013920000}"/>
    <cellStyle name="Normal 2 8 5 3 3 2 2" xfId="37393" xr:uid="{00000000-0005-0000-0000-000014920000}"/>
    <cellStyle name="Normal 2 8 5 3 3 3" xfId="37394" xr:uid="{00000000-0005-0000-0000-000015920000}"/>
    <cellStyle name="Normal 2 8 5 3 3 4" xfId="37395" xr:uid="{00000000-0005-0000-0000-000016920000}"/>
    <cellStyle name="Normal 2 8 5 3 3 5" xfId="37396" xr:uid="{00000000-0005-0000-0000-000017920000}"/>
    <cellStyle name="Normal 2 8 5 3 4" xfId="37397" xr:uid="{00000000-0005-0000-0000-000018920000}"/>
    <cellStyle name="Normal 2 8 5 3 4 2" xfId="37398" xr:uid="{00000000-0005-0000-0000-000019920000}"/>
    <cellStyle name="Normal 2 8 5 3 4 3" xfId="37399" xr:uid="{00000000-0005-0000-0000-00001A920000}"/>
    <cellStyle name="Normal 2 8 5 3 4 4" xfId="37400" xr:uid="{00000000-0005-0000-0000-00001B920000}"/>
    <cellStyle name="Normal 2 8 5 3 5" xfId="37401" xr:uid="{00000000-0005-0000-0000-00001C920000}"/>
    <cellStyle name="Normal 2 8 5 3 5 2" xfId="37402" xr:uid="{00000000-0005-0000-0000-00001D920000}"/>
    <cellStyle name="Normal 2 8 5 3 6" xfId="37403" xr:uid="{00000000-0005-0000-0000-00001E920000}"/>
    <cellStyle name="Normal 2 8 5 3 7" xfId="37404" xr:uid="{00000000-0005-0000-0000-00001F920000}"/>
    <cellStyle name="Normal 2 8 5 3 8" xfId="37405" xr:uid="{00000000-0005-0000-0000-000020920000}"/>
    <cellStyle name="Normal 2 8 5 3 9" xfId="37406" xr:uid="{00000000-0005-0000-0000-000021920000}"/>
    <cellStyle name="Normal 2 8 5 4" xfId="37407" xr:uid="{00000000-0005-0000-0000-000022920000}"/>
    <cellStyle name="Normal 2 8 5 4 2" xfId="37408" xr:uid="{00000000-0005-0000-0000-000023920000}"/>
    <cellStyle name="Normal 2 8 5 4 2 2" xfId="37409" xr:uid="{00000000-0005-0000-0000-000024920000}"/>
    <cellStyle name="Normal 2 8 5 4 2 3" xfId="37410" xr:uid="{00000000-0005-0000-0000-000025920000}"/>
    <cellStyle name="Normal 2 8 5 4 3" xfId="37411" xr:uid="{00000000-0005-0000-0000-000026920000}"/>
    <cellStyle name="Normal 2 8 5 4 4" xfId="37412" xr:uid="{00000000-0005-0000-0000-000027920000}"/>
    <cellStyle name="Normal 2 8 5 4 5" xfId="37413" xr:uid="{00000000-0005-0000-0000-000028920000}"/>
    <cellStyle name="Normal 2 8 5 4 6" xfId="37414" xr:uid="{00000000-0005-0000-0000-000029920000}"/>
    <cellStyle name="Normal 2 8 5 5" xfId="37415" xr:uid="{00000000-0005-0000-0000-00002A920000}"/>
    <cellStyle name="Normal 2 8 5 5 2" xfId="37416" xr:uid="{00000000-0005-0000-0000-00002B920000}"/>
    <cellStyle name="Normal 2 8 5 5 2 2" xfId="37417" xr:uid="{00000000-0005-0000-0000-00002C920000}"/>
    <cellStyle name="Normal 2 8 5 5 3" xfId="37418" xr:uid="{00000000-0005-0000-0000-00002D920000}"/>
    <cellStyle name="Normal 2 8 5 5 4" xfId="37419" xr:uid="{00000000-0005-0000-0000-00002E920000}"/>
    <cellStyle name="Normal 2 8 5 5 5" xfId="37420" xr:uid="{00000000-0005-0000-0000-00002F920000}"/>
    <cellStyle name="Normal 2 8 5 6" xfId="37421" xr:uid="{00000000-0005-0000-0000-000030920000}"/>
    <cellStyle name="Normal 2 8 5 6 2" xfId="37422" xr:uid="{00000000-0005-0000-0000-000031920000}"/>
    <cellStyle name="Normal 2 8 5 6 3" xfId="37423" xr:uid="{00000000-0005-0000-0000-000032920000}"/>
    <cellStyle name="Normal 2 8 5 6 4" xfId="37424" xr:uid="{00000000-0005-0000-0000-000033920000}"/>
    <cellStyle name="Normal 2 8 5 7" xfId="37425" xr:uid="{00000000-0005-0000-0000-000034920000}"/>
    <cellStyle name="Normal 2 8 5 7 2" xfId="37426" xr:uid="{00000000-0005-0000-0000-000035920000}"/>
    <cellStyle name="Normal 2 8 5 8" xfId="37427" xr:uid="{00000000-0005-0000-0000-000036920000}"/>
    <cellStyle name="Normal 2 8 5 9" xfId="37428" xr:uid="{00000000-0005-0000-0000-000037920000}"/>
    <cellStyle name="Normal 2 8 6" xfId="37429" xr:uid="{00000000-0005-0000-0000-000038920000}"/>
    <cellStyle name="Normal 2 8 6 10" xfId="37430" xr:uid="{00000000-0005-0000-0000-000039920000}"/>
    <cellStyle name="Normal 2 8 6 11" xfId="37431" xr:uid="{00000000-0005-0000-0000-00003A920000}"/>
    <cellStyle name="Normal 2 8 6 2" xfId="37432" xr:uid="{00000000-0005-0000-0000-00003B920000}"/>
    <cellStyle name="Normal 2 8 6 2 2" xfId="37433" xr:uid="{00000000-0005-0000-0000-00003C920000}"/>
    <cellStyle name="Normal 2 8 6 2 2 2" xfId="37434" xr:uid="{00000000-0005-0000-0000-00003D920000}"/>
    <cellStyle name="Normal 2 8 6 2 2 2 2" xfId="37435" xr:uid="{00000000-0005-0000-0000-00003E920000}"/>
    <cellStyle name="Normal 2 8 6 2 2 2 3" xfId="37436" xr:uid="{00000000-0005-0000-0000-00003F920000}"/>
    <cellStyle name="Normal 2 8 6 2 2 3" xfId="37437" xr:uid="{00000000-0005-0000-0000-000040920000}"/>
    <cellStyle name="Normal 2 8 6 2 2 4" xfId="37438" xr:uid="{00000000-0005-0000-0000-000041920000}"/>
    <cellStyle name="Normal 2 8 6 2 2 5" xfId="37439" xr:uid="{00000000-0005-0000-0000-000042920000}"/>
    <cellStyle name="Normal 2 8 6 2 2 6" xfId="37440" xr:uid="{00000000-0005-0000-0000-000043920000}"/>
    <cellStyle name="Normal 2 8 6 2 3" xfId="37441" xr:uid="{00000000-0005-0000-0000-000044920000}"/>
    <cellStyle name="Normal 2 8 6 2 3 2" xfId="37442" xr:uid="{00000000-0005-0000-0000-000045920000}"/>
    <cellStyle name="Normal 2 8 6 2 3 2 2" xfId="37443" xr:uid="{00000000-0005-0000-0000-000046920000}"/>
    <cellStyle name="Normal 2 8 6 2 3 3" xfId="37444" xr:uid="{00000000-0005-0000-0000-000047920000}"/>
    <cellStyle name="Normal 2 8 6 2 3 4" xfId="37445" xr:uid="{00000000-0005-0000-0000-000048920000}"/>
    <cellStyle name="Normal 2 8 6 2 3 5" xfId="37446" xr:uid="{00000000-0005-0000-0000-000049920000}"/>
    <cellStyle name="Normal 2 8 6 2 4" xfId="37447" xr:uid="{00000000-0005-0000-0000-00004A920000}"/>
    <cellStyle name="Normal 2 8 6 2 4 2" xfId="37448" xr:uid="{00000000-0005-0000-0000-00004B920000}"/>
    <cellStyle name="Normal 2 8 6 2 4 3" xfId="37449" xr:uid="{00000000-0005-0000-0000-00004C920000}"/>
    <cellStyle name="Normal 2 8 6 2 4 4" xfId="37450" xr:uid="{00000000-0005-0000-0000-00004D920000}"/>
    <cellStyle name="Normal 2 8 6 2 5" xfId="37451" xr:uid="{00000000-0005-0000-0000-00004E920000}"/>
    <cellStyle name="Normal 2 8 6 2 5 2" xfId="37452" xr:uid="{00000000-0005-0000-0000-00004F920000}"/>
    <cellStyle name="Normal 2 8 6 2 6" xfId="37453" xr:uid="{00000000-0005-0000-0000-000050920000}"/>
    <cellStyle name="Normal 2 8 6 2 7" xfId="37454" xr:uid="{00000000-0005-0000-0000-000051920000}"/>
    <cellStyle name="Normal 2 8 6 2 8" xfId="37455" xr:uid="{00000000-0005-0000-0000-000052920000}"/>
    <cellStyle name="Normal 2 8 6 2 9" xfId="37456" xr:uid="{00000000-0005-0000-0000-000053920000}"/>
    <cellStyle name="Normal 2 8 6 3" xfId="37457" xr:uid="{00000000-0005-0000-0000-000054920000}"/>
    <cellStyle name="Normal 2 8 6 3 2" xfId="37458" xr:uid="{00000000-0005-0000-0000-000055920000}"/>
    <cellStyle name="Normal 2 8 6 3 2 2" xfId="37459" xr:uid="{00000000-0005-0000-0000-000056920000}"/>
    <cellStyle name="Normal 2 8 6 3 2 2 2" xfId="37460" xr:uid="{00000000-0005-0000-0000-000057920000}"/>
    <cellStyle name="Normal 2 8 6 3 2 2 3" xfId="37461" xr:uid="{00000000-0005-0000-0000-000058920000}"/>
    <cellStyle name="Normal 2 8 6 3 2 3" xfId="37462" xr:uid="{00000000-0005-0000-0000-000059920000}"/>
    <cellStyle name="Normal 2 8 6 3 2 4" xfId="37463" xr:uid="{00000000-0005-0000-0000-00005A920000}"/>
    <cellStyle name="Normal 2 8 6 3 2 5" xfId="37464" xr:uid="{00000000-0005-0000-0000-00005B920000}"/>
    <cellStyle name="Normal 2 8 6 3 2 6" xfId="37465" xr:uid="{00000000-0005-0000-0000-00005C920000}"/>
    <cellStyle name="Normal 2 8 6 3 3" xfId="37466" xr:uid="{00000000-0005-0000-0000-00005D920000}"/>
    <cellStyle name="Normal 2 8 6 3 3 2" xfId="37467" xr:uid="{00000000-0005-0000-0000-00005E920000}"/>
    <cellStyle name="Normal 2 8 6 3 3 2 2" xfId="37468" xr:uid="{00000000-0005-0000-0000-00005F920000}"/>
    <cellStyle name="Normal 2 8 6 3 3 3" xfId="37469" xr:uid="{00000000-0005-0000-0000-000060920000}"/>
    <cellStyle name="Normal 2 8 6 3 3 4" xfId="37470" xr:uid="{00000000-0005-0000-0000-000061920000}"/>
    <cellStyle name="Normal 2 8 6 3 3 5" xfId="37471" xr:uid="{00000000-0005-0000-0000-000062920000}"/>
    <cellStyle name="Normal 2 8 6 3 4" xfId="37472" xr:uid="{00000000-0005-0000-0000-000063920000}"/>
    <cellStyle name="Normal 2 8 6 3 4 2" xfId="37473" xr:uid="{00000000-0005-0000-0000-000064920000}"/>
    <cellStyle name="Normal 2 8 6 3 4 3" xfId="37474" xr:uid="{00000000-0005-0000-0000-000065920000}"/>
    <cellStyle name="Normal 2 8 6 3 4 4" xfId="37475" xr:uid="{00000000-0005-0000-0000-000066920000}"/>
    <cellStyle name="Normal 2 8 6 3 5" xfId="37476" xr:uid="{00000000-0005-0000-0000-000067920000}"/>
    <cellStyle name="Normal 2 8 6 3 5 2" xfId="37477" xr:uid="{00000000-0005-0000-0000-000068920000}"/>
    <cellStyle name="Normal 2 8 6 3 6" xfId="37478" xr:uid="{00000000-0005-0000-0000-000069920000}"/>
    <cellStyle name="Normal 2 8 6 3 7" xfId="37479" xr:uid="{00000000-0005-0000-0000-00006A920000}"/>
    <cellStyle name="Normal 2 8 6 3 8" xfId="37480" xr:uid="{00000000-0005-0000-0000-00006B920000}"/>
    <cellStyle name="Normal 2 8 6 3 9" xfId="37481" xr:uid="{00000000-0005-0000-0000-00006C920000}"/>
    <cellStyle name="Normal 2 8 6 4" xfId="37482" xr:uid="{00000000-0005-0000-0000-00006D920000}"/>
    <cellStyle name="Normal 2 8 6 4 2" xfId="37483" xr:uid="{00000000-0005-0000-0000-00006E920000}"/>
    <cellStyle name="Normal 2 8 6 4 2 2" xfId="37484" xr:uid="{00000000-0005-0000-0000-00006F920000}"/>
    <cellStyle name="Normal 2 8 6 4 2 3" xfId="37485" xr:uid="{00000000-0005-0000-0000-000070920000}"/>
    <cellStyle name="Normal 2 8 6 4 3" xfId="37486" xr:uid="{00000000-0005-0000-0000-000071920000}"/>
    <cellStyle name="Normal 2 8 6 4 4" xfId="37487" xr:uid="{00000000-0005-0000-0000-000072920000}"/>
    <cellStyle name="Normal 2 8 6 4 5" xfId="37488" xr:uid="{00000000-0005-0000-0000-000073920000}"/>
    <cellStyle name="Normal 2 8 6 4 6" xfId="37489" xr:uid="{00000000-0005-0000-0000-000074920000}"/>
    <cellStyle name="Normal 2 8 6 5" xfId="37490" xr:uid="{00000000-0005-0000-0000-000075920000}"/>
    <cellStyle name="Normal 2 8 6 5 2" xfId="37491" xr:uid="{00000000-0005-0000-0000-000076920000}"/>
    <cellStyle name="Normal 2 8 6 5 2 2" xfId="37492" xr:uid="{00000000-0005-0000-0000-000077920000}"/>
    <cellStyle name="Normal 2 8 6 5 3" xfId="37493" xr:uid="{00000000-0005-0000-0000-000078920000}"/>
    <cellStyle name="Normal 2 8 6 5 4" xfId="37494" xr:uid="{00000000-0005-0000-0000-000079920000}"/>
    <cellStyle name="Normal 2 8 6 5 5" xfId="37495" xr:uid="{00000000-0005-0000-0000-00007A920000}"/>
    <cellStyle name="Normal 2 8 6 6" xfId="37496" xr:uid="{00000000-0005-0000-0000-00007B920000}"/>
    <cellStyle name="Normal 2 8 6 6 2" xfId="37497" xr:uid="{00000000-0005-0000-0000-00007C920000}"/>
    <cellStyle name="Normal 2 8 6 6 3" xfId="37498" xr:uid="{00000000-0005-0000-0000-00007D920000}"/>
    <cellStyle name="Normal 2 8 6 6 4" xfId="37499" xr:uid="{00000000-0005-0000-0000-00007E920000}"/>
    <cellStyle name="Normal 2 8 6 7" xfId="37500" xr:uid="{00000000-0005-0000-0000-00007F920000}"/>
    <cellStyle name="Normal 2 8 6 7 2" xfId="37501" xr:uid="{00000000-0005-0000-0000-000080920000}"/>
    <cellStyle name="Normal 2 8 6 8" xfId="37502" xr:uid="{00000000-0005-0000-0000-000081920000}"/>
    <cellStyle name="Normal 2 8 6 9" xfId="37503" xr:uid="{00000000-0005-0000-0000-000082920000}"/>
    <cellStyle name="Normal 2 8 7" xfId="37504" xr:uid="{00000000-0005-0000-0000-000083920000}"/>
    <cellStyle name="Normal 2 8 7 10" xfId="37505" xr:uid="{00000000-0005-0000-0000-000084920000}"/>
    <cellStyle name="Normal 2 8 7 11" xfId="37506" xr:uid="{00000000-0005-0000-0000-000085920000}"/>
    <cellStyle name="Normal 2 8 7 2" xfId="37507" xr:uid="{00000000-0005-0000-0000-000086920000}"/>
    <cellStyle name="Normal 2 8 7 2 2" xfId="37508" xr:uid="{00000000-0005-0000-0000-000087920000}"/>
    <cellStyle name="Normal 2 8 7 2 2 2" xfId="37509" xr:uid="{00000000-0005-0000-0000-000088920000}"/>
    <cellStyle name="Normal 2 8 7 2 2 2 2" xfId="37510" xr:uid="{00000000-0005-0000-0000-000089920000}"/>
    <cellStyle name="Normal 2 8 7 2 2 2 3" xfId="37511" xr:uid="{00000000-0005-0000-0000-00008A920000}"/>
    <cellStyle name="Normal 2 8 7 2 2 3" xfId="37512" xr:uid="{00000000-0005-0000-0000-00008B920000}"/>
    <cellStyle name="Normal 2 8 7 2 2 4" xfId="37513" xr:uid="{00000000-0005-0000-0000-00008C920000}"/>
    <cellStyle name="Normal 2 8 7 2 2 5" xfId="37514" xr:uid="{00000000-0005-0000-0000-00008D920000}"/>
    <cellStyle name="Normal 2 8 7 2 2 6" xfId="37515" xr:uid="{00000000-0005-0000-0000-00008E920000}"/>
    <cellStyle name="Normal 2 8 7 2 3" xfId="37516" xr:uid="{00000000-0005-0000-0000-00008F920000}"/>
    <cellStyle name="Normal 2 8 7 2 3 2" xfId="37517" xr:uid="{00000000-0005-0000-0000-000090920000}"/>
    <cellStyle name="Normal 2 8 7 2 3 2 2" xfId="37518" xr:uid="{00000000-0005-0000-0000-000091920000}"/>
    <cellStyle name="Normal 2 8 7 2 3 3" xfId="37519" xr:uid="{00000000-0005-0000-0000-000092920000}"/>
    <cellStyle name="Normal 2 8 7 2 3 4" xfId="37520" xr:uid="{00000000-0005-0000-0000-000093920000}"/>
    <cellStyle name="Normal 2 8 7 2 3 5" xfId="37521" xr:uid="{00000000-0005-0000-0000-000094920000}"/>
    <cellStyle name="Normal 2 8 7 2 4" xfId="37522" xr:uid="{00000000-0005-0000-0000-000095920000}"/>
    <cellStyle name="Normal 2 8 7 2 4 2" xfId="37523" xr:uid="{00000000-0005-0000-0000-000096920000}"/>
    <cellStyle name="Normal 2 8 7 2 4 3" xfId="37524" xr:uid="{00000000-0005-0000-0000-000097920000}"/>
    <cellStyle name="Normal 2 8 7 2 4 4" xfId="37525" xr:uid="{00000000-0005-0000-0000-000098920000}"/>
    <cellStyle name="Normal 2 8 7 2 5" xfId="37526" xr:uid="{00000000-0005-0000-0000-000099920000}"/>
    <cellStyle name="Normal 2 8 7 2 5 2" xfId="37527" xr:uid="{00000000-0005-0000-0000-00009A920000}"/>
    <cellStyle name="Normal 2 8 7 2 6" xfId="37528" xr:uid="{00000000-0005-0000-0000-00009B920000}"/>
    <cellStyle name="Normal 2 8 7 2 7" xfId="37529" xr:uid="{00000000-0005-0000-0000-00009C920000}"/>
    <cellStyle name="Normal 2 8 7 2 8" xfId="37530" xr:uid="{00000000-0005-0000-0000-00009D920000}"/>
    <cellStyle name="Normal 2 8 7 2 9" xfId="37531" xr:uid="{00000000-0005-0000-0000-00009E920000}"/>
    <cellStyle name="Normal 2 8 7 3" xfId="37532" xr:uid="{00000000-0005-0000-0000-00009F920000}"/>
    <cellStyle name="Normal 2 8 7 3 2" xfId="37533" xr:uid="{00000000-0005-0000-0000-0000A0920000}"/>
    <cellStyle name="Normal 2 8 7 3 2 2" xfId="37534" xr:uid="{00000000-0005-0000-0000-0000A1920000}"/>
    <cellStyle name="Normal 2 8 7 3 2 2 2" xfId="37535" xr:uid="{00000000-0005-0000-0000-0000A2920000}"/>
    <cellStyle name="Normal 2 8 7 3 2 2 3" xfId="37536" xr:uid="{00000000-0005-0000-0000-0000A3920000}"/>
    <cellStyle name="Normal 2 8 7 3 2 3" xfId="37537" xr:uid="{00000000-0005-0000-0000-0000A4920000}"/>
    <cellStyle name="Normal 2 8 7 3 2 4" xfId="37538" xr:uid="{00000000-0005-0000-0000-0000A5920000}"/>
    <cellStyle name="Normal 2 8 7 3 2 5" xfId="37539" xr:uid="{00000000-0005-0000-0000-0000A6920000}"/>
    <cellStyle name="Normal 2 8 7 3 2 6" xfId="37540" xr:uid="{00000000-0005-0000-0000-0000A7920000}"/>
    <cellStyle name="Normal 2 8 7 3 3" xfId="37541" xr:uid="{00000000-0005-0000-0000-0000A8920000}"/>
    <cellStyle name="Normal 2 8 7 3 3 2" xfId="37542" xr:uid="{00000000-0005-0000-0000-0000A9920000}"/>
    <cellStyle name="Normal 2 8 7 3 3 2 2" xfId="37543" xr:uid="{00000000-0005-0000-0000-0000AA920000}"/>
    <cellStyle name="Normal 2 8 7 3 3 3" xfId="37544" xr:uid="{00000000-0005-0000-0000-0000AB920000}"/>
    <cellStyle name="Normal 2 8 7 3 3 4" xfId="37545" xr:uid="{00000000-0005-0000-0000-0000AC920000}"/>
    <cellStyle name="Normal 2 8 7 3 3 5" xfId="37546" xr:uid="{00000000-0005-0000-0000-0000AD920000}"/>
    <cellStyle name="Normal 2 8 7 3 4" xfId="37547" xr:uid="{00000000-0005-0000-0000-0000AE920000}"/>
    <cellStyle name="Normal 2 8 7 3 4 2" xfId="37548" xr:uid="{00000000-0005-0000-0000-0000AF920000}"/>
    <cellStyle name="Normal 2 8 7 3 4 3" xfId="37549" xr:uid="{00000000-0005-0000-0000-0000B0920000}"/>
    <cellStyle name="Normal 2 8 7 3 4 4" xfId="37550" xr:uid="{00000000-0005-0000-0000-0000B1920000}"/>
    <cellStyle name="Normal 2 8 7 3 5" xfId="37551" xr:uid="{00000000-0005-0000-0000-0000B2920000}"/>
    <cellStyle name="Normal 2 8 7 3 5 2" xfId="37552" xr:uid="{00000000-0005-0000-0000-0000B3920000}"/>
    <cellStyle name="Normal 2 8 7 3 6" xfId="37553" xr:uid="{00000000-0005-0000-0000-0000B4920000}"/>
    <cellStyle name="Normal 2 8 7 3 7" xfId="37554" xr:uid="{00000000-0005-0000-0000-0000B5920000}"/>
    <cellStyle name="Normal 2 8 7 3 8" xfId="37555" xr:uid="{00000000-0005-0000-0000-0000B6920000}"/>
    <cellStyle name="Normal 2 8 7 3 9" xfId="37556" xr:uid="{00000000-0005-0000-0000-0000B7920000}"/>
    <cellStyle name="Normal 2 8 7 4" xfId="37557" xr:uid="{00000000-0005-0000-0000-0000B8920000}"/>
    <cellStyle name="Normal 2 8 7 4 2" xfId="37558" xr:uid="{00000000-0005-0000-0000-0000B9920000}"/>
    <cellStyle name="Normal 2 8 7 4 2 2" xfId="37559" xr:uid="{00000000-0005-0000-0000-0000BA920000}"/>
    <cellStyle name="Normal 2 8 7 4 2 3" xfId="37560" xr:uid="{00000000-0005-0000-0000-0000BB920000}"/>
    <cellStyle name="Normal 2 8 7 4 3" xfId="37561" xr:uid="{00000000-0005-0000-0000-0000BC920000}"/>
    <cellStyle name="Normal 2 8 7 4 4" xfId="37562" xr:uid="{00000000-0005-0000-0000-0000BD920000}"/>
    <cellStyle name="Normal 2 8 7 4 5" xfId="37563" xr:uid="{00000000-0005-0000-0000-0000BE920000}"/>
    <cellStyle name="Normal 2 8 7 4 6" xfId="37564" xr:uid="{00000000-0005-0000-0000-0000BF920000}"/>
    <cellStyle name="Normal 2 8 7 5" xfId="37565" xr:uid="{00000000-0005-0000-0000-0000C0920000}"/>
    <cellStyle name="Normal 2 8 7 5 2" xfId="37566" xr:uid="{00000000-0005-0000-0000-0000C1920000}"/>
    <cellStyle name="Normal 2 8 7 5 2 2" xfId="37567" xr:uid="{00000000-0005-0000-0000-0000C2920000}"/>
    <cellStyle name="Normal 2 8 7 5 3" xfId="37568" xr:uid="{00000000-0005-0000-0000-0000C3920000}"/>
    <cellStyle name="Normal 2 8 7 5 4" xfId="37569" xr:uid="{00000000-0005-0000-0000-0000C4920000}"/>
    <cellStyle name="Normal 2 8 7 5 5" xfId="37570" xr:uid="{00000000-0005-0000-0000-0000C5920000}"/>
    <cellStyle name="Normal 2 8 7 6" xfId="37571" xr:uid="{00000000-0005-0000-0000-0000C6920000}"/>
    <cellStyle name="Normal 2 8 7 6 2" xfId="37572" xr:uid="{00000000-0005-0000-0000-0000C7920000}"/>
    <cellStyle name="Normal 2 8 7 6 3" xfId="37573" xr:uid="{00000000-0005-0000-0000-0000C8920000}"/>
    <cellStyle name="Normal 2 8 7 6 4" xfId="37574" xr:uid="{00000000-0005-0000-0000-0000C9920000}"/>
    <cellStyle name="Normal 2 8 7 7" xfId="37575" xr:uid="{00000000-0005-0000-0000-0000CA920000}"/>
    <cellStyle name="Normal 2 8 7 7 2" xfId="37576" xr:uid="{00000000-0005-0000-0000-0000CB920000}"/>
    <cellStyle name="Normal 2 8 7 8" xfId="37577" xr:uid="{00000000-0005-0000-0000-0000CC920000}"/>
    <cellStyle name="Normal 2 8 7 9" xfId="37578" xr:uid="{00000000-0005-0000-0000-0000CD920000}"/>
    <cellStyle name="Normal 2 8 8" xfId="37579" xr:uid="{00000000-0005-0000-0000-0000CE920000}"/>
    <cellStyle name="Normal 2 8 8 10" xfId="37580" xr:uid="{00000000-0005-0000-0000-0000CF920000}"/>
    <cellStyle name="Normal 2 8 8 11" xfId="37581" xr:uid="{00000000-0005-0000-0000-0000D0920000}"/>
    <cellStyle name="Normal 2 8 8 2" xfId="37582" xr:uid="{00000000-0005-0000-0000-0000D1920000}"/>
    <cellStyle name="Normal 2 8 8 2 2" xfId="37583" xr:uid="{00000000-0005-0000-0000-0000D2920000}"/>
    <cellStyle name="Normal 2 8 8 2 2 2" xfId="37584" xr:uid="{00000000-0005-0000-0000-0000D3920000}"/>
    <cellStyle name="Normal 2 8 8 2 2 2 2" xfId="37585" xr:uid="{00000000-0005-0000-0000-0000D4920000}"/>
    <cellStyle name="Normal 2 8 8 2 2 2 3" xfId="37586" xr:uid="{00000000-0005-0000-0000-0000D5920000}"/>
    <cellStyle name="Normal 2 8 8 2 2 3" xfId="37587" xr:uid="{00000000-0005-0000-0000-0000D6920000}"/>
    <cellStyle name="Normal 2 8 8 2 2 4" xfId="37588" xr:uid="{00000000-0005-0000-0000-0000D7920000}"/>
    <cellStyle name="Normal 2 8 8 2 2 5" xfId="37589" xr:uid="{00000000-0005-0000-0000-0000D8920000}"/>
    <cellStyle name="Normal 2 8 8 2 2 6" xfId="37590" xr:uid="{00000000-0005-0000-0000-0000D9920000}"/>
    <cellStyle name="Normal 2 8 8 2 3" xfId="37591" xr:uid="{00000000-0005-0000-0000-0000DA920000}"/>
    <cellStyle name="Normal 2 8 8 2 3 2" xfId="37592" xr:uid="{00000000-0005-0000-0000-0000DB920000}"/>
    <cellStyle name="Normal 2 8 8 2 3 2 2" xfId="37593" xr:uid="{00000000-0005-0000-0000-0000DC920000}"/>
    <cellStyle name="Normal 2 8 8 2 3 3" xfId="37594" xr:uid="{00000000-0005-0000-0000-0000DD920000}"/>
    <cellStyle name="Normal 2 8 8 2 3 4" xfId="37595" xr:uid="{00000000-0005-0000-0000-0000DE920000}"/>
    <cellStyle name="Normal 2 8 8 2 3 5" xfId="37596" xr:uid="{00000000-0005-0000-0000-0000DF920000}"/>
    <cellStyle name="Normal 2 8 8 2 4" xfId="37597" xr:uid="{00000000-0005-0000-0000-0000E0920000}"/>
    <cellStyle name="Normal 2 8 8 2 4 2" xfId="37598" xr:uid="{00000000-0005-0000-0000-0000E1920000}"/>
    <cellStyle name="Normal 2 8 8 2 4 3" xfId="37599" xr:uid="{00000000-0005-0000-0000-0000E2920000}"/>
    <cellStyle name="Normal 2 8 8 2 4 4" xfId="37600" xr:uid="{00000000-0005-0000-0000-0000E3920000}"/>
    <cellStyle name="Normal 2 8 8 2 5" xfId="37601" xr:uid="{00000000-0005-0000-0000-0000E4920000}"/>
    <cellStyle name="Normal 2 8 8 2 5 2" xfId="37602" xr:uid="{00000000-0005-0000-0000-0000E5920000}"/>
    <cellStyle name="Normal 2 8 8 2 6" xfId="37603" xr:uid="{00000000-0005-0000-0000-0000E6920000}"/>
    <cellStyle name="Normal 2 8 8 2 7" xfId="37604" xr:uid="{00000000-0005-0000-0000-0000E7920000}"/>
    <cellStyle name="Normal 2 8 8 2 8" xfId="37605" xr:uid="{00000000-0005-0000-0000-0000E8920000}"/>
    <cellStyle name="Normal 2 8 8 2 9" xfId="37606" xr:uid="{00000000-0005-0000-0000-0000E9920000}"/>
    <cellStyle name="Normal 2 8 8 3" xfId="37607" xr:uid="{00000000-0005-0000-0000-0000EA920000}"/>
    <cellStyle name="Normal 2 8 8 3 2" xfId="37608" xr:uid="{00000000-0005-0000-0000-0000EB920000}"/>
    <cellStyle name="Normal 2 8 8 3 2 2" xfId="37609" xr:uid="{00000000-0005-0000-0000-0000EC920000}"/>
    <cellStyle name="Normal 2 8 8 3 2 2 2" xfId="37610" xr:uid="{00000000-0005-0000-0000-0000ED920000}"/>
    <cellStyle name="Normal 2 8 8 3 2 2 3" xfId="37611" xr:uid="{00000000-0005-0000-0000-0000EE920000}"/>
    <cellStyle name="Normal 2 8 8 3 2 3" xfId="37612" xr:uid="{00000000-0005-0000-0000-0000EF920000}"/>
    <cellStyle name="Normal 2 8 8 3 2 4" xfId="37613" xr:uid="{00000000-0005-0000-0000-0000F0920000}"/>
    <cellStyle name="Normal 2 8 8 3 2 5" xfId="37614" xr:uid="{00000000-0005-0000-0000-0000F1920000}"/>
    <cellStyle name="Normal 2 8 8 3 2 6" xfId="37615" xr:uid="{00000000-0005-0000-0000-0000F2920000}"/>
    <cellStyle name="Normal 2 8 8 3 3" xfId="37616" xr:uid="{00000000-0005-0000-0000-0000F3920000}"/>
    <cellStyle name="Normal 2 8 8 3 3 2" xfId="37617" xr:uid="{00000000-0005-0000-0000-0000F4920000}"/>
    <cellStyle name="Normal 2 8 8 3 3 2 2" xfId="37618" xr:uid="{00000000-0005-0000-0000-0000F5920000}"/>
    <cellStyle name="Normal 2 8 8 3 3 3" xfId="37619" xr:uid="{00000000-0005-0000-0000-0000F6920000}"/>
    <cellStyle name="Normal 2 8 8 3 3 4" xfId="37620" xr:uid="{00000000-0005-0000-0000-0000F7920000}"/>
    <cellStyle name="Normal 2 8 8 3 3 5" xfId="37621" xr:uid="{00000000-0005-0000-0000-0000F8920000}"/>
    <cellStyle name="Normal 2 8 8 3 4" xfId="37622" xr:uid="{00000000-0005-0000-0000-0000F9920000}"/>
    <cellStyle name="Normal 2 8 8 3 4 2" xfId="37623" xr:uid="{00000000-0005-0000-0000-0000FA920000}"/>
    <cellStyle name="Normal 2 8 8 3 4 3" xfId="37624" xr:uid="{00000000-0005-0000-0000-0000FB920000}"/>
    <cellStyle name="Normal 2 8 8 3 4 4" xfId="37625" xr:uid="{00000000-0005-0000-0000-0000FC920000}"/>
    <cellStyle name="Normal 2 8 8 3 5" xfId="37626" xr:uid="{00000000-0005-0000-0000-0000FD920000}"/>
    <cellStyle name="Normal 2 8 8 3 5 2" xfId="37627" xr:uid="{00000000-0005-0000-0000-0000FE920000}"/>
    <cellStyle name="Normal 2 8 8 3 6" xfId="37628" xr:uid="{00000000-0005-0000-0000-0000FF920000}"/>
    <cellStyle name="Normal 2 8 8 3 7" xfId="37629" xr:uid="{00000000-0005-0000-0000-000000930000}"/>
    <cellStyle name="Normal 2 8 8 3 8" xfId="37630" xr:uid="{00000000-0005-0000-0000-000001930000}"/>
    <cellStyle name="Normal 2 8 8 3 9" xfId="37631" xr:uid="{00000000-0005-0000-0000-000002930000}"/>
    <cellStyle name="Normal 2 8 8 4" xfId="37632" xr:uid="{00000000-0005-0000-0000-000003930000}"/>
    <cellStyle name="Normal 2 8 8 4 2" xfId="37633" xr:uid="{00000000-0005-0000-0000-000004930000}"/>
    <cellStyle name="Normal 2 8 8 4 2 2" xfId="37634" xr:uid="{00000000-0005-0000-0000-000005930000}"/>
    <cellStyle name="Normal 2 8 8 4 2 3" xfId="37635" xr:uid="{00000000-0005-0000-0000-000006930000}"/>
    <cellStyle name="Normal 2 8 8 4 3" xfId="37636" xr:uid="{00000000-0005-0000-0000-000007930000}"/>
    <cellStyle name="Normal 2 8 8 4 4" xfId="37637" xr:uid="{00000000-0005-0000-0000-000008930000}"/>
    <cellStyle name="Normal 2 8 8 4 5" xfId="37638" xr:uid="{00000000-0005-0000-0000-000009930000}"/>
    <cellStyle name="Normal 2 8 8 4 6" xfId="37639" xr:uid="{00000000-0005-0000-0000-00000A930000}"/>
    <cellStyle name="Normal 2 8 8 5" xfId="37640" xr:uid="{00000000-0005-0000-0000-00000B930000}"/>
    <cellStyle name="Normal 2 8 8 5 2" xfId="37641" xr:uid="{00000000-0005-0000-0000-00000C930000}"/>
    <cellStyle name="Normal 2 8 8 5 2 2" xfId="37642" xr:uid="{00000000-0005-0000-0000-00000D930000}"/>
    <cellStyle name="Normal 2 8 8 5 3" xfId="37643" xr:uid="{00000000-0005-0000-0000-00000E930000}"/>
    <cellStyle name="Normal 2 8 8 5 4" xfId="37644" xr:uid="{00000000-0005-0000-0000-00000F930000}"/>
    <cellStyle name="Normal 2 8 8 5 5" xfId="37645" xr:uid="{00000000-0005-0000-0000-000010930000}"/>
    <cellStyle name="Normal 2 8 8 6" xfId="37646" xr:uid="{00000000-0005-0000-0000-000011930000}"/>
    <cellStyle name="Normal 2 8 8 6 2" xfId="37647" xr:uid="{00000000-0005-0000-0000-000012930000}"/>
    <cellStyle name="Normal 2 8 8 6 3" xfId="37648" xr:uid="{00000000-0005-0000-0000-000013930000}"/>
    <cellStyle name="Normal 2 8 8 6 4" xfId="37649" xr:uid="{00000000-0005-0000-0000-000014930000}"/>
    <cellStyle name="Normal 2 8 8 7" xfId="37650" xr:uid="{00000000-0005-0000-0000-000015930000}"/>
    <cellStyle name="Normal 2 8 8 7 2" xfId="37651" xr:uid="{00000000-0005-0000-0000-000016930000}"/>
    <cellStyle name="Normal 2 8 8 8" xfId="37652" xr:uid="{00000000-0005-0000-0000-000017930000}"/>
    <cellStyle name="Normal 2 8 8 9" xfId="37653" xr:uid="{00000000-0005-0000-0000-000018930000}"/>
    <cellStyle name="Normal 2 8 9" xfId="37654" xr:uid="{00000000-0005-0000-0000-000019930000}"/>
    <cellStyle name="Normal 2 8 9 10" xfId="37655" xr:uid="{00000000-0005-0000-0000-00001A930000}"/>
    <cellStyle name="Normal 2 8 9 11" xfId="37656" xr:uid="{00000000-0005-0000-0000-00001B930000}"/>
    <cellStyle name="Normal 2 8 9 2" xfId="37657" xr:uid="{00000000-0005-0000-0000-00001C930000}"/>
    <cellStyle name="Normal 2 8 9 2 2" xfId="37658" xr:uid="{00000000-0005-0000-0000-00001D930000}"/>
    <cellStyle name="Normal 2 8 9 2 2 2" xfId="37659" xr:uid="{00000000-0005-0000-0000-00001E930000}"/>
    <cellStyle name="Normal 2 8 9 2 2 2 2" xfId="37660" xr:uid="{00000000-0005-0000-0000-00001F930000}"/>
    <cellStyle name="Normal 2 8 9 2 2 2 3" xfId="37661" xr:uid="{00000000-0005-0000-0000-000020930000}"/>
    <cellStyle name="Normal 2 8 9 2 2 3" xfId="37662" xr:uid="{00000000-0005-0000-0000-000021930000}"/>
    <cellStyle name="Normal 2 8 9 2 2 4" xfId="37663" xr:uid="{00000000-0005-0000-0000-000022930000}"/>
    <cellStyle name="Normal 2 8 9 2 2 5" xfId="37664" xr:uid="{00000000-0005-0000-0000-000023930000}"/>
    <cellStyle name="Normal 2 8 9 2 2 6" xfId="37665" xr:uid="{00000000-0005-0000-0000-000024930000}"/>
    <cellStyle name="Normal 2 8 9 2 3" xfId="37666" xr:uid="{00000000-0005-0000-0000-000025930000}"/>
    <cellStyle name="Normal 2 8 9 2 3 2" xfId="37667" xr:uid="{00000000-0005-0000-0000-000026930000}"/>
    <cellStyle name="Normal 2 8 9 2 3 2 2" xfId="37668" xr:uid="{00000000-0005-0000-0000-000027930000}"/>
    <cellStyle name="Normal 2 8 9 2 3 3" xfId="37669" xr:uid="{00000000-0005-0000-0000-000028930000}"/>
    <cellStyle name="Normal 2 8 9 2 3 4" xfId="37670" xr:uid="{00000000-0005-0000-0000-000029930000}"/>
    <cellStyle name="Normal 2 8 9 2 3 5" xfId="37671" xr:uid="{00000000-0005-0000-0000-00002A930000}"/>
    <cellStyle name="Normal 2 8 9 2 4" xfId="37672" xr:uid="{00000000-0005-0000-0000-00002B930000}"/>
    <cellStyle name="Normal 2 8 9 2 4 2" xfId="37673" xr:uid="{00000000-0005-0000-0000-00002C930000}"/>
    <cellStyle name="Normal 2 8 9 2 4 3" xfId="37674" xr:uid="{00000000-0005-0000-0000-00002D930000}"/>
    <cellStyle name="Normal 2 8 9 2 4 4" xfId="37675" xr:uid="{00000000-0005-0000-0000-00002E930000}"/>
    <cellStyle name="Normal 2 8 9 2 5" xfId="37676" xr:uid="{00000000-0005-0000-0000-00002F930000}"/>
    <cellStyle name="Normal 2 8 9 2 5 2" xfId="37677" xr:uid="{00000000-0005-0000-0000-000030930000}"/>
    <cellStyle name="Normal 2 8 9 2 6" xfId="37678" xr:uid="{00000000-0005-0000-0000-000031930000}"/>
    <cellStyle name="Normal 2 8 9 2 7" xfId="37679" xr:uid="{00000000-0005-0000-0000-000032930000}"/>
    <cellStyle name="Normal 2 8 9 2 8" xfId="37680" xr:uid="{00000000-0005-0000-0000-000033930000}"/>
    <cellStyle name="Normal 2 8 9 2 9" xfId="37681" xr:uid="{00000000-0005-0000-0000-000034930000}"/>
    <cellStyle name="Normal 2 8 9 3" xfId="37682" xr:uid="{00000000-0005-0000-0000-000035930000}"/>
    <cellStyle name="Normal 2 8 9 3 2" xfId="37683" xr:uid="{00000000-0005-0000-0000-000036930000}"/>
    <cellStyle name="Normal 2 8 9 3 2 2" xfId="37684" xr:uid="{00000000-0005-0000-0000-000037930000}"/>
    <cellStyle name="Normal 2 8 9 3 2 2 2" xfId="37685" xr:uid="{00000000-0005-0000-0000-000038930000}"/>
    <cellStyle name="Normal 2 8 9 3 2 2 3" xfId="37686" xr:uid="{00000000-0005-0000-0000-000039930000}"/>
    <cellStyle name="Normal 2 8 9 3 2 3" xfId="37687" xr:uid="{00000000-0005-0000-0000-00003A930000}"/>
    <cellStyle name="Normal 2 8 9 3 2 4" xfId="37688" xr:uid="{00000000-0005-0000-0000-00003B930000}"/>
    <cellStyle name="Normal 2 8 9 3 2 5" xfId="37689" xr:uid="{00000000-0005-0000-0000-00003C930000}"/>
    <cellStyle name="Normal 2 8 9 3 2 6" xfId="37690" xr:uid="{00000000-0005-0000-0000-00003D930000}"/>
    <cellStyle name="Normal 2 8 9 3 3" xfId="37691" xr:uid="{00000000-0005-0000-0000-00003E930000}"/>
    <cellStyle name="Normal 2 8 9 3 3 2" xfId="37692" xr:uid="{00000000-0005-0000-0000-00003F930000}"/>
    <cellStyle name="Normal 2 8 9 3 3 2 2" xfId="37693" xr:uid="{00000000-0005-0000-0000-000040930000}"/>
    <cellStyle name="Normal 2 8 9 3 3 3" xfId="37694" xr:uid="{00000000-0005-0000-0000-000041930000}"/>
    <cellStyle name="Normal 2 8 9 3 3 4" xfId="37695" xr:uid="{00000000-0005-0000-0000-000042930000}"/>
    <cellStyle name="Normal 2 8 9 3 3 5" xfId="37696" xr:uid="{00000000-0005-0000-0000-000043930000}"/>
    <cellStyle name="Normal 2 8 9 3 4" xfId="37697" xr:uid="{00000000-0005-0000-0000-000044930000}"/>
    <cellStyle name="Normal 2 8 9 3 4 2" xfId="37698" xr:uid="{00000000-0005-0000-0000-000045930000}"/>
    <cellStyle name="Normal 2 8 9 3 4 3" xfId="37699" xr:uid="{00000000-0005-0000-0000-000046930000}"/>
    <cellStyle name="Normal 2 8 9 3 4 4" xfId="37700" xr:uid="{00000000-0005-0000-0000-000047930000}"/>
    <cellStyle name="Normal 2 8 9 3 5" xfId="37701" xr:uid="{00000000-0005-0000-0000-000048930000}"/>
    <cellStyle name="Normal 2 8 9 3 5 2" xfId="37702" xr:uid="{00000000-0005-0000-0000-000049930000}"/>
    <cellStyle name="Normal 2 8 9 3 6" xfId="37703" xr:uid="{00000000-0005-0000-0000-00004A930000}"/>
    <cellStyle name="Normal 2 8 9 3 7" xfId="37704" xr:uid="{00000000-0005-0000-0000-00004B930000}"/>
    <cellStyle name="Normal 2 8 9 3 8" xfId="37705" xr:uid="{00000000-0005-0000-0000-00004C930000}"/>
    <cellStyle name="Normal 2 8 9 3 9" xfId="37706" xr:uid="{00000000-0005-0000-0000-00004D930000}"/>
    <cellStyle name="Normal 2 8 9 4" xfId="37707" xr:uid="{00000000-0005-0000-0000-00004E930000}"/>
    <cellStyle name="Normal 2 8 9 4 2" xfId="37708" xr:uid="{00000000-0005-0000-0000-00004F930000}"/>
    <cellStyle name="Normal 2 8 9 4 2 2" xfId="37709" xr:uid="{00000000-0005-0000-0000-000050930000}"/>
    <cellStyle name="Normal 2 8 9 4 2 3" xfId="37710" xr:uid="{00000000-0005-0000-0000-000051930000}"/>
    <cellStyle name="Normal 2 8 9 4 3" xfId="37711" xr:uid="{00000000-0005-0000-0000-000052930000}"/>
    <cellStyle name="Normal 2 8 9 4 4" xfId="37712" xr:uid="{00000000-0005-0000-0000-000053930000}"/>
    <cellStyle name="Normal 2 8 9 4 5" xfId="37713" xr:uid="{00000000-0005-0000-0000-000054930000}"/>
    <cellStyle name="Normal 2 8 9 4 6" xfId="37714" xr:uid="{00000000-0005-0000-0000-000055930000}"/>
    <cellStyle name="Normal 2 8 9 5" xfId="37715" xr:uid="{00000000-0005-0000-0000-000056930000}"/>
    <cellStyle name="Normal 2 8 9 5 2" xfId="37716" xr:uid="{00000000-0005-0000-0000-000057930000}"/>
    <cellStyle name="Normal 2 8 9 5 2 2" xfId="37717" xr:uid="{00000000-0005-0000-0000-000058930000}"/>
    <cellStyle name="Normal 2 8 9 5 3" xfId="37718" xr:uid="{00000000-0005-0000-0000-000059930000}"/>
    <cellStyle name="Normal 2 8 9 5 4" xfId="37719" xr:uid="{00000000-0005-0000-0000-00005A930000}"/>
    <cellStyle name="Normal 2 8 9 5 5" xfId="37720" xr:uid="{00000000-0005-0000-0000-00005B930000}"/>
    <cellStyle name="Normal 2 8 9 6" xfId="37721" xr:uid="{00000000-0005-0000-0000-00005C930000}"/>
    <cellStyle name="Normal 2 8 9 6 2" xfId="37722" xr:uid="{00000000-0005-0000-0000-00005D930000}"/>
    <cellStyle name="Normal 2 8 9 6 3" xfId="37723" xr:uid="{00000000-0005-0000-0000-00005E930000}"/>
    <cellStyle name="Normal 2 8 9 6 4" xfId="37724" xr:uid="{00000000-0005-0000-0000-00005F930000}"/>
    <cellStyle name="Normal 2 8 9 7" xfId="37725" xr:uid="{00000000-0005-0000-0000-000060930000}"/>
    <cellStyle name="Normal 2 8 9 7 2" xfId="37726" xr:uid="{00000000-0005-0000-0000-000061930000}"/>
    <cellStyle name="Normal 2 8 9 8" xfId="37727" xr:uid="{00000000-0005-0000-0000-000062930000}"/>
    <cellStyle name="Normal 2 8 9 9" xfId="37728" xr:uid="{00000000-0005-0000-0000-000063930000}"/>
    <cellStyle name="Normal 2 9" xfId="37729" xr:uid="{00000000-0005-0000-0000-000064930000}"/>
    <cellStyle name="Normal 2 9 2" xfId="37730" xr:uid="{00000000-0005-0000-0000-000065930000}"/>
    <cellStyle name="Normal 2 9 2 10" xfId="37731" xr:uid="{00000000-0005-0000-0000-000066930000}"/>
    <cellStyle name="Normal 2 9 2 10 10" xfId="37732" xr:uid="{00000000-0005-0000-0000-000067930000}"/>
    <cellStyle name="Normal 2 9 2 10 2" xfId="37733" xr:uid="{00000000-0005-0000-0000-000068930000}"/>
    <cellStyle name="Normal 2 9 2 10 2 2" xfId="37734" xr:uid="{00000000-0005-0000-0000-000069930000}"/>
    <cellStyle name="Normal 2 9 2 10 2 2 2" xfId="37735" xr:uid="{00000000-0005-0000-0000-00006A930000}"/>
    <cellStyle name="Normal 2 9 2 10 2 2 3" xfId="37736" xr:uid="{00000000-0005-0000-0000-00006B930000}"/>
    <cellStyle name="Normal 2 9 2 10 2 3" xfId="37737" xr:uid="{00000000-0005-0000-0000-00006C930000}"/>
    <cellStyle name="Normal 2 9 2 10 2 4" xfId="37738" xr:uid="{00000000-0005-0000-0000-00006D930000}"/>
    <cellStyle name="Normal 2 9 2 10 2 5" xfId="37739" xr:uid="{00000000-0005-0000-0000-00006E930000}"/>
    <cellStyle name="Normal 2 9 2 10 2 6" xfId="37740" xr:uid="{00000000-0005-0000-0000-00006F930000}"/>
    <cellStyle name="Normal 2 9 2 10 3" xfId="37741" xr:uid="{00000000-0005-0000-0000-000070930000}"/>
    <cellStyle name="Normal 2 9 2 10 3 2" xfId="37742" xr:uid="{00000000-0005-0000-0000-000071930000}"/>
    <cellStyle name="Normal 2 9 2 10 3 2 2" xfId="37743" xr:uid="{00000000-0005-0000-0000-000072930000}"/>
    <cellStyle name="Normal 2 9 2 10 3 2 3" xfId="37744" xr:uid="{00000000-0005-0000-0000-000073930000}"/>
    <cellStyle name="Normal 2 9 2 10 3 3" xfId="37745" xr:uid="{00000000-0005-0000-0000-000074930000}"/>
    <cellStyle name="Normal 2 9 2 10 3 4" xfId="37746" xr:uid="{00000000-0005-0000-0000-000075930000}"/>
    <cellStyle name="Normal 2 9 2 10 3 5" xfId="37747" xr:uid="{00000000-0005-0000-0000-000076930000}"/>
    <cellStyle name="Normal 2 9 2 10 3 6" xfId="37748" xr:uid="{00000000-0005-0000-0000-000077930000}"/>
    <cellStyle name="Normal 2 9 2 10 4" xfId="37749" xr:uid="{00000000-0005-0000-0000-000078930000}"/>
    <cellStyle name="Normal 2 9 2 10 4 2" xfId="37750" xr:uid="{00000000-0005-0000-0000-000079930000}"/>
    <cellStyle name="Normal 2 9 2 10 4 2 2" xfId="37751" xr:uid="{00000000-0005-0000-0000-00007A930000}"/>
    <cellStyle name="Normal 2 9 2 10 4 3" xfId="37752" xr:uid="{00000000-0005-0000-0000-00007B930000}"/>
    <cellStyle name="Normal 2 9 2 10 4 4" xfId="37753" xr:uid="{00000000-0005-0000-0000-00007C930000}"/>
    <cellStyle name="Normal 2 9 2 10 4 5" xfId="37754" xr:uid="{00000000-0005-0000-0000-00007D930000}"/>
    <cellStyle name="Normal 2 9 2 10 5" xfId="37755" xr:uid="{00000000-0005-0000-0000-00007E930000}"/>
    <cellStyle name="Normal 2 9 2 10 5 2" xfId="37756" xr:uid="{00000000-0005-0000-0000-00007F930000}"/>
    <cellStyle name="Normal 2 9 2 10 5 3" xfId="37757" xr:uid="{00000000-0005-0000-0000-000080930000}"/>
    <cellStyle name="Normal 2 9 2 10 5 4" xfId="37758" xr:uid="{00000000-0005-0000-0000-000081930000}"/>
    <cellStyle name="Normal 2 9 2 10 6" xfId="37759" xr:uid="{00000000-0005-0000-0000-000082930000}"/>
    <cellStyle name="Normal 2 9 2 10 6 2" xfId="37760" xr:uid="{00000000-0005-0000-0000-000083930000}"/>
    <cellStyle name="Normal 2 9 2 10 7" xfId="37761" xr:uid="{00000000-0005-0000-0000-000084930000}"/>
    <cellStyle name="Normal 2 9 2 10 8" xfId="37762" xr:uid="{00000000-0005-0000-0000-000085930000}"/>
    <cellStyle name="Normal 2 9 2 10 9" xfId="37763" xr:uid="{00000000-0005-0000-0000-000086930000}"/>
    <cellStyle name="Normal 2 9 2 11" xfId="37764" xr:uid="{00000000-0005-0000-0000-000087930000}"/>
    <cellStyle name="Normal 2 9 2 11 10" xfId="37765" xr:uid="{00000000-0005-0000-0000-000088930000}"/>
    <cellStyle name="Normal 2 9 2 11 2" xfId="37766" xr:uid="{00000000-0005-0000-0000-000089930000}"/>
    <cellStyle name="Normal 2 9 2 11 2 2" xfId="37767" xr:uid="{00000000-0005-0000-0000-00008A930000}"/>
    <cellStyle name="Normal 2 9 2 11 2 2 2" xfId="37768" xr:uid="{00000000-0005-0000-0000-00008B930000}"/>
    <cellStyle name="Normal 2 9 2 11 2 2 3" xfId="37769" xr:uid="{00000000-0005-0000-0000-00008C930000}"/>
    <cellStyle name="Normal 2 9 2 11 2 3" xfId="37770" xr:uid="{00000000-0005-0000-0000-00008D930000}"/>
    <cellStyle name="Normal 2 9 2 11 2 4" xfId="37771" xr:uid="{00000000-0005-0000-0000-00008E930000}"/>
    <cellStyle name="Normal 2 9 2 11 2 5" xfId="37772" xr:uid="{00000000-0005-0000-0000-00008F930000}"/>
    <cellStyle name="Normal 2 9 2 11 2 6" xfId="37773" xr:uid="{00000000-0005-0000-0000-000090930000}"/>
    <cellStyle name="Normal 2 9 2 11 3" xfId="37774" xr:uid="{00000000-0005-0000-0000-000091930000}"/>
    <cellStyle name="Normal 2 9 2 11 3 2" xfId="37775" xr:uid="{00000000-0005-0000-0000-000092930000}"/>
    <cellStyle name="Normal 2 9 2 11 3 2 2" xfId="37776" xr:uid="{00000000-0005-0000-0000-000093930000}"/>
    <cellStyle name="Normal 2 9 2 11 3 2 3" xfId="37777" xr:uid="{00000000-0005-0000-0000-000094930000}"/>
    <cellStyle name="Normal 2 9 2 11 3 3" xfId="37778" xr:uid="{00000000-0005-0000-0000-000095930000}"/>
    <cellStyle name="Normal 2 9 2 11 3 4" xfId="37779" xr:uid="{00000000-0005-0000-0000-000096930000}"/>
    <cellStyle name="Normal 2 9 2 11 3 5" xfId="37780" xr:uid="{00000000-0005-0000-0000-000097930000}"/>
    <cellStyle name="Normal 2 9 2 11 3 6" xfId="37781" xr:uid="{00000000-0005-0000-0000-000098930000}"/>
    <cellStyle name="Normal 2 9 2 11 4" xfId="37782" xr:uid="{00000000-0005-0000-0000-000099930000}"/>
    <cellStyle name="Normal 2 9 2 11 4 2" xfId="37783" xr:uid="{00000000-0005-0000-0000-00009A930000}"/>
    <cellStyle name="Normal 2 9 2 11 4 2 2" xfId="37784" xr:uid="{00000000-0005-0000-0000-00009B930000}"/>
    <cellStyle name="Normal 2 9 2 11 4 3" xfId="37785" xr:uid="{00000000-0005-0000-0000-00009C930000}"/>
    <cellStyle name="Normal 2 9 2 11 4 4" xfId="37786" xr:uid="{00000000-0005-0000-0000-00009D930000}"/>
    <cellStyle name="Normal 2 9 2 11 4 5" xfId="37787" xr:uid="{00000000-0005-0000-0000-00009E930000}"/>
    <cellStyle name="Normal 2 9 2 11 5" xfId="37788" xr:uid="{00000000-0005-0000-0000-00009F930000}"/>
    <cellStyle name="Normal 2 9 2 11 5 2" xfId="37789" xr:uid="{00000000-0005-0000-0000-0000A0930000}"/>
    <cellStyle name="Normal 2 9 2 11 5 3" xfId="37790" xr:uid="{00000000-0005-0000-0000-0000A1930000}"/>
    <cellStyle name="Normal 2 9 2 11 5 4" xfId="37791" xr:uid="{00000000-0005-0000-0000-0000A2930000}"/>
    <cellStyle name="Normal 2 9 2 11 6" xfId="37792" xr:uid="{00000000-0005-0000-0000-0000A3930000}"/>
    <cellStyle name="Normal 2 9 2 11 6 2" xfId="37793" xr:uid="{00000000-0005-0000-0000-0000A4930000}"/>
    <cellStyle name="Normal 2 9 2 11 7" xfId="37794" xr:uid="{00000000-0005-0000-0000-0000A5930000}"/>
    <cellStyle name="Normal 2 9 2 11 8" xfId="37795" xr:uid="{00000000-0005-0000-0000-0000A6930000}"/>
    <cellStyle name="Normal 2 9 2 11 9" xfId="37796" xr:uid="{00000000-0005-0000-0000-0000A7930000}"/>
    <cellStyle name="Normal 2 9 2 12" xfId="37797" xr:uid="{00000000-0005-0000-0000-0000A8930000}"/>
    <cellStyle name="Normal 2 9 2 12 10" xfId="37798" xr:uid="{00000000-0005-0000-0000-0000A9930000}"/>
    <cellStyle name="Normal 2 9 2 12 2" xfId="37799" xr:uid="{00000000-0005-0000-0000-0000AA930000}"/>
    <cellStyle name="Normal 2 9 2 12 2 2" xfId="37800" xr:uid="{00000000-0005-0000-0000-0000AB930000}"/>
    <cellStyle name="Normal 2 9 2 12 2 2 2" xfId="37801" xr:uid="{00000000-0005-0000-0000-0000AC930000}"/>
    <cellStyle name="Normal 2 9 2 12 2 2 3" xfId="37802" xr:uid="{00000000-0005-0000-0000-0000AD930000}"/>
    <cellStyle name="Normal 2 9 2 12 2 3" xfId="37803" xr:uid="{00000000-0005-0000-0000-0000AE930000}"/>
    <cellStyle name="Normal 2 9 2 12 2 4" xfId="37804" xr:uid="{00000000-0005-0000-0000-0000AF930000}"/>
    <cellStyle name="Normal 2 9 2 12 2 5" xfId="37805" xr:uid="{00000000-0005-0000-0000-0000B0930000}"/>
    <cellStyle name="Normal 2 9 2 12 2 6" xfId="37806" xr:uid="{00000000-0005-0000-0000-0000B1930000}"/>
    <cellStyle name="Normal 2 9 2 12 3" xfId="37807" xr:uid="{00000000-0005-0000-0000-0000B2930000}"/>
    <cellStyle name="Normal 2 9 2 12 3 2" xfId="37808" xr:uid="{00000000-0005-0000-0000-0000B3930000}"/>
    <cellStyle name="Normal 2 9 2 12 3 2 2" xfId="37809" xr:uid="{00000000-0005-0000-0000-0000B4930000}"/>
    <cellStyle name="Normal 2 9 2 12 3 2 3" xfId="37810" xr:uid="{00000000-0005-0000-0000-0000B5930000}"/>
    <cellStyle name="Normal 2 9 2 12 3 3" xfId="37811" xr:uid="{00000000-0005-0000-0000-0000B6930000}"/>
    <cellStyle name="Normal 2 9 2 12 3 4" xfId="37812" xr:uid="{00000000-0005-0000-0000-0000B7930000}"/>
    <cellStyle name="Normal 2 9 2 12 3 5" xfId="37813" xr:uid="{00000000-0005-0000-0000-0000B8930000}"/>
    <cellStyle name="Normal 2 9 2 12 3 6" xfId="37814" xr:uid="{00000000-0005-0000-0000-0000B9930000}"/>
    <cellStyle name="Normal 2 9 2 12 4" xfId="37815" xr:uid="{00000000-0005-0000-0000-0000BA930000}"/>
    <cellStyle name="Normal 2 9 2 12 4 2" xfId="37816" xr:uid="{00000000-0005-0000-0000-0000BB930000}"/>
    <cellStyle name="Normal 2 9 2 12 4 2 2" xfId="37817" xr:uid="{00000000-0005-0000-0000-0000BC930000}"/>
    <cellStyle name="Normal 2 9 2 12 4 3" xfId="37818" xr:uid="{00000000-0005-0000-0000-0000BD930000}"/>
    <cellStyle name="Normal 2 9 2 12 4 4" xfId="37819" xr:uid="{00000000-0005-0000-0000-0000BE930000}"/>
    <cellStyle name="Normal 2 9 2 12 4 5" xfId="37820" xr:uid="{00000000-0005-0000-0000-0000BF930000}"/>
    <cellStyle name="Normal 2 9 2 12 5" xfId="37821" xr:uid="{00000000-0005-0000-0000-0000C0930000}"/>
    <cellStyle name="Normal 2 9 2 12 5 2" xfId="37822" xr:uid="{00000000-0005-0000-0000-0000C1930000}"/>
    <cellStyle name="Normal 2 9 2 12 5 3" xfId="37823" xr:uid="{00000000-0005-0000-0000-0000C2930000}"/>
    <cellStyle name="Normal 2 9 2 12 5 4" xfId="37824" xr:uid="{00000000-0005-0000-0000-0000C3930000}"/>
    <cellStyle name="Normal 2 9 2 12 6" xfId="37825" xr:uid="{00000000-0005-0000-0000-0000C4930000}"/>
    <cellStyle name="Normal 2 9 2 12 6 2" xfId="37826" xr:uid="{00000000-0005-0000-0000-0000C5930000}"/>
    <cellStyle name="Normal 2 9 2 12 7" xfId="37827" xr:uid="{00000000-0005-0000-0000-0000C6930000}"/>
    <cellStyle name="Normal 2 9 2 12 8" xfId="37828" xr:uid="{00000000-0005-0000-0000-0000C7930000}"/>
    <cellStyle name="Normal 2 9 2 12 9" xfId="37829" xr:uid="{00000000-0005-0000-0000-0000C8930000}"/>
    <cellStyle name="Normal 2 9 2 13" xfId="37830" xr:uid="{00000000-0005-0000-0000-0000C9930000}"/>
    <cellStyle name="Normal 2 9 2 13 2" xfId="37831" xr:uid="{00000000-0005-0000-0000-0000CA930000}"/>
    <cellStyle name="Normal 2 9 2 13 2 2" xfId="37832" xr:uid="{00000000-0005-0000-0000-0000CB930000}"/>
    <cellStyle name="Normal 2 9 2 13 2 2 2" xfId="37833" xr:uid="{00000000-0005-0000-0000-0000CC930000}"/>
    <cellStyle name="Normal 2 9 2 13 2 2 3" xfId="37834" xr:uid="{00000000-0005-0000-0000-0000CD930000}"/>
    <cellStyle name="Normal 2 9 2 13 2 3" xfId="37835" xr:uid="{00000000-0005-0000-0000-0000CE930000}"/>
    <cellStyle name="Normal 2 9 2 13 2 4" xfId="37836" xr:uid="{00000000-0005-0000-0000-0000CF930000}"/>
    <cellStyle name="Normal 2 9 2 13 2 5" xfId="37837" xr:uid="{00000000-0005-0000-0000-0000D0930000}"/>
    <cellStyle name="Normal 2 9 2 13 2 6" xfId="37838" xr:uid="{00000000-0005-0000-0000-0000D1930000}"/>
    <cellStyle name="Normal 2 9 2 13 3" xfId="37839" xr:uid="{00000000-0005-0000-0000-0000D2930000}"/>
    <cellStyle name="Normal 2 9 2 13 3 2" xfId="37840" xr:uid="{00000000-0005-0000-0000-0000D3930000}"/>
    <cellStyle name="Normal 2 9 2 13 3 2 2" xfId="37841" xr:uid="{00000000-0005-0000-0000-0000D4930000}"/>
    <cellStyle name="Normal 2 9 2 13 3 3" xfId="37842" xr:uid="{00000000-0005-0000-0000-0000D5930000}"/>
    <cellStyle name="Normal 2 9 2 13 3 4" xfId="37843" xr:uid="{00000000-0005-0000-0000-0000D6930000}"/>
    <cellStyle name="Normal 2 9 2 13 3 5" xfId="37844" xr:uid="{00000000-0005-0000-0000-0000D7930000}"/>
    <cellStyle name="Normal 2 9 2 13 4" xfId="37845" xr:uid="{00000000-0005-0000-0000-0000D8930000}"/>
    <cellStyle name="Normal 2 9 2 13 4 2" xfId="37846" xr:uid="{00000000-0005-0000-0000-0000D9930000}"/>
    <cellStyle name="Normal 2 9 2 13 4 3" xfId="37847" xr:uid="{00000000-0005-0000-0000-0000DA930000}"/>
    <cellStyle name="Normal 2 9 2 13 4 4" xfId="37848" xr:uid="{00000000-0005-0000-0000-0000DB930000}"/>
    <cellStyle name="Normal 2 9 2 13 5" xfId="37849" xr:uid="{00000000-0005-0000-0000-0000DC930000}"/>
    <cellStyle name="Normal 2 9 2 13 5 2" xfId="37850" xr:uid="{00000000-0005-0000-0000-0000DD930000}"/>
    <cellStyle name="Normal 2 9 2 13 6" xfId="37851" xr:uid="{00000000-0005-0000-0000-0000DE930000}"/>
    <cellStyle name="Normal 2 9 2 13 7" xfId="37852" xr:uid="{00000000-0005-0000-0000-0000DF930000}"/>
    <cellStyle name="Normal 2 9 2 13 8" xfId="37853" xr:uid="{00000000-0005-0000-0000-0000E0930000}"/>
    <cellStyle name="Normal 2 9 2 13 9" xfId="37854" xr:uid="{00000000-0005-0000-0000-0000E1930000}"/>
    <cellStyle name="Normal 2 9 2 14" xfId="37855" xr:uid="{00000000-0005-0000-0000-0000E2930000}"/>
    <cellStyle name="Normal 2 9 2 14 2" xfId="37856" xr:uid="{00000000-0005-0000-0000-0000E3930000}"/>
    <cellStyle name="Normal 2 9 2 14 2 2" xfId="37857" xr:uid="{00000000-0005-0000-0000-0000E4930000}"/>
    <cellStyle name="Normal 2 9 2 14 2 2 2" xfId="37858" xr:uid="{00000000-0005-0000-0000-0000E5930000}"/>
    <cellStyle name="Normal 2 9 2 14 2 2 3" xfId="37859" xr:uid="{00000000-0005-0000-0000-0000E6930000}"/>
    <cellStyle name="Normal 2 9 2 14 2 3" xfId="37860" xr:uid="{00000000-0005-0000-0000-0000E7930000}"/>
    <cellStyle name="Normal 2 9 2 14 2 4" xfId="37861" xr:uid="{00000000-0005-0000-0000-0000E8930000}"/>
    <cellStyle name="Normal 2 9 2 14 2 5" xfId="37862" xr:uid="{00000000-0005-0000-0000-0000E9930000}"/>
    <cellStyle name="Normal 2 9 2 14 2 6" xfId="37863" xr:uid="{00000000-0005-0000-0000-0000EA930000}"/>
    <cellStyle name="Normal 2 9 2 14 3" xfId="37864" xr:uid="{00000000-0005-0000-0000-0000EB930000}"/>
    <cellStyle name="Normal 2 9 2 14 3 2" xfId="37865" xr:uid="{00000000-0005-0000-0000-0000EC930000}"/>
    <cellStyle name="Normal 2 9 2 14 3 2 2" xfId="37866" xr:uid="{00000000-0005-0000-0000-0000ED930000}"/>
    <cellStyle name="Normal 2 9 2 14 3 3" xfId="37867" xr:uid="{00000000-0005-0000-0000-0000EE930000}"/>
    <cellStyle name="Normal 2 9 2 14 3 4" xfId="37868" xr:uid="{00000000-0005-0000-0000-0000EF930000}"/>
    <cellStyle name="Normal 2 9 2 14 3 5" xfId="37869" xr:uid="{00000000-0005-0000-0000-0000F0930000}"/>
    <cellStyle name="Normal 2 9 2 14 4" xfId="37870" xr:uid="{00000000-0005-0000-0000-0000F1930000}"/>
    <cellStyle name="Normal 2 9 2 14 4 2" xfId="37871" xr:uid="{00000000-0005-0000-0000-0000F2930000}"/>
    <cellStyle name="Normal 2 9 2 14 4 3" xfId="37872" xr:uid="{00000000-0005-0000-0000-0000F3930000}"/>
    <cellStyle name="Normal 2 9 2 14 4 4" xfId="37873" xr:uid="{00000000-0005-0000-0000-0000F4930000}"/>
    <cellStyle name="Normal 2 9 2 14 5" xfId="37874" xr:uid="{00000000-0005-0000-0000-0000F5930000}"/>
    <cellStyle name="Normal 2 9 2 14 5 2" xfId="37875" xr:uid="{00000000-0005-0000-0000-0000F6930000}"/>
    <cellStyle name="Normal 2 9 2 14 6" xfId="37876" xr:uid="{00000000-0005-0000-0000-0000F7930000}"/>
    <cellStyle name="Normal 2 9 2 14 7" xfId="37877" xr:uid="{00000000-0005-0000-0000-0000F8930000}"/>
    <cellStyle name="Normal 2 9 2 14 8" xfId="37878" xr:uid="{00000000-0005-0000-0000-0000F9930000}"/>
    <cellStyle name="Normal 2 9 2 14 9" xfId="37879" xr:uid="{00000000-0005-0000-0000-0000FA930000}"/>
    <cellStyle name="Normal 2 9 2 15" xfId="37880" xr:uid="{00000000-0005-0000-0000-0000FB930000}"/>
    <cellStyle name="Normal 2 9 2 15 2" xfId="37881" xr:uid="{00000000-0005-0000-0000-0000FC930000}"/>
    <cellStyle name="Normal 2 9 2 15 2 2" xfId="37882" xr:uid="{00000000-0005-0000-0000-0000FD930000}"/>
    <cellStyle name="Normal 2 9 2 15 2 3" xfId="37883" xr:uid="{00000000-0005-0000-0000-0000FE930000}"/>
    <cellStyle name="Normal 2 9 2 15 3" xfId="37884" xr:uid="{00000000-0005-0000-0000-0000FF930000}"/>
    <cellStyle name="Normal 2 9 2 15 4" xfId="37885" xr:uid="{00000000-0005-0000-0000-000000940000}"/>
    <cellStyle name="Normal 2 9 2 15 5" xfId="37886" xr:uid="{00000000-0005-0000-0000-000001940000}"/>
    <cellStyle name="Normal 2 9 2 15 6" xfId="37887" xr:uid="{00000000-0005-0000-0000-000002940000}"/>
    <cellStyle name="Normal 2 9 2 16" xfId="37888" xr:uid="{00000000-0005-0000-0000-000003940000}"/>
    <cellStyle name="Normal 2 9 2 16 2" xfId="37889" xr:uid="{00000000-0005-0000-0000-000004940000}"/>
    <cellStyle name="Normal 2 9 2 16 2 2" xfId="37890" xr:uid="{00000000-0005-0000-0000-000005940000}"/>
    <cellStyle name="Normal 2 9 2 16 3" xfId="37891" xr:uid="{00000000-0005-0000-0000-000006940000}"/>
    <cellStyle name="Normal 2 9 2 16 4" xfId="37892" xr:uid="{00000000-0005-0000-0000-000007940000}"/>
    <cellStyle name="Normal 2 9 2 16 5" xfId="37893" xr:uid="{00000000-0005-0000-0000-000008940000}"/>
    <cellStyle name="Normal 2 9 2 17" xfId="37894" xr:uid="{00000000-0005-0000-0000-000009940000}"/>
    <cellStyle name="Normal 2 9 2 17 2" xfId="37895" xr:uid="{00000000-0005-0000-0000-00000A940000}"/>
    <cellStyle name="Normal 2 9 2 17 2 2" xfId="37896" xr:uid="{00000000-0005-0000-0000-00000B940000}"/>
    <cellStyle name="Normal 2 9 2 17 3" xfId="37897" xr:uid="{00000000-0005-0000-0000-00000C940000}"/>
    <cellStyle name="Normal 2 9 2 17 4" xfId="37898" xr:uid="{00000000-0005-0000-0000-00000D940000}"/>
    <cellStyle name="Normal 2 9 2 17 5" xfId="37899" xr:uid="{00000000-0005-0000-0000-00000E940000}"/>
    <cellStyle name="Normal 2 9 2 18" xfId="37900" xr:uid="{00000000-0005-0000-0000-00000F940000}"/>
    <cellStyle name="Normal 2 9 2 18 2" xfId="37901" xr:uid="{00000000-0005-0000-0000-000010940000}"/>
    <cellStyle name="Normal 2 9 2 19" xfId="37902" xr:uid="{00000000-0005-0000-0000-000011940000}"/>
    <cellStyle name="Normal 2 9 2 2" xfId="37903" xr:uid="{00000000-0005-0000-0000-000012940000}"/>
    <cellStyle name="Normal 2 9 2 2 10" xfId="37904" xr:uid="{00000000-0005-0000-0000-000013940000}"/>
    <cellStyle name="Normal 2 9 2 2 11" xfId="37905" xr:uid="{00000000-0005-0000-0000-000014940000}"/>
    <cellStyle name="Normal 2 9 2 2 2" xfId="37906" xr:uid="{00000000-0005-0000-0000-000015940000}"/>
    <cellStyle name="Normal 2 9 2 2 2 2" xfId="37907" xr:uid="{00000000-0005-0000-0000-000016940000}"/>
    <cellStyle name="Normal 2 9 2 2 2 2 2" xfId="37908" xr:uid="{00000000-0005-0000-0000-000017940000}"/>
    <cellStyle name="Normal 2 9 2 2 2 2 2 2" xfId="37909" xr:uid="{00000000-0005-0000-0000-000018940000}"/>
    <cellStyle name="Normal 2 9 2 2 2 2 2 3" xfId="37910" xr:uid="{00000000-0005-0000-0000-000019940000}"/>
    <cellStyle name="Normal 2 9 2 2 2 2 3" xfId="37911" xr:uid="{00000000-0005-0000-0000-00001A940000}"/>
    <cellStyle name="Normal 2 9 2 2 2 2 4" xfId="37912" xr:uid="{00000000-0005-0000-0000-00001B940000}"/>
    <cellStyle name="Normal 2 9 2 2 2 2 5" xfId="37913" xr:uid="{00000000-0005-0000-0000-00001C940000}"/>
    <cellStyle name="Normal 2 9 2 2 2 2 6" xfId="37914" xr:uid="{00000000-0005-0000-0000-00001D940000}"/>
    <cellStyle name="Normal 2 9 2 2 2 3" xfId="37915" xr:uid="{00000000-0005-0000-0000-00001E940000}"/>
    <cellStyle name="Normal 2 9 2 2 2 3 2" xfId="37916" xr:uid="{00000000-0005-0000-0000-00001F940000}"/>
    <cellStyle name="Normal 2 9 2 2 2 3 2 2" xfId="37917" xr:uid="{00000000-0005-0000-0000-000020940000}"/>
    <cellStyle name="Normal 2 9 2 2 2 3 3" xfId="37918" xr:uid="{00000000-0005-0000-0000-000021940000}"/>
    <cellStyle name="Normal 2 9 2 2 2 3 4" xfId="37919" xr:uid="{00000000-0005-0000-0000-000022940000}"/>
    <cellStyle name="Normal 2 9 2 2 2 3 5" xfId="37920" xr:uid="{00000000-0005-0000-0000-000023940000}"/>
    <cellStyle name="Normal 2 9 2 2 2 4" xfId="37921" xr:uid="{00000000-0005-0000-0000-000024940000}"/>
    <cellStyle name="Normal 2 9 2 2 2 4 2" xfId="37922" xr:uid="{00000000-0005-0000-0000-000025940000}"/>
    <cellStyle name="Normal 2 9 2 2 2 4 3" xfId="37923" xr:uid="{00000000-0005-0000-0000-000026940000}"/>
    <cellStyle name="Normal 2 9 2 2 2 4 4" xfId="37924" xr:uid="{00000000-0005-0000-0000-000027940000}"/>
    <cellStyle name="Normal 2 9 2 2 2 5" xfId="37925" xr:uid="{00000000-0005-0000-0000-000028940000}"/>
    <cellStyle name="Normal 2 9 2 2 2 5 2" xfId="37926" xr:uid="{00000000-0005-0000-0000-000029940000}"/>
    <cellStyle name="Normal 2 9 2 2 2 6" xfId="37927" xr:uid="{00000000-0005-0000-0000-00002A940000}"/>
    <cellStyle name="Normal 2 9 2 2 2 7" xfId="37928" xr:uid="{00000000-0005-0000-0000-00002B940000}"/>
    <cellStyle name="Normal 2 9 2 2 2 8" xfId="37929" xr:uid="{00000000-0005-0000-0000-00002C940000}"/>
    <cellStyle name="Normal 2 9 2 2 2 9" xfId="37930" xr:uid="{00000000-0005-0000-0000-00002D940000}"/>
    <cellStyle name="Normal 2 9 2 2 3" xfId="37931" xr:uid="{00000000-0005-0000-0000-00002E940000}"/>
    <cellStyle name="Normal 2 9 2 2 3 2" xfId="37932" xr:uid="{00000000-0005-0000-0000-00002F940000}"/>
    <cellStyle name="Normal 2 9 2 2 3 2 2" xfId="37933" xr:uid="{00000000-0005-0000-0000-000030940000}"/>
    <cellStyle name="Normal 2 9 2 2 3 2 2 2" xfId="37934" xr:uid="{00000000-0005-0000-0000-000031940000}"/>
    <cellStyle name="Normal 2 9 2 2 3 2 2 3" xfId="37935" xr:uid="{00000000-0005-0000-0000-000032940000}"/>
    <cellStyle name="Normal 2 9 2 2 3 2 3" xfId="37936" xr:uid="{00000000-0005-0000-0000-000033940000}"/>
    <cellStyle name="Normal 2 9 2 2 3 2 4" xfId="37937" xr:uid="{00000000-0005-0000-0000-000034940000}"/>
    <cellStyle name="Normal 2 9 2 2 3 2 5" xfId="37938" xr:uid="{00000000-0005-0000-0000-000035940000}"/>
    <cellStyle name="Normal 2 9 2 2 3 2 6" xfId="37939" xr:uid="{00000000-0005-0000-0000-000036940000}"/>
    <cellStyle name="Normal 2 9 2 2 3 3" xfId="37940" xr:uid="{00000000-0005-0000-0000-000037940000}"/>
    <cellStyle name="Normal 2 9 2 2 3 3 2" xfId="37941" xr:uid="{00000000-0005-0000-0000-000038940000}"/>
    <cellStyle name="Normal 2 9 2 2 3 3 2 2" xfId="37942" xr:uid="{00000000-0005-0000-0000-000039940000}"/>
    <cellStyle name="Normal 2 9 2 2 3 3 3" xfId="37943" xr:uid="{00000000-0005-0000-0000-00003A940000}"/>
    <cellStyle name="Normal 2 9 2 2 3 3 4" xfId="37944" xr:uid="{00000000-0005-0000-0000-00003B940000}"/>
    <cellStyle name="Normal 2 9 2 2 3 3 5" xfId="37945" xr:uid="{00000000-0005-0000-0000-00003C940000}"/>
    <cellStyle name="Normal 2 9 2 2 3 4" xfId="37946" xr:uid="{00000000-0005-0000-0000-00003D940000}"/>
    <cellStyle name="Normal 2 9 2 2 3 4 2" xfId="37947" xr:uid="{00000000-0005-0000-0000-00003E940000}"/>
    <cellStyle name="Normal 2 9 2 2 3 4 3" xfId="37948" xr:uid="{00000000-0005-0000-0000-00003F940000}"/>
    <cellStyle name="Normal 2 9 2 2 3 4 4" xfId="37949" xr:uid="{00000000-0005-0000-0000-000040940000}"/>
    <cellStyle name="Normal 2 9 2 2 3 5" xfId="37950" xr:uid="{00000000-0005-0000-0000-000041940000}"/>
    <cellStyle name="Normal 2 9 2 2 3 5 2" xfId="37951" xr:uid="{00000000-0005-0000-0000-000042940000}"/>
    <cellStyle name="Normal 2 9 2 2 3 6" xfId="37952" xr:uid="{00000000-0005-0000-0000-000043940000}"/>
    <cellStyle name="Normal 2 9 2 2 3 7" xfId="37953" xr:uid="{00000000-0005-0000-0000-000044940000}"/>
    <cellStyle name="Normal 2 9 2 2 3 8" xfId="37954" xr:uid="{00000000-0005-0000-0000-000045940000}"/>
    <cellStyle name="Normal 2 9 2 2 3 9" xfId="37955" xr:uid="{00000000-0005-0000-0000-000046940000}"/>
    <cellStyle name="Normal 2 9 2 2 4" xfId="37956" xr:uid="{00000000-0005-0000-0000-000047940000}"/>
    <cellStyle name="Normal 2 9 2 2 4 2" xfId="37957" xr:uid="{00000000-0005-0000-0000-000048940000}"/>
    <cellStyle name="Normal 2 9 2 2 4 2 2" xfId="37958" xr:uid="{00000000-0005-0000-0000-000049940000}"/>
    <cellStyle name="Normal 2 9 2 2 4 2 3" xfId="37959" xr:uid="{00000000-0005-0000-0000-00004A940000}"/>
    <cellStyle name="Normal 2 9 2 2 4 3" xfId="37960" xr:uid="{00000000-0005-0000-0000-00004B940000}"/>
    <cellStyle name="Normal 2 9 2 2 4 4" xfId="37961" xr:uid="{00000000-0005-0000-0000-00004C940000}"/>
    <cellStyle name="Normal 2 9 2 2 4 5" xfId="37962" xr:uid="{00000000-0005-0000-0000-00004D940000}"/>
    <cellStyle name="Normal 2 9 2 2 4 6" xfId="37963" xr:uid="{00000000-0005-0000-0000-00004E940000}"/>
    <cellStyle name="Normal 2 9 2 2 5" xfId="37964" xr:uid="{00000000-0005-0000-0000-00004F940000}"/>
    <cellStyle name="Normal 2 9 2 2 5 2" xfId="37965" xr:uid="{00000000-0005-0000-0000-000050940000}"/>
    <cellStyle name="Normal 2 9 2 2 5 2 2" xfId="37966" xr:uid="{00000000-0005-0000-0000-000051940000}"/>
    <cellStyle name="Normal 2 9 2 2 5 3" xfId="37967" xr:uid="{00000000-0005-0000-0000-000052940000}"/>
    <cellStyle name="Normal 2 9 2 2 5 4" xfId="37968" xr:uid="{00000000-0005-0000-0000-000053940000}"/>
    <cellStyle name="Normal 2 9 2 2 5 5" xfId="37969" xr:uid="{00000000-0005-0000-0000-000054940000}"/>
    <cellStyle name="Normal 2 9 2 2 6" xfId="37970" xr:uid="{00000000-0005-0000-0000-000055940000}"/>
    <cellStyle name="Normal 2 9 2 2 6 2" xfId="37971" xr:uid="{00000000-0005-0000-0000-000056940000}"/>
    <cellStyle name="Normal 2 9 2 2 6 3" xfId="37972" xr:uid="{00000000-0005-0000-0000-000057940000}"/>
    <cellStyle name="Normal 2 9 2 2 6 4" xfId="37973" xr:uid="{00000000-0005-0000-0000-000058940000}"/>
    <cellStyle name="Normal 2 9 2 2 7" xfId="37974" xr:uid="{00000000-0005-0000-0000-000059940000}"/>
    <cellStyle name="Normal 2 9 2 2 7 2" xfId="37975" xr:uid="{00000000-0005-0000-0000-00005A940000}"/>
    <cellStyle name="Normal 2 9 2 2 8" xfId="37976" xr:uid="{00000000-0005-0000-0000-00005B940000}"/>
    <cellStyle name="Normal 2 9 2 2 9" xfId="37977" xr:uid="{00000000-0005-0000-0000-00005C940000}"/>
    <cellStyle name="Normal 2 9 2 20" xfId="37978" xr:uid="{00000000-0005-0000-0000-00005D940000}"/>
    <cellStyle name="Normal 2 9 2 21" xfId="37979" xr:uid="{00000000-0005-0000-0000-00005E940000}"/>
    <cellStyle name="Normal 2 9 2 22" xfId="37980" xr:uid="{00000000-0005-0000-0000-00005F940000}"/>
    <cellStyle name="Normal 2 9 2 3" xfId="37981" xr:uid="{00000000-0005-0000-0000-000060940000}"/>
    <cellStyle name="Normal 2 9 2 3 10" xfId="37982" xr:uid="{00000000-0005-0000-0000-000061940000}"/>
    <cellStyle name="Normal 2 9 2 3 11" xfId="37983" xr:uid="{00000000-0005-0000-0000-000062940000}"/>
    <cellStyle name="Normal 2 9 2 3 2" xfId="37984" xr:uid="{00000000-0005-0000-0000-000063940000}"/>
    <cellStyle name="Normal 2 9 2 3 2 2" xfId="37985" xr:uid="{00000000-0005-0000-0000-000064940000}"/>
    <cellStyle name="Normal 2 9 2 3 2 2 2" xfId="37986" xr:uid="{00000000-0005-0000-0000-000065940000}"/>
    <cellStyle name="Normal 2 9 2 3 2 2 2 2" xfId="37987" xr:uid="{00000000-0005-0000-0000-000066940000}"/>
    <cellStyle name="Normal 2 9 2 3 2 2 2 3" xfId="37988" xr:uid="{00000000-0005-0000-0000-000067940000}"/>
    <cellStyle name="Normal 2 9 2 3 2 2 3" xfId="37989" xr:uid="{00000000-0005-0000-0000-000068940000}"/>
    <cellStyle name="Normal 2 9 2 3 2 2 4" xfId="37990" xr:uid="{00000000-0005-0000-0000-000069940000}"/>
    <cellStyle name="Normal 2 9 2 3 2 2 5" xfId="37991" xr:uid="{00000000-0005-0000-0000-00006A940000}"/>
    <cellStyle name="Normal 2 9 2 3 2 2 6" xfId="37992" xr:uid="{00000000-0005-0000-0000-00006B940000}"/>
    <cellStyle name="Normal 2 9 2 3 2 3" xfId="37993" xr:uid="{00000000-0005-0000-0000-00006C940000}"/>
    <cellStyle name="Normal 2 9 2 3 2 3 2" xfId="37994" xr:uid="{00000000-0005-0000-0000-00006D940000}"/>
    <cellStyle name="Normal 2 9 2 3 2 3 2 2" xfId="37995" xr:uid="{00000000-0005-0000-0000-00006E940000}"/>
    <cellStyle name="Normal 2 9 2 3 2 3 3" xfId="37996" xr:uid="{00000000-0005-0000-0000-00006F940000}"/>
    <cellStyle name="Normal 2 9 2 3 2 3 4" xfId="37997" xr:uid="{00000000-0005-0000-0000-000070940000}"/>
    <cellStyle name="Normal 2 9 2 3 2 3 5" xfId="37998" xr:uid="{00000000-0005-0000-0000-000071940000}"/>
    <cellStyle name="Normal 2 9 2 3 2 4" xfId="37999" xr:uid="{00000000-0005-0000-0000-000072940000}"/>
    <cellStyle name="Normal 2 9 2 3 2 4 2" xfId="38000" xr:uid="{00000000-0005-0000-0000-000073940000}"/>
    <cellStyle name="Normal 2 9 2 3 2 4 3" xfId="38001" xr:uid="{00000000-0005-0000-0000-000074940000}"/>
    <cellStyle name="Normal 2 9 2 3 2 4 4" xfId="38002" xr:uid="{00000000-0005-0000-0000-000075940000}"/>
    <cellStyle name="Normal 2 9 2 3 2 5" xfId="38003" xr:uid="{00000000-0005-0000-0000-000076940000}"/>
    <cellStyle name="Normal 2 9 2 3 2 5 2" xfId="38004" xr:uid="{00000000-0005-0000-0000-000077940000}"/>
    <cellStyle name="Normal 2 9 2 3 2 6" xfId="38005" xr:uid="{00000000-0005-0000-0000-000078940000}"/>
    <cellStyle name="Normal 2 9 2 3 2 7" xfId="38006" xr:uid="{00000000-0005-0000-0000-000079940000}"/>
    <cellStyle name="Normal 2 9 2 3 2 8" xfId="38007" xr:uid="{00000000-0005-0000-0000-00007A940000}"/>
    <cellStyle name="Normal 2 9 2 3 2 9" xfId="38008" xr:uid="{00000000-0005-0000-0000-00007B940000}"/>
    <cellStyle name="Normal 2 9 2 3 3" xfId="38009" xr:uid="{00000000-0005-0000-0000-00007C940000}"/>
    <cellStyle name="Normal 2 9 2 3 3 2" xfId="38010" xr:uid="{00000000-0005-0000-0000-00007D940000}"/>
    <cellStyle name="Normal 2 9 2 3 3 2 2" xfId="38011" xr:uid="{00000000-0005-0000-0000-00007E940000}"/>
    <cellStyle name="Normal 2 9 2 3 3 2 2 2" xfId="38012" xr:uid="{00000000-0005-0000-0000-00007F940000}"/>
    <cellStyle name="Normal 2 9 2 3 3 2 2 3" xfId="38013" xr:uid="{00000000-0005-0000-0000-000080940000}"/>
    <cellStyle name="Normal 2 9 2 3 3 2 3" xfId="38014" xr:uid="{00000000-0005-0000-0000-000081940000}"/>
    <cellStyle name="Normal 2 9 2 3 3 2 4" xfId="38015" xr:uid="{00000000-0005-0000-0000-000082940000}"/>
    <cellStyle name="Normal 2 9 2 3 3 2 5" xfId="38016" xr:uid="{00000000-0005-0000-0000-000083940000}"/>
    <cellStyle name="Normal 2 9 2 3 3 2 6" xfId="38017" xr:uid="{00000000-0005-0000-0000-000084940000}"/>
    <cellStyle name="Normal 2 9 2 3 3 3" xfId="38018" xr:uid="{00000000-0005-0000-0000-000085940000}"/>
    <cellStyle name="Normal 2 9 2 3 3 3 2" xfId="38019" xr:uid="{00000000-0005-0000-0000-000086940000}"/>
    <cellStyle name="Normal 2 9 2 3 3 3 2 2" xfId="38020" xr:uid="{00000000-0005-0000-0000-000087940000}"/>
    <cellStyle name="Normal 2 9 2 3 3 3 3" xfId="38021" xr:uid="{00000000-0005-0000-0000-000088940000}"/>
    <cellStyle name="Normal 2 9 2 3 3 3 4" xfId="38022" xr:uid="{00000000-0005-0000-0000-000089940000}"/>
    <cellStyle name="Normal 2 9 2 3 3 3 5" xfId="38023" xr:uid="{00000000-0005-0000-0000-00008A940000}"/>
    <cellStyle name="Normal 2 9 2 3 3 4" xfId="38024" xr:uid="{00000000-0005-0000-0000-00008B940000}"/>
    <cellStyle name="Normal 2 9 2 3 3 4 2" xfId="38025" xr:uid="{00000000-0005-0000-0000-00008C940000}"/>
    <cellStyle name="Normal 2 9 2 3 3 4 3" xfId="38026" xr:uid="{00000000-0005-0000-0000-00008D940000}"/>
    <cellStyle name="Normal 2 9 2 3 3 4 4" xfId="38027" xr:uid="{00000000-0005-0000-0000-00008E940000}"/>
    <cellStyle name="Normal 2 9 2 3 3 5" xfId="38028" xr:uid="{00000000-0005-0000-0000-00008F940000}"/>
    <cellStyle name="Normal 2 9 2 3 3 5 2" xfId="38029" xr:uid="{00000000-0005-0000-0000-000090940000}"/>
    <cellStyle name="Normal 2 9 2 3 3 6" xfId="38030" xr:uid="{00000000-0005-0000-0000-000091940000}"/>
    <cellStyle name="Normal 2 9 2 3 3 7" xfId="38031" xr:uid="{00000000-0005-0000-0000-000092940000}"/>
    <cellStyle name="Normal 2 9 2 3 3 8" xfId="38032" xr:uid="{00000000-0005-0000-0000-000093940000}"/>
    <cellStyle name="Normal 2 9 2 3 3 9" xfId="38033" xr:uid="{00000000-0005-0000-0000-000094940000}"/>
    <cellStyle name="Normal 2 9 2 3 4" xfId="38034" xr:uid="{00000000-0005-0000-0000-000095940000}"/>
    <cellStyle name="Normal 2 9 2 3 4 2" xfId="38035" xr:uid="{00000000-0005-0000-0000-000096940000}"/>
    <cellStyle name="Normal 2 9 2 3 4 2 2" xfId="38036" xr:uid="{00000000-0005-0000-0000-000097940000}"/>
    <cellStyle name="Normal 2 9 2 3 4 2 3" xfId="38037" xr:uid="{00000000-0005-0000-0000-000098940000}"/>
    <cellStyle name="Normal 2 9 2 3 4 3" xfId="38038" xr:uid="{00000000-0005-0000-0000-000099940000}"/>
    <cellStyle name="Normal 2 9 2 3 4 4" xfId="38039" xr:uid="{00000000-0005-0000-0000-00009A940000}"/>
    <cellStyle name="Normal 2 9 2 3 4 5" xfId="38040" xr:uid="{00000000-0005-0000-0000-00009B940000}"/>
    <cellStyle name="Normal 2 9 2 3 4 6" xfId="38041" xr:uid="{00000000-0005-0000-0000-00009C940000}"/>
    <cellStyle name="Normal 2 9 2 3 5" xfId="38042" xr:uid="{00000000-0005-0000-0000-00009D940000}"/>
    <cellStyle name="Normal 2 9 2 3 5 2" xfId="38043" xr:uid="{00000000-0005-0000-0000-00009E940000}"/>
    <cellStyle name="Normal 2 9 2 3 5 2 2" xfId="38044" xr:uid="{00000000-0005-0000-0000-00009F940000}"/>
    <cellStyle name="Normal 2 9 2 3 5 3" xfId="38045" xr:uid="{00000000-0005-0000-0000-0000A0940000}"/>
    <cellStyle name="Normal 2 9 2 3 5 4" xfId="38046" xr:uid="{00000000-0005-0000-0000-0000A1940000}"/>
    <cellStyle name="Normal 2 9 2 3 5 5" xfId="38047" xr:uid="{00000000-0005-0000-0000-0000A2940000}"/>
    <cellStyle name="Normal 2 9 2 3 6" xfId="38048" xr:uid="{00000000-0005-0000-0000-0000A3940000}"/>
    <cellStyle name="Normal 2 9 2 3 6 2" xfId="38049" xr:uid="{00000000-0005-0000-0000-0000A4940000}"/>
    <cellStyle name="Normal 2 9 2 3 6 3" xfId="38050" xr:uid="{00000000-0005-0000-0000-0000A5940000}"/>
    <cellStyle name="Normal 2 9 2 3 6 4" xfId="38051" xr:uid="{00000000-0005-0000-0000-0000A6940000}"/>
    <cellStyle name="Normal 2 9 2 3 7" xfId="38052" xr:uid="{00000000-0005-0000-0000-0000A7940000}"/>
    <cellStyle name="Normal 2 9 2 3 7 2" xfId="38053" xr:uid="{00000000-0005-0000-0000-0000A8940000}"/>
    <cellStyle name="Normal 2 9 2 3 8" xfId="38054" xr:uid="{00000000-0005-0000-0000-0000A9940000}"/>
    <cellStyle name="Normal 2 9 2 3 9" xfId="38055" xr:uid="{00000000-0005-0000-0000-0000AA940000}"/>
    <cellStyle name="Normal 2 9 2 4" xfId="38056" xr:uid="{00000000-0005-0000-0000-0000AB940000}"/>
    <cellStyle name="Normal 2 9 2 4 10" xfId="38057" xr:uid="{00000000-0005-0000-0000-0000AC940000}"/>
    <cellStyle name="Normal 2 9 2 4 11" xfId="38058" xr:uid="{00000000-0005-0000-0000-0000AD940000}"/>
    <cellStyle name="Normal 2 9 2 4 2" xfId="38059" xr:uid="{00000000-0005-0000-0000-0000AE940000}"/>
    <cellStyle name="Normal 2 9 2 4 2 2" xfId="38060" xr:uid="{00000000-0005-0000-0000-0000AF940000}"/>
    <cellStyle name="Normal 2 9 2 4 2 2 2" xfId="38061" xr:uid="{00000000-0005-0000-0000-0000B0940000}"/>
    <cellStyle name="Normal 2 9 2 4 2 2 2 2" xfId="38062" xr:uid="{00000000-0005-0000-0000-0000B1940000}"/>
    <cellStyle name="Normal 2 9 2 4 2 2 2 3" xfId="38063" xr:uid="{00000000-0005-0000-0000-0000B2940000}"/>
    <cellStyle name="Normal 2 9 2 4 2 2 3" xfId="38064" xr:uid="{00000000-0005-0000-0000-0000B3940000}"/>
    <cellStyle name="Normal 2 9 2 4 2 2 4" xfId="38065" xr:uid="{00000000-0005-0000-0000-0000B4940000}"/>
    <cellStyle name="Normal 2 9 2 4 2 2 5" xfId="38066" xr:uid="{00000000-0005-0000-0000-0000B5940000}"/>
    <cellStyle name="Normal 2 9 2 4 2 2 6" xfId="38067" xr:uid="{00000000-0005-0000-0000-0000B6940000}"/>
    <cellStyle name="Normal 2 9 2 4 2 3" xfId="38068" xr:uid="{00000000-0005-0000-0000-0000B7940000}"/>
    <cellStyle name="Normal 2 9 2 4 2 3 2" xfId="38069" xr:uid="{00000000-0005-0000-0000-0000B8940000}"/>
    <cellStyle name="Normal 2 9 2 4 2 3 2 2" xfId="38070" xr:uid="{00000000-0005-0000-0000-0000B9940000}"/>
    <cellStyle name="Normal 2 9 2 4 2 3 3" xfId="38071" xr:uid="{00000000-0005-0000-0000-0000BA940000}"/>
    <cellStyle name="Normal 2 9 2 4 2 3 4" xfId="38072" xr:uid="{00000000-0005-0000-0000-0000BB940000}"/>
    <cellStyle name="Normal 2 9 2 4 2 3 5" xfId="38073" xr:uid="{00000000-0005-0000-0000-0000BC940000}"/>
    <cellStyle name="Normal 2 9 2 4 2 4" xfId="38074" xr:uid="{00000000-0005-0000-0000-0000BD940000}"/>
    <cellStyle name="Normal 2 9 2 4 2 4 2" xfId="38075" xr:uid="{00000000-0005-0000-0000-0000BE940000}"/>
    <cellStyle name="Normal 2 9 2 4 2 4 3" xfId="38076" xr:uid="{00000000-0005-0000-0000-0000BF940000}"/>
    <cellStyle name="Normal 2 9 2 4 2 4 4" xfId="38077" xr:uid="{00000000-0005-0000-0000-0000C0940000}"/>
    <cellStyle name="Normal 2 9 2 4 2 5" xfId="38078" xr:uid="{00000000-0005-0000-0000-0000C1940000}"/>
    <cellStyle name="Normal 2 9 2 4 2 5 2" xfId="38079" xr:uid="{00000000-0005-0000-0000-0000C2940000}"/>
    <cellStyle name="Normal 2 9 2 4 2 6" xfId="38080" xr:uid="{00000000-0005-0000-0000-0000C3940000}"/>
    <cellStyle name="Normal 2 9 2 4 2 7" xfId="38081" xr:uid="{00000000-0005-0000-0000-0000C4940000}"/>
    <cellStyle name="Normal 2 9 2 4 2 8" xfId="38082" xr:uid="{00000000-0005-0000-0000-0000C5940000}"/>
    <cellStyle name="Normal 2 9 2 4 2 9" xfId="38083" xr:uid="{00000000-0005-0000-0000-0000C6940000}"/>
    <cellStyle name="Normal 2 9 2 4 3" xfId="38084" xr:uid="{00000000-0005-0000-0000-0000C7940000}"/>
    <cellStyle name="Normal 2 9 2 4 3 2" xfId="38085" xr:uid="{00000000-0005-0000-0000-0000C8940000}"/>
    <cellStyle name="Normal 2 9 2 4 3 2 2" xfId="38086" xr:uid="{00000000-0005-0000-0000-0000C9940000}"/>
    <cellStyle name="Normal 2 9 2 4 3 2 2 2" xfId="38087" xr:uid="{00000000-0005-0000-0000-0000CA940000}"/>
    <cellStyle name="Normal 2 9 2 4 3 2 2 3" xfId="38088" xr:uid="{00000000-0005-0000-0000-0000CB940000}"/>
    <cellStyle name="Normal 2 9 2 4 3 2 3" xfId="38089" xr:uid="{00000000-0005-0000-0000-0000CC940000}"/>
    <cellStyle name="Normal 2 9 2 4 3 2 4" xfId="38090" xr:uid="{00000000-0005-0000-0000-0000CD940000}"/>
    <cellStyle name="Normal 2 9 2 4 3 2 5" xfId="38091" xr:uid="{00000000-0005-0000-0000-0000CE940000}"/>
    <cellStyle name="Normal 2 9 2 4 3 2 6" xfId="38092" xr:uid="{00000000-0005-0000-0000-0000CF940000}"/>
    <cellStyle name="Normal 2 9 2 4 3 3" xfId="38093" xr:uid="{00000000-0005-0000-0000-0000D0940000}"/>
    <cellStyle name="Normal 2 9 2 4 3 3 2" xfId="38094" xr:uid="{00000000-0005-0000-0000-0000D1940000}"/>
    <cellStyle name="Normal 2 9 2 4 3 3 2 2" xfId="38095" xr:uid="{00000000-0005-0000-0000-0000D2940000}"/>
    <cellStyle name="Normal 2 9 2 4 3 3 3" xfId="38096" xr:uid="{00000000-0005-0000-0000-0000D3940000}"/>
    <cellStyle name="Normal 2 9 2 4 3 3 4" xfId="38097" xr:uid="{00000000-0005-0000-0000-0000D4940000}"/>
    <cellStyle name="Normal 2 9 2 4 3 3 5" xfId="38098" xr:uid="{00000000-0005-0000-0000-0000D5940000}"/>
    <cellStyle name="Normal 2 9 2 4 3 4" xfId="38099" xr:uid="{00000000-0005-0000-0000-0000D6940000}"/>
    <cellStyle name="Normal 2 9 2 4 3 4 2" xfId="38100" xr:uid="{00000000-0005-0000-0000-0000D7940000}"/>
    <cellStyle name="Normal 2 9 2 4 3 4 3" xfId="38101" xr:uid="{00000000-0005-0000-0000-0000D8940000}"/>
    <cellStyle name="Normal 2 9 2 4 3 4 4" xfId="38102" xr:uid="{00000000-0005-0000-0000-0000D9940000}"/>
    <cellStyle name="Normal 2 9 2 4 3 5" xfId="38103" xr:uid="{00000000-0005-0000-0000-0000DA940000}"/>
    <cellStyle name="Normal 2 9 2 4 3 5 2" xfId="38104" xr:uid="{00000000-0005-0000-0000-0000DB940000}"/>
    <cellStyle name="Normal 2 9 2 4 3 6" xfId="38105" xr:uid="{00000000-0005-0000-0000-0000DC940000}"/>
    <cellStyle name="Normal 2 9 2 4 3 7" xfId="38106" xr:uid="{00000000-0005-0000-0000-0000DD940000}"/>
    <cellStyle name="Normal 2 9 2 4 3 8" xfId="38107" xr:uid="{00000000-0005-0000-0000-0000DE940000}"/>
    <cellStyle name="Normal 2 9 2 4 3 9" xfId="38108" xr:uid="{00000000-0005-0000-0000-0000DF940000}"/>
    <cellStyle name="Normal 2 9 2 4 4" xfId="38109" xr:uid="{00000000-0005-0000-0000-0000E0940000}"/>
    <cellStyle name="Normal 2 9 2 4 4 2" xfId="38110" xr:uid="{00000000-0005-0000-0000-0000E1940000}"/>
    <cellStyle name="Normal 2 9 2 4 4 2 2" xfId="38111" xr:uid="{00000000-0005-0000-0000-0000E2940000}"/>
    <cellStyle name="Normal 2 9 2 4 4 2 3" xfId="38112" xr:uid="{00000000-0005-0000-0000-0000E3940000}"/>
    <cellStyle name="Normal 2 9 2 4 4 3" xfId="38113" xr:uid="{00000000-0005-0000-0000-0000E4940000}"/>
    <cellStyle name="Normal 2 9 2 4 4 4" xfId="38114" xr:uid="{00000000-0005-0000-0000-0000E5940000}"/>
    <cellStyle name="Normal 2 9 2 4 4 5" xfId="38115" xr:uid="{00000000-0005-0000-0000-0000E6940000}"/>
    <cellStyle name="Normal 2 9 2 4 4 6" xfId="38116" xr:uid="{00000000-0005-0000-0000-0000E7940000}"/>
    <cellStyle name="Normal 2 9 2 4 5" xfId="38117" xr:uid="{00000000-0005-0000-0000-0000E8940000}"/>
    <cellStyle name="Normal 2 9 2 4 5 2" xfId="38118" xr:uid="{00000000-0005-0000-0000-0000E9940000}"/>
    <cellStyle name="Normal 2 9 2 4 5 2 2" xfId="38119" xr:uid="{00000000-0005-0000-0000-0000EA940000}"/>
    <cellStyle name="Normal 2 9 2 4 5 3" xfId="38120" xr:uid="{00000000-0005-0000-0000-0000EB940000}"/>
    <cellStyle name="Normal 2 9 2 4 5 4" xfId="38121" xr:uid="{00000000-0005-0000-0000-0000EC940000}"/>
    <cellStyle name="Normal 2 9 2 4 5 5" xfId="38122" xr:uid="{00000000-0005-0000-0000-0000ED940000}"/>
    <cellStyle name="Normal 2 9 2 4 6" xfId="38123" xr:uid="{00000000-0005-0000-0000-0000EE940000}"/>
    <cellStyle name="Normal 2 9 2 4 6 2" xfId="38124" xr:uid="{00000000-0005-0000-0000-0000EF940000}"/>
    <cellStyle name="Normal 2 9 2 4 6 3" xfId="38125" xr:uid="{00000000-0005-0000-0000-0000F0940000}"/>
    <cellStyle name="Normal 2 9 2 4 6 4" xfId="38126" xr:uid="{00000000-0005-0000-0000-0000F1940000}"/>
    <cellStyle name="Normal 2 9 2 4 7" xfId="38127" xr:uid="{00000000-0005-0000-0000-0000F2940000}"/>
    <cellStyle name="Normal 2 9 2 4 7 2" xfId="38128" xr:uid="{00000000-0005-0000-0000-0000F3940000}"/>
    <cellStyle name="Normal 2 9 2 4 8" xfId="38129" xr:uid="{00000000-0005-0000-0000-0000F4940000}"/>
    <cellStyle name="Normal 2 9 2 4 9" xfId="38130" xr:uid="{00000000-0005-0000-0000-0000F5940000}"/>
    <cellStyle name="Normal 2 9 2 5" xfId="38131" xr:uid="{00000000-0005-0000-0000-0000F6940000}"/>
    <cellStyle name="Normal 2 9 2 5 10" xfId="38132" xr:uid="{00000000-0005-0000-0000-0000F7940000}"/>
    <cellStyle name="Normal 2 9 2 5 11" xfId="38133" xr:uid="{00000000-0005-0000-0000-0000F8940000}"/>
    <cellStyle name="Normal 2 9 2 5 2" xfId="38134" xr:uid="{00000000-0005-0000-0000-0000F9940000}"/>
    <cellStyle name="Normal 2 9 2 5 2 2" xfId="38135" xr:uid="{00000000-0005-0000-0000-0000FA940000}"/>
    <cellStyle name="Normal 2 9 2 5 2 2 2" xfId="38136" xr:uid="{00000000-0005-0000-0000-0000FB940000}"/>
    <cellStyle name="Normal 2 9 2 5 2 2 2 2" xfId="38137" xr:uid="{00000000-0005-0000-0000-0000FC940000}"/>
    <cellStyle name="Normal 2 9 2 5 2 2 2 3" xfId="38138" xr:uid="{00000000-0005-0000-0000-0000FD940000}"/>
    <cellStyle name="Normal 2 9 2 5 2 2 3" xfId="38139" xr:uid="{00000000-0005-0000-0000-0000FE940000}"/>
    <cellStyle name="Normal 2 9 2 5 2 2 4" xfId="38140" xr:uid="{00000000-0005-0000-0000-0000FF940000}"/>
    <cellStyle name="Normal 2 9 2 5 2 2 5" xfId="38141" xr:uid="{00000000-0005-0000-0000-000000950000}"/>
    <cellStyle name="Normal 2 9 2 5 2 2 6" xfId="38142" xr:uid="{00000000-0005-0000-0000-000001950000}"/>
    <cellStyle name="Normal 2 9 2 5 2 3" xfId="38143" xr:uid="{00000000-0005-0000-0000-000002950000}"/>
    <cellStyle name="Normal 2 9 2 5 2 3 2" xfId="38144" xr:uid="{00000000-0005-0000-0000-000003950000}"/>
    <cellStyle name="Normal 2 9 2 5 2 3 2 2" xfId="38145" xr:uid="{00000000-0005-0000-0000-000004950000}"/>
    <cellStyle name="Normal 2 9 2 5 2 3 3" xfId="38146" xr:uid="{00000000-0005-0000-0000-000005950000}"/>
    <cellStyle name="Normal 2 9 2 5 2 3 4" xfId="38147" xr:uid="{00000000-0005-0000-0000-000006950000}"/>
    <cellStyle name="Normal 2 9 2 5 2 3 5" xfId="38148" xr:uid="{00000000-0005-0000-0000-000007950000}"/>
    <cellStyle name="Normal 2 9 2 5 2 4" xfId="38149" xr:uid="{00000000-0005-0000-0000-000008950000}"/>
    <cellStyle name="Normal 2 9 2 5 2 4 2" xfId="38150" xr:uid="{00000000-0005-0000-0000-000009950000}"/>
    <cellStyle name="Normal 2 9 2 5 2 4 3" xfId="38151" xr:uid="{00000000-0005-0000-0000-00000A950000}"/>
    <cellStyle name="Normal 2 9 2 5 2 4 4" xfId="38152" xr:uid="{00000000-0005-0000-0000-00000B950000}"/>
    <cellStyle name="Normal 2 9 2 5 2 5" xfId="38153" xr:uid="{00000000-0005-0000-0000-00000C950000}"/>
    <cellStyle name="Normal 2 9 2 5 2 5 2" xfId="38154" xr:uid="{00000000-0005-0000-0000-00000D950000}"/>
    <cellStyle name="Normal 2 9 2 5 2 6" xfId="38155" xr:uid="{00000000-0005-0000-0000-00000E950000}"/>
    <cellStyle name="Normal 2 9 2 5 2 7" xfId="38156" xr:uid="{00000000-0005-0000-0000-00000F950000}"/>
    <cellStyle name="Normal 2 9 2 5 2 8" xfId="38157" xr:uid="{00000000-0005-0000-0000-000010950000}"/>
    <cellStyle name="Normal 2 9 2 5 2 9" xfId="38158" xr:uid="{00000000-0005-0000-0000-000011950000}"/>
    <cellStyle name="Normal 2 9 2 5 3" xfId="38159" xr:uid="{00000000-0005-0000-0000-000012950000}"/>
    <cellStyle name="Normal 2 9 2 5 3 2" xfId="38160" xr:uid="{00000000-0005-0000-0000-000013950000}"/>
    <cellStyle name="Normal 2 9 2 5 3 2 2" xfId="38161" xr:uid="{00000000-0005-0000-0000-000014950000}"/>
    <cellStyle name="Normal 2 9 2 5 3 2 2 2" xfId="38162" xr:uid="{00000000-0005-0000-0000-000015950000}"/>
    <cellStyle name="Normal 2 9 2 5 3 2 2 3" xfId="38163" xr:uid="{00000000-0005-0000-0000-000016950000}"/>
    <cellStyle name="Normal 2 9 2 5 3 2 3" xfId="38164" xr:uid="{00000000-0005-0000-0000-000017950000}"/>
    <cellStyle name="Normal 2 9 2 5 3 2 4" xfId="38165" xr:uid="{00000000-0005-0000-0000-000018950000}"/>
    <cellStyle name="Normal 2 9 2 5 3 2 5" xfId="38166" xr:uid="{00000000-0005-0000-0000-000019950000}"/>
    <cellStyle name="Normal 2 9 2 5 3 2 6" xfId="38167" xr:uid="{00000000-0005-0000-0000-00001A950000}"/>
    <cellStyle name="Normal 2 9 2 5 3 3" xfId="38168" xr:uid="{00000000-0005-0000-0000-00001B950000}"/>
    <cellStyle name="Normal 2 9 2 5 3 3 2" xfId="38169" xr:uid="{00000000-0005-0000-0000-00001C950000}"/>
    <cellStyle name="Normal 2 9 2 5 3 3 2 2" xfId="38170" xr:uid="{00000000-0005-0000-0000-00001D950000}"/>
    <cellStyle name="Normal 2 9 2 5 3 3 3" xfId="38171" xr:uid="{00000000-0005-0000-0000-00001E950000}"/>
    <cellStyle name="Normal 2 9 2 5 3 3 4" xfId="38172" xr:uid="{00000000-0005-0000-0000-00001F950000}"/>
    <cellStyle name="Normal 2 9 2 5 3 3 5" xfId="38173" xr:uid="{00000000-0005-0000-0000-000020950000}"/>
    <cellStyle name="Normal 2 9 2 5 3 4" xfId="38174" xr:uid="{00000000-0005-0000-0000-000021950000}"/>
    <cellStyle name="Normal 2 9 2 5 3 4 2" xfId="38175" xr:uid="{00000000-0005-0000-0000-000022950000}"/>
    <cellStyle name="Normal 2 9 2 5 3 4 3" xfId="38176" xr:uid="{00000000-0005-0000-0000-000023950000}"/>
    <cellStyle name="Normal 2 9 2 5 3 4 4" xfId="38177" xr:uid="{00000000-0005-0000-0000-000024950000}"/>
    <cellStyle name="Normal 2 9 2 5 3 5" xfId="38178" xr:uid="{00000000-0005-0000-0000-000025950000}"/>
    <cellStyle name="Normal 2 9 2 5 3 5 2" xfId="38179" xr:uid="{00000000-0005-0000-0000-000026950000}"/>
    <cellStyle name="Normal 2 9 2 5 3 6" xfId="38180" xr:uid="{00000000-0005-0000-0000-000027950000}"/>
    <cellStyle name="Normal 2 9 2 5 3 7" xfId="38181" xr:uid="{00000000-0005-0000-0000-000028950000}"/>
    <cellStyle name="Normal 2 9 2 5 3 8" xfId="38182" xr:uid="{00000000-0005-0000-0000-000029950000}"/>
    <cellStyle name="Normal 2 9 2 5 3 9" xfId="38183" xr:uid="{00000000-0005-0000-0000-00002A950000}"/>
    <cellStyle name="Normal 2 9 2 5 4" xfId="38184" xr:uid="{00000000-0005-0000-0000-00002B950000}"/>
    <cellStyle name="Normal 2 9 2 5 4 2" xfId="38185" xr:uid="{00000000-0005-0000-0000-00002C950000}"/>
    <cellStyle name="Normal 2 9 2 5 4 2 2" xfId="38186" xr:uid="{00000000-0005-0000-0000-00002D950000}"/>
    <cellStyle name="Normal 2 9 2 5 4 2 3" xfId="38187" xr:uid="{00000000-0005-0000-0000-00002E950000}"/>
    <cellStyle name="Normal 2 9 2 5 4 3" xfId="38188" xr:uid="{00000000-0005-0000-0000-00002F950000}"/>
    <cellStyle name="Normal 2 9 2 5 4 4" xfId="38189" xr:uid="{00000000-0005-0000-0000-000030950000}"/>
    <cellStyle name="Normal 2 9 2 5 4 5" xfId="38190" xr:uid="{00000000-0005-0000-0000-000031950000}"/>
    <cellStyle name="Normal 2 9 2 5 4 6" xfId="38191" xr:uid="{00000000-0005-0000-0000-000032950000}"/>
    <cellStyle name="Normal 2 9 2 5 5" xfId="38192" xr:uid="{00000000-0005-0000-0000-000033950000}"/>
    <cellStyle name="Normal 2 9 2 5 5 2" xfId="38193" xr:uid="{00000000-0005-0000-0000-000034950000}"/>
    <cellStyle name="Normal 2 9 2 5 5 2 2" xfId="38194" xr:uid="{00000000-0005-0000-0000-000035950000}"/>
    <cellStyle name="Normal 2 9 2 5 5 3" xfId="38195" xr:uid="{00000000-0005-0000-0000-000036950000}"/>
    <cellStyle name="Normal 2 9 2 5 5 4" xfId="38196" xr:uid="{00000000-0005-0000-0000-000037950000}"/>
    <cellStyle name="Normal 2 9 2 5 5 5" xfId="38197" xr:uid="{00000000-0005-0000-0000-000038950000}"/>
    <cellStyle name="Normal 2 9 2 5 6" xfId="38198" xr:uid="{00000000-0005-0000-0000-000039950000}"/>
    <cellStyle name="Normal 2 9 2 5 6 2" xfId="38199" xr:uid="{00000000-0005-0000-0000-00003A950000}"/>
    <cellStyle name="Normal 2 9 2 5 6 3" xfId="38200" xr:uid="{00000000-0005-0000-0000-00003B950000}"/>
    <cellStyle name="Normal 2 9 2 5 6 4" xfId="38201" xr:uid="{00000000-0005-0000-0000-00003C950000}"/>
    <cellStyle name="Normal 2 9 2 5 7" xfId="38202" xr:uid="{00000000-0005-0000-0000-00003D950000}"/>
    <cellStyle name="Normal 2 9 2 5 7 2" xfId="38203" xr:uid="{00000000-0005-0000-0000-00003E950000}"/>
    <cellStyle name="Normal 2 9 2 5 8" xfId="38204" xr:uid="{00000000-0005-0000-0000-00003F950000}"/>
    <cellStyle name="Normal 2 9 2 5 9" xfId="38205" xr:uid="{00000000-0005-0000-0000-000040950000}"/>
    <cellStyle name="Normal 2 9 2 6" xfId="38206" xr:uid="{00000000-0005-0000-0000-000041950000}"/>
    <cellStyle name="Normal 2 9 2 6 10" xfId="38207" xr:uid="{00000000-0005-0000-0000-000042950000}"/>
    <cellStyle name="Normal 2 9 2 6 11" xfId="38208" xr:uid="{00000000-0005-0000-0000-000043950000}"/>
    <cellStyle name="Normal 2 9 2 6 2" xfId="38209" xr:uid="{00000000-0005-0000-0000-000044950000}"/>
    <cellStyle name="Normal 2 9 2 6 2 2" xfId="38210" xr:uid="{00000000-0005-0000-0000-000045950000}"/>
    <cellStyle name="Normal 2 9 2 6 2 2 2" xfId="38211" xr:uid="{00000000-0005-0000-0000-000046950000}"/>
    <cellStyle name="Normal 2 9 2 6 2 2 2 2" xfId="38212" xr:uid="{00000000-0005-0000-0000-000047950000}"/>
    <cellStyle name="Normal 2 9 2 6 2 2 2 3" xfId="38213" xr:uid="{00000000-0005-0000-0000-000048950000}"/>
    <cellStyle name="Normal 2 9 2 6 2 2 3" xfId="38214" xr:uid="{00000000-0005-0000-0000-000049950000}"/>
    <cellStyle name="Normal 2 9 2 6 2 2 4" xfId="38215" xr:uid="{00000000-0005-0000-0000-00004A950000}"/>
    <cellStyle name="Normal 2 9 2 6 2 2 5" xfId="38216" xr:uid="{00000000-0005-0000-0000-00004B950000}"/>
    <cellStyle name="Normal 2 9 2 6 2 2 6" xfId="38217" xr:uid="{00000000-0005-0000-0000-00004C950000}"/>
    <cellStyle name="Normal 2 9 2 6 2 3" xfId="38218" xr:uid="{00000000-0005-0000-0000-00004D950000}"/>
    <cellStyle name="Normal 2 9 2 6 2 3 2" xfId="38219" xr:uid="{00000000-0005-0000-0000-00004E950000}"/>
    <cellStyle name="Normal 2 9 2 6 2 3 2 2" xfId="38220" xr:uid="{00000000-0005-0000-0000-00004F950000}"/>
    <cellStyle name="Normal 2 9 2 6 2 3 3" xfId="38221" xr:uid="{00000000-0005-0000-0000-000050950000}"/>
    <cellStyle name="Normal 2 9 2 6 2 3 4" xfId="38222" xr:uid="{00000000-0005-0000-0000-000051950000}"/>
    <cellStyle name="Normal 2 9 2 6 2 3 5" xfId="38223" xr:uid="{00000000-0005-0000-0000-000052950000}"/>
    <cellStyle name="Normal 2 9 2 6 2 4" xfId="38224" xr:uid="{00000000-0005-0000-0000-000053950000}"/>
    <cellStyle name="Normal 2 9 2 6 2 4 2" xfId="38225" xr:uid="{00000000-0005-0000-0000-000054950000}"/>
    <cellStyle name="Normal 2 9 2 6 2 4 3" xfId="38226" xr:uid="{00000000-0005-0000-0000-000055950000}"/>
    <cellStyle name="Normal 2 9 2 6 2 4 4" xfId="38227" xr:uid="{00000000-0005-0000-0000-000056950000}"/>
    <cellStyle name="Normal 2 9 2 6 2 5" xfId="38228" xr:uid="{00000000-0005-0000-0000-000057950000}"/>
    <cellStyle name="Normal 2 9 2 6 2 5 2" xfId="38229" xr:uid="{00000000-0005-0000-0000-000058950000}"/>
    <cellStyle name="Normal 2 9 2 6 2 6" xfId="38230" xr:uid="{00000000-0005-0000-0000-000059950000}"/>
    <cellStyle name="Normal 2 9 2 6 2 7" xfId="38231" xr:uid="{00000000-0005-0000-0000-00005A950000}"/>
    <cellStyle name="Normal 2 9 2 6 2 8" xfId="38232" xr:uid="{00000000-0005-0000-0000-00005B950000}"/>
    <cellStyle name="Normal 2 9 2 6 2 9" xfId="38233" xr:uid="{00000000-0005-0000-0000-00005C950000}"/>
    <cellStyle name="Normal 2 9 2 6 3" xfId="38234" xr:uid="{00000000-0005-0000-0000-00005D950000}"/>
    <cellStyle name="Normal 2 9 2 6 3 2" xfId="38235" xr:uid="{00000000-0005-0000-0000-00005E950000}"/>
    <cellStyle name="Normal 2 9 2 6 3 2 2" xfId="38236" xr:uid="{00000000-0005-0000-0000-00005F950000}"/>
    <cellStyle name="Normal 2 9 2 6 3 2 2 2" xfId="38237" xr:uid="{00000000-0005-0000-0000-000060950000}"/>
    <cellStyle name="Normal 2 9 2 6 3 2 2 3" xfId="38238" xr:uid="{00000000-0005-0000-0000-000061950000}"/>
    <cellStyle name="Normal 2 9 2 6 3 2 3" xfId="38239" xr:uid="{00000000-0005-0000-0000-000062950000}"/>
    <cellStyle name="Normal 2 9 2 6 3 2 4" xfId="38240" xr:uid="{00000000-0005-0000-0000-000063950000}"/>
    <cellStyle name="Normal 2 9 2 6 3 2 5" xfId="38241" xr:uid="{00000000-0005-0000-0000-000064950000}"/>
    <cellStyle name="Normal 2 9 2 6 3 2 6" xfId="38242" xr:uid="{00000000-0005-0000-0000-000065950000}"/>
    <cellStyle name="Normal 2 9 2 6 3 3" xfId="38243" xr:uid="{00000000-0005-0000-0000-000066950000}"/>
    <cellStyle name="Normal 2 9 2 6 3 3 2" xfId="38244" xr:uid="{00000000-0005-0000-0000-000067950000}"/>
    <cellStyle name="Normal 2 9 2 6 3 3 2 2" xfId="38245" xr:uid="{00000000-0005-0000-0000-000068950000}"/>
    <cellStyle name="Normal 2 9 2 6 3 3 3" xfId="38246" xr:uid="{00000000-0005-0000-0000-000069950000}"/>
    <cellStyle name="Normal 2 9 2 6 3 3 4" xfId="38247" xr:uid="{00000000-0005-0000-0000-00006A950000}"/>
    <cellStyle name="Normal 2 9 2 6 3 3 5" xfId="38248" xr:uid="{00000000-0005-0000-0000-00006B950000}"/>
    <cellStyle name="Normal 2 9 2 6 3 4" xfId="38249" xr:uid="{00000000-0005-0000-0000-00006C950000}"/>
    <cellStyle name="Normal 2 9 2 6 3 4 2" xfId="38250" xr:uid="{00000000-0005-0000-0000-00006D950000}"/>
    <cellStyle name="Normal 2 9 2 6 3 4 3" xfId="38251" xr:uid="{00000000-0005-0000-0000-00006E950000}"/>
    <cellStyle name="Normal 2 9 2 6 3 4 4" xfId="38252" xr:uid="{00000000-0005-0000-0000-00006F950000}"/>
    <cellStyle name="Normal 2 9 2 6 3 5" xfId="38253" xr:uid="{00000000-0005-0000-0000-000070950000}"/>
    <cellStyle name="Normal 2 9 2 6 3 5 2" xfId="38254" xr:uid="{00000000-0005-0000-0000-000071950000}"/>
    <cellStyle name="Normal 2 9 2 6 3 6" xfId="38255" xr:uid="{00000000-0005-0000-0000-000072950000}"/>
    <cellStyle name="Normal 2 9 2 6 3 7" xfId="38256" xr:uid="{00000000-0005-0000-0000-000073950000}"/>
    <cellStyle name="Normal 2 9 2 6 3 8" xfId="38257" xr:uid="{00000000-0005-0000-0000-000074950000}"/>
    <cellStyle name="Normal 2 9 2 6 3 9" xfId="38258" xr:uid="{00000000-0005-0000-0000-000075950000}"/>
    <cellStyle name="Normal 2 9 2 6 4" xfId="38259" xr:uid="{00000000-0005-0000-0000-000076950000}"/>
    <cellStyle name="Normal 2 9 2 6 4 2" xfId="38260" xr:uid="{00000000-0005-0000-0000-000077950000}"/>
    <cellStyle name="Normal 2 9 2 6 4 2 2" xfId="38261" xr:uid="{00000000-0005-0000-0000-000078950000}"/>
    <cellStyle name="Normal 2 9 2 6 4 2 3" xfId="38262" xr:uid="{00000000-0005-0000-0000-000079950000}"/>
    <cellStyle name="Normal 2 9 2 6 4 3" xfId="38263" xr:uid="{00000000-0005-0000-0000-00007A950000}"/>
    <cellStyle name="Normal 2 9 2 6 4 4" xfId="38264" xr:uid="{00000000-0005-0000-0000-00007B950000}"/>
    <cellStyle name="Normal 2 9 2 6 4 5" xfId="38265" xr:uid="{00000000-0005-0000-0000-00007C950000}"/>
    <cellStyle name="Normal 2 9 2 6 4 6" xfId="38266" xr:uid="{00000000-0005-0000-0000-00007D950000}"/>
    <cellStyle name="Normal 2 9 2 6 5" xfId="38267" xr:uid="{00000000-0005-0000-0000-00007E950000}"/>
    <cellStyle name="Normal 2 9 2 6 5 2" xfId="38268" xr:uid="{00000000-0005-0000-0000-00007F950000}"/>
    <cellStyle name="Normal 2 9 2 6 5 2 2" xfId="38269" xr:uid="{00000000-0005-0000-0000-000080950000}"/>
    <cellStyle name="Normal 2 9 2 6 5 3" xfId="38270" xr:uid="{00000000-0005-0000-0000-000081950000}"/>
    <cellStyle name="Normal 2 9 2 6 5 4" xfId="38271" xr:uid="{00000000-0005-0000-0000-000082950000}"/>
    <cellStyle name="Normal 2 9 2 6 5 5" xfId="38272" xr:uid="{00000000-0005-0000-0000-000083950000}"/>
    <cellStyle name="Normal 2 9 2 6 6" xfId="38273" xr:uid="{00000000-0005-0000-0000-000084950000}"/>
    <cellStyle name="Normal 2 9 2 6 6 2" xfId="38274" xr:uid="{00000000-0005-0000-0000-000085950000}"/>
    <cellStyle name="Normal 2 9 2 6 6 3" xfId="38275" xr:uid="{00000000-0005-0000-0000-000086950000}"/>
    <cellStyle name="Normal 2 9 2 6 6 4" xfId="38276" xr:uid="{00000000-0005-0000-0000-000087950000}"/>
    <cellStyle name="Normal 2 9 2 6 7" xfId="38277" xr:uid="{00000000-0005-0000-0000-000088950000}"/>
    <cellStyle name="Normal 2 9 2 6 7 2" xfId="38278" xr:uid="{00000000-0005-0000-0000-000089950000}"/>
    <cellStyle name="Normal 2 9 2 6 8" xfId="38279" xr:uid="{00000000-0005-0000-0000-00008A950000}"/>
    <cellStyle name="Normal 2 9 2 6 9" xfId="38280" xr:uid="{00000000-0005-0000-0000-00008B950000}"/>
    <cellStyle name="Normal 2 9 2 7" xfId="38281" xr:uid="{00000000-0005-0000-0000-00008C950000}"/>
    <cellStyle name="Normal 2 9 2 7 10" xfId="38282" xr:uid="{00000000-0005-0000-0000-00008D950000}"/>
    <cellStyle name="Normal 2 9 2 7 11" xfId="38283" xr:uid="{00000000-0005-0000-0000-00008E950000}"/>
    <cellStyle name="Normal 2 9 2 7 2" xfId="38284" xr:uid="{00000000-0005-0000-0000-00008F950000}"/>
    <cellStyle name="Normal 2 9 2 7 2 2" xfId="38285" xr:uid="{00000000-0005-0000-0000-000090950000}"/>
    <cellStyle name="Normal 2 9 2 7 2 2 2" xfId="38286" xr:uid="{00000000-0005-0000-0000-000091950000}"/>
    <cellStyle name="Normal 2 9 2 7 2 2 2 2" xfId="38287" xr:uid="{00000000-0005-0000-0000-000092950000}"/>
    <cellStyle name="Normal 2 9 2 7 2 2 2 3" xfId="38288" xr:uid="{00000000-0005-0000-0000-000093950000}"/>
    <cellStyle name="Normal 2 9 2 7 2 2 3" xfId="38289" xr:uid="{00000000-0005-0000-0000-000094950000}"/>
    <cellStyle name="Normal 2 9 2 7 2 2 4" xfId="38290" xr:uid="{00000000-0005-0000-0000-000095950000}"/>
    <cellStyle name="Normal 2 9 2 7 2 2 5" xfId="38291" xr:uid="{00000000-0005-0000-0000-000096950000}"/>
    <cellStyle name="Normal 2 9 2 7 2 2 6" xfId="38292" xr:uid="{00000000-0005-0000-0000-000097950000}"/>
    <cellStyle name="Normal 2 9 2 7 2 3" xfId="38293" xr:uid="{00000000-0005-0000-0000-000098950000}"/>
    <cellStyle name="Normal 2 9 2 7 2 3 2" xfId="38294" xr:uid="{00000000-0005-0000-0000-000099950000}"/>
    <cellStyle name="Normal 2 9 2 7 2 3 2 2" xfId="38295" xr:uid="{00000000-0005-0000-0000-00009A950000}"/>
    <cellStyle name="Normal 2 9 2 7 2 3 3" xfId="38296" xr:uid="{00000000-0005-0000-0000-00009B950000}"/>
    <cellStyle name="Normal 2 9 2 7 2 3 4" xfId="38297" xr:uid="{00000000-0005-0000-0000-00009C950000}"/>
    <cellStyle name="Normal 2 9 2 7 2 3 5" xfId="38298" xr:uid="{00000000-0005-0000-0000-00009D950000}"/>
    <cellStyle name="Normal 2 9 2 7 2 4" xfId="38299" xr:uid="{00000000-0005-0000-0000-00009E950000}"/>
    <cellStyle name="Normal 2 9 2 7 2 4 2" xfId="38300" xr:uid="{00000000-0005-0000-0000-00009F950000}"/>
    <cellStyle name="Normal 2 9 2 7 2 4 3" xfId="38301" xr:uid="{00000000-0005-0000-0000-0000A0950000}"/>
    <cellStyle name="Normal 2 9 2 7 2 4 4" xfId="38302" xr:uid="{00000000-0005-0000-0000-0000A1950000}"/>
    <cellStyle name="Normal 2 9 2 7 2 5" xfId="38303" xr:uid="{00000000-0005-0000-0000-0000A2950000}"/>
    <cellStyle name="Normal 2 9 2 7 2 5 2" xfId="38304" xr:uid="{00000000-0005-0000-0000-0000A3950000}"/>
    <cellStyle name="Normal 2 9 2 7 2 6" xfId="38305" xr:uid="{00000000-0005-0000-0000-0000A4950000}"/>
    <cellStyle name="Normal 2 9 2 7 2 7" xfId="38306" xr:uid="{00000000-0005-0000-0000-0000A5950000}"/>
    <cellStyle name="Normal 2 9 2 7 2 8" xfId="38307" xr:uid="{00000000-0005-0000-0000-0000A6950000}"/>
    <cellStyle name="Normal 2 9 2 7 2 9" xfId="38308" xr:uid="{00000000-0005-0000-0000-0000A7950000}"/>
    <cellStyle name="Normal 2 9 2 7 3" xfId="38309" xr:uid="{00000000-0005-0000-0000-0000A8950000}"/>
    <cellStyle name="Normal 2 9 2 7 3 2" xfId="38310" xr:uid="{00000000-0005-0000-0000-0000A9950000}"/>
    <cellStyle name="Normal 2 9 2 7 3 2 2" xfId="38311" xr:uid="{00000000-0005-0000-0000-0000AA950000}"/>
    <cellStyle name="Normal 2 9 2 7 3 2 2 2" xfId="38312" xr:uid="{00000000-0005-0000-0000-0000AB950000}"/>
    <cellStyle name="Normal 2 9 2 7 3 2 2 3" xfId="38313" xr:uid="{00000000-0005-0000-0000-0000AC950000}"/>
    <cellStyle name="Normal 2 9 2 7 3 2 3" xfId="38314" xr:uid="{00000000-0005-0000-0000-0000AD950000}"/>
    <cellStyle name="Normal 2 9 2 7 3 2 4" xfId="38315" xr:uid="{00000000-0005-0000-0000-0000AE950000}"/>
    <cellStyle name="Normal 2 9 2 7 3 2 5" xfId="38316" xr:uid="{00000000-0005-0000-0000-0000AF950000}"/>
    <cellStyle name="Normal 2 9 2 7 3 2 6" xfId="38317" xr:uid="{00000000-0005-0000-0000-0000B0950000}"/>
    <cellStyle name="Normal 2 9 2 7 3 3" xfId="38318" xr:uid="{00000000-0005-0000-0000-0000B1950000}"/>
    <cellStyle name="Normal 2 9 2 7 3 3 2" xfId="38319" xr:uid="{00000000-0005-0000-0000-0000B2950000}"/>
    <cellStyle name="Normal 2 9 2 7 3 3 2 2" xfId="38320" xr:uid="{00000000-0005-0000-0000-0000B3950000}"/>
    <cellStyle name="Normal 2 9 2 7 3 3 3" xfId="38321" xr:uid="{00000000-0005-0000-0000-0000B4950000}"/>
    <cellStyle name="Normal 2 9 2 7 3 3 4" xfId="38322" xr:uid="{00000000-0005-0000-0000-0000B5950000}"/>
    <cellStyle name="Normal 2 9 2 7 3 3 5" xfId="38323" xr:uid="{00000000-0005-0000-0000-0000B6950000}"/>
    <cellStyle name="Normal 2 9 2 7 3 4" xfId="38324" xr:uid="{00000000-0005-0000-0000-0000B7950000}"/>
    <cellStyle name="Normal 2 9 2 7 3 4 2" xfId="38325" xr:uid="{00000000-0005-0000-0000-0000B8950000}"/>
    <cellStyle name="Normal 2 9 2 7 3 4 3" xfId="38326" xr:uid="{00000000-0005-0000-0000-0000B9950000}"/>
    <cellStyle name="Normal 2 9 2 7 3 4 4" xfId="38327" xr:uid="{00000000-0005-0000-0000-0000BA950000}"/>
    <cellStyle name="Normal 2 9 2 7 3 5" xfId="38328" xr:uid="{00000000-0005-0000-0000-0000BB950000}"/>
    <cellStyle name="Normal 2 9 2 7 3 5 2" xfId="38329" xr:uid="{00000000-0005-0000-0000-0000BC950000}"/>
    <cellStyle name="Normal 2 9 2 7 3 6" xfId="38330" xr:uid="{00000000-0005-0000-0000-0000BD950000}"/>
    <cellStyle name="Normal 2 9 2 7 3 7" xfId="38331" xr:uid="{00000000-0005-0000-0000-0000BE950000}"/>
    <cellStyle name="Normal 2 9 2 7 3 8" xfId="38332" xr:uid="{00000000-0005-0000-0000-0000BF950000}"/>
    <cellStyle name="Normal 2 9 2 7 3 9" xfId="38333" xr:uid="{00000000-0005-0000-0000-0000C0950000}"/>
    <cellStyle name="Normal 2 9 2 7 4" xfId="38334" xr:uid="{00000000-0005-0000-0000-0000C1950000}"/>
    <cellStyle name="Normal 2 9 2 7 4 2" xfId="38335" xr:uid="{00000000-0005-0000-0000-0000C2950000}"/>
    <cellStyle name="Normal 2 9 2 7 4 2 2" xfId="38336" xr:uid="{00000000-0005-0000-0000-0000C3950000}"/>
    <cellStyle name="Normal 2 9 2 7 4 2 3" xfId="38337" xr:uid="{00000000-0005-0000-0000-0000C4950000}"/>
    <cellStyle name="Normal 2 9 2 7 4 3" xfId="38338" xr:uid="{00000000-0005-0000-0000-0000C5950000}"/>
    <cellStyle name="Normal 2 9 2 7 4 4" xfId="38339" xr:uid="{00000000-0005-0000-0000-0000C6950000}"/>
    <cellStyle name="Normal 2 9 2 7 4 5" xfId="38340" xr:uid="{00000000-0005-0000-0000-0000C7950000}"/>
    <cellStyle name="Normal 2 9 2 7 4 6" xfId="38341" xr:uid="{00000000-0005-0000-0000-0000C8950000}"/>
    <cellStyle name="Normal 2 9 2 7 5" xfId="38342" xr:uid="{00000000-0005-0000-0000-0000C9950000}"/>
    <cellStyle name="Normal 2 9 2 7 5 2" xfId="38343" xr:uid="{00000000-0005-0000-0000-0000CA950000}"/>
    <cellStyle name="Normal 2 9 2 7 5 2 2" xfId="38344" xr:uid="{00000000-0005-0000-0000-0000CB950000}"/>
    <cellStyle name="Normal 2 9 2 7 5 3" xfId="38345" xr:uid="{00000000-0005-0000-0000-0000CC950000}"/>
    <cellStyle name="Normal 2 9 2 7 5 4" xfId="38346" xr:uid="{00000000-0005-0000-0000-0000CD950000}"/>
    <cellStyle name="Normal 2 9 2 7 5 5" xfId="38347" xr:uid="{00000000-0005-0000-0000-0000CE950000}"/>
    <cellStyle name="Normal 2 9 2 7 6" xfId="38348" xr:uid="{00000000-0005-0000-0000-0000CF950000}"/>
    <cellStyle name="Normal 2 9 2 7 6 2" xfId="38349" xr:uid="{00000000-0005-0000-0000-0000D0950000}"/>
    <cellStyle name="Normal 2 9 2 7 6 3" xfId="38350" xr:uid="{00000000-0005-0000-0000-0000D1950000}"/>
    <cellStyle name="Normal 2 9 2 7 6 4" xfId="38351" xr:uid="{00000000-0005-0000-0000-0000D2950000}"/>
    <cellStyle name="Normal 2 9 2 7 7" xfId="38352" xr:uid="{00000000-0005-0000-0000-0000D3950000}"/>
    <cellStyle name="Normal 2 9 2 7 7 2" xfId="38353" xr:uid="{00000000-0005-0000-0000-0000D4950000}"/>
    <cellStyle name="Normal 2 9 2 7 8" xfId="38354" xr:uid="{00000000-0005-0000-0000-0000D5950000}"/>
    <cellStyle name="Normal 2 9 2 7 9" xfId="38355" xr:uid="{00000000-0005-0000-0000-0000D6950000}"/>
    <cellStyle name="Normal 2 9 2 8" xfId="38356" xr:uid="{00000000-0005-0000-0000-0000D7950000}"/>
    <cellStyle name="Normal 2 9 2 8 10" xfId="38357" xr:uid="{00000000-0005-0000-0000-0000D8950000}"/>
    <cellStyle name="Normal 2 9 2 8 2" xfId="38358" xr:uid="{00000000-0005-0000-0000-0000D9950000}"/>
    <cellStyle name="Normal 2 9 2 8 2 2" xfId="38359" xr:uid="{00000000-0005-0000-0000-0000DA950000}"/>
    <cellStyle name="Normal 2 9 2 8 2 2 2" xfId="38360" xr:uid="{00000000-0005-0000-0000-0000DB950000}"/>
    <cellStyle name="Normal 2 9 2 8 2 2 3" xfId="38361" xr:uid="{00000000-0005-0000-0000-0000DC950000}"/>
    <cellStyle name="Normal 2 9 2 8 2 3" xfId="38362" xr:uid="{00000000-0005-0000-0000-0000DD950000}"/>
    <cellStyle name="Normal 2 9 2 8 2 4" xfId="38363" xr:uid="{00000000-0005-0000-0000-0000DE950000}"/>
    <cellStyle name="Normal 2 9 2 8 2 5" xfId="38364" xr:uid="{00000000-0005-0000-0000-0000DF950000}"/>
    <cellStyle name="Normal 2 9 2 8 2 6" xfId="38365" xr:uid="{00000000-0005-0000-0000-0000E0950000}"/>
    <cellStyle name="Normal 2 9 2 8 3" xfId="38366" xr:uid="{00000000-0005-0000-0000-0000E1950000}"/>
    <cellStyle name="Normal 2 9 2 8 3 2" xfId="38367" xr:uid="{00000000-0005-0000-0000-0000E2950000}"/>
    <cellStyle name="Normal 2 9 2 8 3 2 2" xfId="38368" xr:uid="{00000000-0005-0000-0000-0000E3950000}"/>
    <cellStyle name="Normal 2 9 2 8 3 2 3" xfId="38369" xr:uid="{00000000-0005-0000-0000-0000E4950000}"/>
    <cellStyle name="Normal 2 9 2 8 3 3" xfId="38370" xr:uid="{00000000-0005-0000-0000-0000E5950000}"/>
    <cellStyle name="Normal 2 9 2 8 3 4" xfId="38371" xr:uid="{00000000-0005-0000-0000-0000E6950000}"/>
    <cellStyle name="Normal 2 9 2 8 3 5" xfId="38372" xr:uid="{00000000-0005-0000-0000-0000E7950000}"/>
    <cellStyle name="Normal 2 9 2 8 3 6" xfId="38373" xr:uid="{00000000-0005-0000-0000-0000E8950000}"/>
    <cellStyle name="Normal 2 9 2 8 4" xfId="38374" xr:uid="{00000000-0005-0000-0000-0000E9950000}"/>
    <cellStyle name="Normal 2 9 2 8 4 2" xfId="38375" xr:uid="{00000000-0005-0000-0000-0000EA950000}"/>
    <cellStyle name="Normal 2 9 2 8 4 2 2" xfId="38376" xr:uid="{00000000-0005-0000-0000-0000EB950000}"/>
    <cellStyle name="Normal 2 9 2 8 4 3" xfId="38377" xr:uid="{00000000-0005-0000-0000-0000EC950000}"/>
    <cellStyle name="Normal 2 9 2 8 4 4" xfId="38378" xr:uid="{00000000-0005-0000-0000-0000ED950000}"/>
    <cellStyle name="Normal 2 9 2 8 4 5" xfId="38379" xr:uid="{00000000-0005-0000-0000-0000EE950000}"/>
    <cellStyle name="Normal 2 9 2 8 5" xfId="38380" xr:uid="{00000000-0005-0000-0000-0000EF950000}"/>
    <cellStyle name="Normal 2 9 2 8 5 2" xfId="38381" xr:uid="{00000000-0005-0000-0000-0000F0950000}"/>
    <cellStyle name="Normal 2 9 2 8 5 3" xfId="38382" xr:uid="{00000000-0005-0000-0000-0000F1950000}"/>
    <cellStyle name="Normal 2 9 2 8 5 4" xfId="38383" xr:uid="{00000000-0005-0000-0000-0000F2950000}"/>
    <cellStyle name="Normal 2 9 2 8 6" xfId="38384" xr:uid="{00000000-0005-0000-0000-0000F3950000}"/>
    <cellStyle name="Normal 2 9 2 8 6 2" xfId="38385" xr:uid="{00000000-0005-0000-0000-0000F4950000}"/>
    <cellStyle name="Normal 2 9 2 8 7" xfId="38386" xr:uid="{00000000-0005-0000-0000-0000F5950000}"/>
    <cellStyle name="Normal 2 9 2 8 8" xfId="38387" xr:uid="{00000000-0005-0000-0000-0000F6950000}"/>
    <cellStyle name="Normal 2 9 2 8 9" xfId="38388" xr:uid="{00000000-0005-0000-0000-0000F7950000}"/>
    <cellStyle name="Normal 2 9 2 9" xfId="38389" xr:uid="{00000000-0005-0000-0000-0000F8950000}"/>
    <cellStyle name="Normal 2 9 2 9 10" xfId="38390" xr:uid="{00000000-0005-0000-0000-0000F9950000}"/>
    <cellStyle name="Normal 2 9 2 9 2" xfId="38391" xr:uid="{00000000-0005-0000-0000-0000FA950000}"/>
    <cellStyle name="Normal 2 9 2 9 2 2" xfId="38392" xr:uid="{00000000-0005-0000-0000-0000FB950000}"/>
    <cellStyle name="Normal 2 9 2 9 2 2 2" xfId="38393" xr:uid="{00000000-0005-0000-0000-0000FC950000}"/>
    <cellStyle name="Normal 2 9 2 9 2 2 3" xfId="38394" xr:uid="{00000000-0005-0000-0000-0000FD950000}"/>
    <cellStyle name="Normal 2 9 2 9 2 3" xfId="38395" xr:uid="{00000000-0005-0000-0000-0000FE950000}"/>
    <cellStyle name="Normal 2 9 2 9 2 4" xfId="38396" xr:uid="{00000000-0005-0000-0000-0000FF950000}"/>
    <cellStyle name="Normal 2 9 2 9 2 5" xfId="38397" xr:uid="{00000000-0005-0000-0000-000000960000}"/>
    <cellStyle name="Normal 2 9 2 9 2 6" xfId="38398" xr:uid="{00000000-0005-0000-0000-000001960000}"/>
    <cellStyle name="Normal 2 9 2 9 3" xfId="38399" xr:uid="{00000000-0005-0000-0000-000002960000}"/>
    <cellStyle name="Normal 2 9 2 9 3 2" xfId="38400" xr:uid="{00000000-0005-0000-0000-000003960000}"/>
    <cellStyle name="Normal 2 9 2 9 3 2 2" xfId="38401" xr:uid="{00000000-0005-0000-0000-000004960000}"/>
    <cellStyle name="Normal 2 9 2 9 3 2 3" xfId="38402" xr:uid="{00000000-0005-0000-0000-000005960000}"/>
    <cellStyle name="Normal 2 9 2 9 3 3" xfId="38403" xr:uid="{00000000-0005-0000-0000-000006960000}"/>
    <cellStyle name="Normal 2 9 2 9 3 4" xfId="38404" xr:uid="{00000000-0005-0000-0000-000007960000}"/>
    <cellStyle name="Normal 2 9 2 9 3 5" xfId="38405" xr:uid="{00000000-0005-0000-0000-000008960000}"/>
    <cellStyle name="Normal 2 9 2 9 3 6" xfId="38406" xr:uid="{00000000-0005-0000-0000-000009960000}"/>
    <cellStyle name="Normal 2 9 2 9 4" xfId="38407" xr:uid="{00000000-0005-0000-0000-00000A960000}"/>
    <cellStyle name="Normal 2 9 2 9 4 2" xfId="38408" xr:uid="{00000000-0005-0000-0000-00000B960000}"/>
    <cellStyle name="Normal 2 9 2 9 4 2 2" xfId="38409" xr:uid="{00000000-0005-0000-0000-00000C960000}"/>
    <cellStyle name="Normal 2 9 2 9 4 3" xfId="38410" xr:uid="{00000000-0005-0000-0000-00000D960000}"/>
    <cellStyle name="Normal 2 9 2 9 4 4" xfId="38411" xr:uid="{00000000-0005-0000-0000-00000E960000}"/>
    <cellStyle name="Normal 2 9 2 9 4 5" xfId="38412" xr:uid="{00000000-0005-0000-0000-00000F960000}"/>
    <cellStyle name="Normal 2 9 2 9 5" xfId="38413" xr:uid="{00000000-0005-0000-0000-000010960000}"/>
    <cellStyle name="Normal 2 9 2 9 5 2" xfId="38414" xr:uid="{00000000-0005-0000-0000-000011960000}"/>
    <cellStyle name="Normal 2 9 2 9 5 3" xfId="38415" xr:uid="{00000000-0005-0000-0000-000012960000}"/>
    <cellStyle name="Normal 2 9 2 9 5 4" xfId="38416" xr:uid="{00000000-0005-0000-0000-000013960000}"/>
    <cellStyle name="Normal 2 9 2 9 6" xfId="38417" xr:uid="{00000000-0005-0000-0000-000014960000}"/>
    <cellStyle name="Normal 2 9 2 9 6 2" xfId="38418" xr:uid="{00000000-0005-0000-0000-000015960000}"/>
    <cellStyle name="Normal 2 9 2 9 7" xfId="38419" xr:uid="{00000000-0005-0000-0000-000016960000}"/>
    <cellStyle name="Normal 2 9 2 9 8" xfId="38420" xr:uid="{00000000-0005-0000-0000-000017960000}"/>
    <cellStyle name="Normal 2 9 2 9 9" xfId="38421" xr:uid="{00000000-0005-0000-0000-000018960000}"/>
    <cellStyle name="Normal 2 9 3" xfId="38422" xr:uid="{00000000-0005-0000-0000-000019960000}"/>
    <cellStyle name="Normal 2 9 3 2" xfId="38423" xr:uid="{00000000-0005-0000-0000-00001A960000}"/>
    <cellStyle name="Normal 2 9 4" xfId="38424" xr:uid="{00000000-0005-0000-0000-00001B960000}"/>
    <cellStyle name="Normal 2 9 5" xfId="38425" xr:uid="{00000000-0005-0000-0000-00001C960000}"/>
    <cellStyle name="Normal 2 9 6" xfId="38426" xr:uid="{00000000-0005-0000-0000-00001D960000}"/>
    <cellStyle name="Normal 2 9 7" xfId="38427" xr:uid="{00000000-0005-0000-0000-00001E960000}"/>
    <cellStyle name="Normal 2 9 8" xfId="38428" xr:uid="{00000000-0005-0000-0000-00001F960000}"/>
    <cellStyle name="Normal 20" xfId="38429" xr:uid="{00000000-0005-0000-0000-000020960000}"/>
    <cellStyle name="Normal 20 2" xfId="38430" xr:uid="{00000000-0005-0000-0000-000021960000}"/>
    <cellStyle name="Normal 20 2 2" xfId="38431" xr:uid="{00000000-0005-0000-0000-000022960000}"/>
    <cellStyle name="Normal 20 2 3" xfId="38432" xr:uid="{00000000-0005-0000-0000-000023960000}"/>
    <cellStyle name="Normal 20 3" xfId="38433" xr:uid="{00000000-0005-0000-0000-000024960000}"/>
    <cellStyle name="Normal 20 4" xfId="38434" xr:uid="{00000000-0005-0000-0000-000025960000}"/>
    <cellStyle name="Normal 21" xfId="38435" xr:uid="{00000000-0005-0000-0000-000026960000}"/>
    <cellStyle name="Normal 21 2" xfId="38436" xr:uid="{00000000-0005-0000-0000-000027960000}"/>
    <cellStyle name="Normal 21 3" xfId="38437" xr:uid="{00000000-0005-0000-0000-000028960000}"/>
    <cellStyle name="Normal 22" xfId="38438" xr:uid="{00000000-0005-0000-0000-000029960000}"/>
    <cellStyle name="Normal 22 2" xfId="38439" xr:uid="{00000000-0005-0000-0000-00002A960000}"/>
    <cellStyle name="Normal 23" xfId="38440" xr:uid="{00000000-0005-0000-0000-00002B960000}"/>
    <cellStyle name="Normal 24" xfId="38441" xr:uid="{00000000-0005-0000-0000-00002C960000}"/>
    <cellStyle name="Normal 25" xfId="38442" xr:uid="{00000000-0005-0000-0000-00002D960000}"/>
    <cellStyle name="Normal 26" xfId="38443" xr:uid="{00000000-0005-0000-0000-00002E960000}"/>
    <cellStyle name="Normal 27" xfId="38444" xr:uid="{00000000-0005-0000-0000-00002F960000}"/>
    <cellStyle name="Normal 28" xfId="38445" xr:uid="{00000000-0005-0000-0000-000030960000}"/>
    <cellStyle name="Normal 29" xfId="38446" xr:uid="{00000000-0005-0000-0000-000031960000}"/>
    <cellStyle name="Normal 3" xfId="38447" xr:uid="{00000000-0005-0000-0000-000032960000}"/>
    <cellStyle name="Normal 3 10" xfId="38448" xr:uid="{00000000-0005-0000-0000-000033960000}"/>
    <cellStyle name="Normal 3 10 2" xfId="38449" xr:uid="{00000000-0005-0000-0000-000034960000}"/>
    <cellStyle name="Normal 3 11" xfId="38450" xr:uid="{00000000-0005-0000-0000-000035960000}"/>
    <cellStyle name="Normal 3 11 2" xfId="38451" xr:uid="{00000000-0005-0000-0000-000036960000}"/>
    <cellStyle name="Normal 3 12" xfId="38452" xr:uid="{00000000-0005-0000-0000-000037960000}"/>
    <cellStyle name="Normal 3 13" xfId="38453" xr:uid="{00000000-0005-0000-0000-000038960000}"/>
    <cellStyle name="Normal 3 14" xfId="38454" xr:uid="{00000000-0005-0000-0000-000039960000}"/>
    <cellStyle name="Normal 3 15" xfId="38455" xr:uid="{00000000-0005-0000-0000-00003A960000}"/>
    <cellStyle name="Normal 3 16" xfId="38456" xr:uid="{00000000-0005-0000-0000-00003B960000}"/>
    <cellStyle name="Normal 3 17" xfId="38457" xr:uid="{00000000-0005-0000-0000-00003C960000}"/>
    <cellStyle name="Normal 3 18" xfId="38458" xr:uid="{00000000-0005-0000-0000-00003D960000}"/>
    <cellStyle name="Normal 3 19" xfId="38459" xr:uid="{00000000-0005-0000-0000-00003E960000}"/>
    <cellStyle name="Normal 3 2" xfId="38460" xr:uid="{00000000-0005-0000-0000-00003F960000}"/>
    <cellStyle name="Normal 3 2 2" xfId="38461" xr:uid="{00000000-0005-0000-0000-000040960000}"/>
    <cellStyle name="Normal 3 2 2 2" xfId="38462" xr:uid="{00000000-0005-0000-0000-000041960000}"/>
    <cellStyle name="Normal 3 2 2 2 2" xfId="38463" xr:uid="{00000000-0005-0000-0000-000042960000}"/>
    <cellStyle name="Normal 3 2 2 2 3" xfId="38464" xr:uid="{00000000-0005-0000-0000-000043960000}"/>
    <cellStyle name="Normal 3 2 2 3" xfId="38465" xr:uid="{00000000-0005-0000-0000-000044960000}"/>
    <cellStyle name="Normal 3 2 2 3 2" xfId="38466" xr:uid="{00000000-0005-0000-0000-000045960000}"/>
    <cellStyle name="Normal 3 2 2 4" xfId="38467" xr:uid="{00000000-0005-0000-0000-000046960000}"/>
    <cellStyle name="Normal 3 2 2 5" xfId="38468" xr:uid="{00000000-0005-0000-0000-000047960000}"/>
    <cellStyle name="Normal 3 2 2 6" xfId="38469" xr:uid="{00000000-0005-0000-0000-000048960000}"/>
    <cellStyle name="Normal 3 2 2 7" xfId="38470" xr:uid="{00000000-0005-0000-0000-000049960000}"/>
    <cellStyle name="Normal 3 2 3" xfId="38471" xr:uid="{00000000-0005-0000-0000-00004A960000}"/>
    <cellStyle name="Normal 3 2 3 2" xfId="38472" xr:uid="{00000000-0005-0000-0000-00004B960000}"/>
    <cellStyle name="Normal 3 2 3 3" xfId="38473" xr:uid="{00000000-0005-0000-0000-00004C960000}"/>
    <cellStyle name="Normal 3 2 3 4" xfId="38474" xr:uid="{00000000-0005-0000-0000-00004D960000}"/>
    <cellStyle name="Normal 3 2 3 5" xfId="38475" xr:uid="{00000000-0005-0000-0000-00004E960000}"/>
    <cellStyle name="Normal 3 2 4" xfId="38476" xr:uid="{00000000-0005-0000-0000-00004F960000}"/>
    <cellStyle name="Normal 3 2 4 2" xfId="38477" xr:uid="{00000000-0005-0000-0000-000050960000}"/>
    <cellStyle name="Normal 3 2 4 3" xfId="38478" xr:uid="{00000000-0005-0000-0000-000051960000}"/>
    <cellStyle name="Normal 3 2 4 4" xfId="38479" xr:uid="{00000000-0005-0000-0000-000052960000}"/>
    <cellStyle name="Normal 3 2 5" xfId="38480" xr:uid="{00000000-0005-0000-0000-000053960000}"/>
    <cellStyle name="Normal 3 2 5 2" xfId="38481" xr:uid="{00000000-0005-0000-0000-000054960000}"/>
    <cellStyle name="Normal 3 2 5 3" xfId="38482" xr:uid="{00000000-0005-0000-0000-000055960000}"/>
    <cellStyle name="Normal 3 2 5 4" xfId="38483" xr:uid="{00000000-0005-0000-0000-000056960000}"/>
    <cellStyle name="Normal 3 2 6" xfId="38484" xr:uid="{00000000-0005-0000-0000-000057960000}"/>
    <cellStyle name="Normal 3 2 7" xfId="38485" xr:uid="{00000000-0005-0000-0000-000058960000}"/>
    <cellStyle name="Normal 3 2 8" xfId="38486" xr:uid="{00000000-0005-0000-0000-000059960000}"/>
    <cellStyle name="Normal 3 20" xfId="38487" xr:uid="{00000000-0005-0000-0000-00005A960000}"/>
    <cellStyle name="Normal 3 21" xfId="38488" xr:uid="{00000000-0005-0000-0000-00005B960000}"/>
    <cellStyle name="Normal 3 22" xfId="38489" xr:uid="{00000000-0005-0000-0000-00005C960000}"/>
    <cellStyle name="Normal 3 23" xfId="38490" xr:uid="{00000000-0005-0000-0000-00005D960000}"/>
    <cellStyle name="Normal 3 24" xfId="38491" xr:uid="{00000000-0005-0000-0000-00005E960000}"/>
    <cellStyle name="Normal 3 25" xfId="38492" xr:uid="{00000000-0005-0000-0000-00005F960000}"/>
    <cellStyle name="Normal 3 26" xfId="38493" xr:uid="{00000000-0005-0000-0000-000060960000}"/>
    <cellStyle name="Normal 3 27" xfId="38494" xr:uid="{00000000-0005-0000-0000-000061960000}"/>
    <cellStyle name="Normal 3 28" xfId="38495" xr:uid="{00000000-0005-0000-0000-000062960000}"/>
    <cellStyle name="Normal 3 29" xfId="38496" xr:uid="{00000000-0005-0000-0000-000063960000}"/>
    <cellStyle name="Normal 3 3" xfId="38497" xr:uid="{00000000-0005-0000-0000-000064960000}"/>
    <cellStyle name="Normal 3 3 2" xfId="38498" xr:uid="{00000000-0005-0000-0000-000065960000}"/>
    <cellStyle name="Normal 3 3 3" xfId="38499" xr:uid="{00000000-0005-0000-0000-000066960000}"/>
    <cellStyle name="Normal 3 30" xfId="38500" xr:uid="{00000000-0005-0000-0000-000067960000}"/>
    <cellStyle name="Normal 3 31" xfId="38501" xr:uid="{00000000-0005-0000-0000-000068960000}"/>
    <cellStyle name="Normal 3 32" xfId="38502" xr:uid="{00000000-0005-0000-0000-000069960000}"/>
    <cellStyle name="Normal 3 33" xfId="38503" xr:uid="{00000000-0005-0000-0000-00006A960000}"/>
    <cellStyle name="Normal 3 34" xfId="38504" xr:uid="{00000000-0005-0000-0000-00006B960000}"/>
    <cellStyle name="Normal 3 35" xfId="38505" xr:uid="{00000000-0005-0000-0000-00006C960000}"/>
    <cellStyle name="Normal 3 36" xfId="38506" xr:uid="{00000000-0005-0000-0000-00006D960000}"/>
    <cellStyle name="Normal 3 37" xfId="38507" xr:uid="{00000000-0005-0000-0000-00006E960000}"/>
    <cellStyle name="Normal 3 38" xfId="38508" xr:uid="{00000000-0005-0000-0000-00006F960000}"/>
    <cellStyle name="Normal 3 39" xfId="38509" xr:uid="{00000000-0005-0000-0000-000070960000}"/>
    <cellStyle name="Normal 3 4" xfId="38510" xr:uid="{00000000-0005-0000-0000-000071960000}"/>
    <cellStyle name="Normal 3 4 10" xfId="38511" xr:uid="{00000000-0005-0000-0000-000072960000}"/>
    <cellStyle name="Normal 3 4 11" xfId="38512" xr:uid="{00000000-0005-0000-0000-000073960000}"/>
    <cellStyle name="Normal 3 4 12" xfId="38513" xr:uid="{00000000-0005-0000-0000-000074960000}"/>
    <cellStyle name="Normal 3 4 13" xfId="38514" xr:uid="{00000000-0005-0000-0000-000075960000}"/>
    <cellStyle name="Normal 3 4 14" xfId="38515" xr:uid="{00000000-0005-0000-0000-000076960000}"/>
    <cellStyle name="Normal 3 4 15" xfId="38516" xr:uid="{00000000-0005-0000-0000-000077960000}"/>
    <cellStyle name="Normal 3 4 16" xfId="38517" xr:uid="{00000000-0005-0000-0000-000078960000}"/>
    <cellStyle name="Normal 3 4 17" xfId="38518" xr:uid="{00000000-0005-0000-0000-000079960000}"/>
    <cellStyle name="Normal 3 4 18" xfId="38519" xr:uid="{00000000-0005-0000-0000-00007A960000}"/>
    <cellStyle name="Normal 3 4 19" xfId="38520" xr:uid="{00000000-0005-0000-0000-00007B960000}"/>
    <cellStyle name="Normal 3 4 2" xfId="38521" xr:uid="{00000000-0005-0000-0000-00007C960000}"/>
    <cellStyle name="Normal 3 4 20" xfId="38522" xr:uid="{00000000-0005-0000-0000-00007D960000}"/>
    <cellStyle name="Normal 3 4 21" xfId="38523" xr:uid="{00000000-0005-0000-0000-00007E960000}"/>
    <cellStyle name="Normal 3 4 22" xfId="38524" xr:uid="{00000000-0005-0000-0000-00007F960000}"/>
    <cellStyle name="Normal 3 4 23" xfId="38525" xr:uid="{00000000-0005-0000-0000-000080960000}"/>
    <cellStyle name="Normal 3 4 24" xfId="38526" xr:uid="{00000000-0005-0000-0000-000081960000}"/>
    <cellStyle name="Normal 3 4 25" xfId="38527" xr:uid="{00000000-0005-0000-0000-000082960000}"/>
    <cellStyle name="Normal 3 4 26" xfId="38528" xr:uid="{00000000-0005-0000-0000-000083960000}"/>
    <cellStyle name="Normal 3 4 27" xfId="38529" xr:uid="{00000000-0005-0000-0000-000084960000}"/>
    <cellStyle name="Normal 3 4 28" xfId="38530" xr:uid="{00000000-0005-0000-0000-000085960000}"/>
    <cellStyle name="Normal 3 4 29" xfId="38531" xr:uid="{00000000-0005-0000-0000-000086960000}"/>
    <cellStyle name="Normal 3 4 3" xfId="38532" xr:uid="{00000000-0005-0000-0000-000087960000}"/>
    <cellStyle name="Normal 3 4 30" xfId="38533" xr:uid="{00000000-0005-0000-0000-000088960000}"/>
    <cellStyle name="Normal 3 4 31" xfId="38534" xr:uid="{00000000-0005-0000-0000-000089960000}"/>
    <cellStyle name="Normal 3 4 32" xfId="38535" xr:uid="{00000000-0005-0000-0000-00008A960000}"/>
    <cellStyle name="Normal 3 4 33" xfId="38536" xr:uid="{00000000-0005-0000-0000-00008B960000}"/>
    <cellStyle name="Normal 3 4 34" xfId="38537" xr:uid="{00000000-0005-0000-0000-00008C960000}"/>
    <cellStyle name="Normal 3 4 35" xfId="38538" xr:uid="{00000000-0005-0000-0000-00008D960000}"/>
    <cellStyle name="Normal 3 4 4" xfId="38539" xr:uid="{00000000-0005-0000-0000-00008E960000}"/>
    <cellStyle name="Normal 3 4 5" xfId="38540" xr:uid="{00000000-0005-0000-0000-00008F960000}"/>
    <cellStyle name="Normal 3 4 6" xfId="38541" xr:uid="{00000000-0005-0000-0000-000090960000}"/>
    <cellStyle name="Normal 3 4 7" xfId="38542" xr:uid="{00000000-0005-0000-0000-000091960000}"/>
    <cellStyle name="Normal 3 4 8" xfId="38543" xr:uid="{00000000-0005-0000-0000-000092960000}"/>
    <cellStyle name="Normal 3 4 9" xfId="38544" xr:uid="{00000000-0005-0000-0000-000093960000}"/>
    <cellStyle name="Normal 3 40" xfId="38545" xr:uid="{00000000-0005-0000-0000-000094960000}"/>
    <cellStyle name="Normal 3 41" xfId="38546" xr:uid="{00000000-0005-0000-0000-000095960000}"/>
    <cellStyle name="Normal 3 42" xfId="38547" xr:uid="{00000000-0005-0000-0000-000096960000}"/>
    <cellStyle name="Normal 3 43" xfId="38548" xr:uid="{00000000-0005-0000-0000-000097960000}"/>
    <cellStyle name="Normal 3 44" xfId="38549" xr:uid="{00000000-0005-0000-0000-000098960000}"/>
    <cellStyle name="Normal 3 45" xfId="38550" xr:uid="{00000000-0005-0000-0000-000099960000}"/>
    <cellStyle name="Normal 3 46" xfId="38551" xr:uid="{00000000-0005-0000-0000-00009A960000}"/>
    <cellStyle name="Normal 3 47" xfId="38552" xr:uid="{00000000-0005-0000-0000-00009B960000}"/>
    <cellStyle name="Normal 3 5" xfId="38553" xr:uid="{00000000-0005-0000-0000-00009C960000}"/>
    <cellStyle name="Normal 3 5 2" xfId="38554" xr:uid="{00000000-0005-0000-0000-00009D960000}"/>
    <cellStyle name="Normal 3 5 3" xfId="38555" xr:uid="{00000000-0005-0000-0000-00009E960000}"/>
    <cellStyle name="Normal 3 6" xfId="38556" xr:uid="{00000000-0005-0000-0000-00009F960000}"/>
    <cellStyle name="Normal 3 6 2" xfId="38557" xr:uid="{00000000-0005-0000-0000-0000A0960000}"/>
    <cellStyle name="Normal 3 6 3" xfId="38558" xr:uid="{00000000-0005-0000-0000-0000A1960000}"/>
    <cellStyle name="Normal 3 7" xfId="38559" xr:uid="{00000000-0005-0000-0000-0000A2960000}"/>
    <cellStyle name="Normal 3 7 2" xfId="38560" xr:uid="{00000000-0005-0000-0000-0000A3960000}"/>
    <cellStyle name="Normal 3 8" xfId="38561" xr:uid="{00000000-0005-0000-0000-0000A4960000}"/>
    <cellStyle name="Normal 3 8 2" xfId="38562" xr:uid="{00000000-0005-0000-0000-0000A5960000}"/>
    <cellStyle name="Normal 3 9" xfId="38563" xr:uid="{00000000-0005-0000-0000-0000A6960000}"/>
    <cellStyle name="Normal 3 9 2" xfId="38564" xr:uid="{00000000-0005-0000-0000-0000A7960000}"/>
    <cellStyle name="Normal 30" xfId="38565" xr:uid="{00000000-0005-0000-0000-0000A8960000}"/>
    <cellStyle name="Normal 31" xfId="38566" xr:uid="{00000000-0005-0000-0000-0000A9960000}"/>
    <cellStyle name="Normal 32" xfId="38567" xr:uid="{00000000-0005-0000-0000-0000AA960000}"/>
    <cellStyle name="Normal 33" xfId="38568" xr:uid="{00000000-0005-0000-0000-0000AB960000}"/>
    <cellStyle name="Normal 34" xfId="38569" xr:uid="{00000000-0005-0000-0000-0000AC960000}"/>
    <cellStyle name="Normal 35" xfId="38570" xr:uid="{00000000-0005-0000-0000-0000AD960000}"/>
    <cellStyle name="Normal 36" xfId="38571" xr:uid="{00000000-0005-0000-0000-0000AE960000}"/>
    <cellStyle name="Normal 37" xfId="38572" xr:uid="{00000000-0005-0000-0000-0000AF960000}"/>
    <cellStyle name="Normal 38" xfId="38573" xr:uid="{00000000-0005-0000-0000-0000B0960000}"/>
    <cellStyle name="Normal 39" xfId="38574" xr:uid="{00000000-0005-0000-0000-0000B1960000}"/>
    <cellStyle name="Normal 4" xfId="38575" xr:uid="{00000000-0005-0000-0000-0000B2960000}"/>
    <cellStyle name="Normal 4 10" xfId="38576" xr:uid="{00000000-0005-0000-0000-0000B3960000}"/>
    <cellStyle name="Normal 4 10 2" xfId="38577" xr:uid="{00000000-0005-0000-0000-0000B4960000}"/>
    <cellStyle name="Normal 4 10 2 2" xfId="38578" xr:uid="{00000000-0005-0000-0000-0000B5960000}"/>
    <cellStyle name="Normal 4 10 3" xfId="38579" xr:uid="{00000000-0005-0000-0000-0000B6960000}"/>
    <cellStyle name="Normal 4 10 4" xfId="38580" xr:uid="{00000000-0005-0000-0000-0000B7960000}"/>
    <cellStyle name="Normal 4 11" xfId="38581" xr:uid="{00000000-0005-0000-0000-0000B8960000}"/>
    <cellStyle name="Normal 4 11 2" xfId="38582" xr:uid="{00000000-0005-0000-0000-0000B9960000}"/>
    <cellStyle name="Normal 4 11 3" xfId="38583" xr:uid="{00000000-0005-0000-0000-0000BA960000}"/>
    <cellStyle name="Normal 4 12" xfId="38584" xr:uid="{00000000-0005-0000-0000-0000BB960000}"/>
    <cellStyle name="Normal 4 13" xfId="38585" xr:uid="{00000000-0005-0000-0000-0000BC960000}"/>
    <cellStyle name="Normal 4 13 2" xfId="38586" xr:uid="{00000000-0005-0000-0000-0000BD960000}"/>
    <cellStyle name="Normal 4 14" xfId="38587" xr:uid="{00000000-0005-0000-0000-0000BE960000}"/>
    <cellStyle name="Normal 4 15" xfId="38588" xr:uid="{00000000-0005-0000-0000-0000BF960000}"/>
    <cellStyle name="Normal 4 16" xfId="38589" xr:uid="{00000000-0005-0000-0000-0000C0960000}"/>
    <cellStyle name="Normal 4 17" xfId="38590" xr:uid="{00000000-0005-0000-0000-0000C1960000}"/>
    <cellStyle name="Normal 4 18" xfId="38591" xr:uid="{00000000-0005-0000-0000-0000C2960000}"/>
    <cellStyle name="Normal 4 18 2" xfId="38592" xr:uid="{00000000-0005-0000-0000-0000C3960000}"/>
    <cellStyle name="Normal 4 19" xfId="38593" xr:uid="{00000000-0005-0000-0000-0000C4960000}"/>
    <cellStyle name="Normal 4 2" xfId="38594" xr:uid="{00000000-0005-0000-0000-0000C5960000}"/>
    <cellStyle name="Normal 4 2 10" xfId="38595" xr:uid="{00000000-0005-0000-0000-0000C6960000}"/>
    <cellStyle name="Normal 4 2 10 2" xfId="38596" xr:uid="{00000000-0005-0000-0000-0000C7960000}"/>
    <cellStyle name="Normal 4 2 11" xfId="38597" xr:uid="{00000000-0005-0000-0000-0000C8960000}"/>
    <cellStyle name="Normal 4 2 11 2" xfId="38598" xr:uid="{00000000-0005-0000-0000-0000C9960000}"/>
    <cellStyle name="Normal 4 2 12" xfId="38599" xr:uid="{00000000-0005-0000-0000-0000CA960000}"/>
    <cellStyle name="Normal 4 2 12 2" xfId="38600" xr:uid="{00000000-0005-0000-0000-0000CB960000}"/>
    <cellStyle name="Normal 4 2 13" xfId="38601" xr:uid="{00000000-0005-0000-0000-0000CC960000}"/>
    <cellStyle name="Normal 4 2 13 2" xfId="38602" xr:uid="{00000000-0005-0000-0000-0000CD960000}"/>
    <cellStyle name="Normal 4 2 14" xfId="38603" xr:uid="{00000000-0005-0000-0000-0000CE960000}"/>
    <cellStyle name="Normal 4 2 14 2" xfId="38604" xr:uid="{00000000-0005-0000-0000-0000CF960000}"/>
    <cellStyle name="Normal 4 2 15" xfId="38605" xr:uid="{00000000-0005-0000-0000-0000D0960000}"/>
    <cellStyle name="Normal 4 2 15 2" xfId="38606" xr:uid="{00000000-0005-0000-0000-0000D1960000}"/>
    <cellStyle name="Normal 4 2 16" xfId="38607" xr:uid="{00000000-0005-0000-0000-0000D2960000}"/>
    <cellStyle name="Normal 4 2 16 2" xfId="38608" xr:uid="{00000000-0005-0000-0000-0000D3960000}"/>
    <cellStyle name="Normal 4 2 17" xfId="38609" xr:uid="{00000000-0005-0000-0000-0000D4960000}"/>
    <cellStyle name="Normal 4 2 18" xfId="38610" xr:uid="{00000000-0005-0000-0000-0000D5960000}"/>
    <cellStyle name="Normal 4 2 19" xfId="38611" xr:uid="{00000000-0005-0000-0000-0000D6960000}"/>
    <cellStyle name="Normal 4 2 2" xfId="38612" xr:uid="{00000000-0005-0000-0000-0000D7960000}"/>
    <cellStyle name="Normal 4 2 2 2" xfId="38613" xr:uid="{00000000-0005-0000-0000-0000D8960000}"/>
    <cellStyle name="Normal 4 2 2 3" xfId="38614" xr:uid="{00000000-0005-0000-0000-0000D9960000}"/>
    <cellStyle name="Normal 4 2 2 4" xfId="38615" xr:uid="{00000000-0005-0000-0000-0000DA960000}"/>
    <cellStyle name="Normal 4 2 20" xfId="38616" xr:uid="{00000000-0005-0000-0000-0000DB960000}"/>
    <cellStyle name="Normal 4 2 21" xfId="38617" xr:uid="{00000000-0005-0000-0000-0000DC960000}"/>
    <cellStyle name="Normal 4 2 22" xfId="38618" xr:uid="{00000000-0005-0000-0000-0000DD960000}"/>
    <cellStyle name="Normal 4 2 23" xfId="38619" xr:uid="{00000000-0005-0000-0000-0000DE960000}"/>
    <cellStyle name="Normal 4 2 24" xfId="38620" xr:uid="{00000000-0005-0000-0000-0000DF960000}"/>
    <cellStyle name="Normal 4 2 25" xfId="38621" xr:uid="{00000000-0005-0000-0000-0000E0960000}"/>
    <cellStyle name="Normal 4 2 26" xfId="38622" xr:uid="{00000000-0005-0000-0000-0000E1960000}"/>
    <cellStyle name="Normal 4 2 27" xfId="38623" xr:uid="{00000000-0005-0000-0000-0000E2960000}"/>
    <cellStyle name="Normal 4 2 28" xfId="38624" xr:uid="{00000000-0005-0000-0000-0000E3960000}"/>
    <cellStyle name="Normal 4 2 29" xfId="38625" xr:uid="{00000000-0005-0000-0000-0000E4960000}"/>
    <cellStyle name="Normal 4 2 3" xfId="38626" xr:uid="{00000000-0005-0000-0000-0000E5960000}"/>
    <cellStyle name="Normal 4 2 3 2" xfId="38627" xr:uid="{00000000-0005-0000-0000-0000E6960000}"/>
    <cellStyle name="Normal 4 2 3 3" xfId="38628" xr:uid="{00000000-0005-0000-0000-0000E7960000}"/>
    <cellStyle name="Normal 4 2 30" xfId="38629" xr:uid="{00000000-0005-0000-0000-0000E8960000}"/>
    <cellStyle name="Normal 4 2 31" xfId="38630" xr:uid="{00000000-0005-0000-0000-0000E9960000}"/>
    <cellStyle name="Normal 4 2 32" xfId="38631" xr:uid="{00000000-0005-0000-0000-0000EA960000}"/>
    <cellStyle name="Normal 4 2 33" xfId="38632" xr:uid="{00000000-0005-0000-0000-0000EB960000}"/>
    <cellStyle name="Normal 4 2 34" xfId="38633" xr:uid="{00000000-0005-0000-0000-0000EC960000}"/>
    <cellStyle name="Normal 4 2 35" xfId="38634" xr:uid="{00000000-0005-0000-0000-0000ED960000}"/>
    <cellStyle name="Normal 4 2 36" xfId="38635" xr:uid="{00000000-0005-0000-0000-0000EE960000}"/>
    <cellStyle name="Normal 4 2 37" xfId="38636" xr:uid="{00000000-0005-0000-0000-0000EF960000}"/>
    <cellStyle name="Normal 4 2 38" xfId="38637" xr:uid="{00000000-0005-0000-0000-0000F0960000}"/>
    <cellStyle name="Normal 4 2 39" xfId="38638" xr:uid="{00000000-0005-0000-0000-0000F1960000}"/>
    <cellStyle name="Normal 4 2 4" xfId="38639" xr:uid="{00000000-0005-0000-0000-0000F2960000}"/>
    <cellStyle name="Normal 4 2 4 2" xfId="38640" xr:uid="{00000000-0005-0000-0000-0000F3960000}"/>
    <cellStyle name="Normal 4 2 40" xfId="38641" xr:uid="{00000000-0005-0000-0000-0000F4960000}"/>
    <cellStyle name="Normal 4 2 41" xfId="38642" xr:uid="{00000000-0005-0000-0000-0000F5960000}"/>
    <cellStyle name="Normal 4 2 42" xfId="38643" xr:uid="{00000000-0005-0000-0000-0000F6960000}"/>
    <cellStyle name="Normal 4 2 43" xfId="38644" xr:uid="{00000000-0005-0000-0000-0000F7960000}"/>
    <cellStyle name="Normal 4 2 44" xfId="38645" xr:uid="{00000000-0005-0000-0000-0000F8960000}"/>
    <cellStyle name="Normal 4 2 45" xfId="38646" xr:uid="{00000000-0005-0000-0000-0000F9960000}"/>
    <cellStyle name="Normal 4 2 46" xfId="38647" xr:uid="{00000000-0005-0000-0000-0000FA960000}"/>
    <cellStyle name="Normal 4 2 47" xfId="38648" xr:uid="{00000000-0005-0000-0000-0000FB960000}"/>
    <cellStyle name="Normal 4 2 48" xfId="38649" xr:uid="{00000000-0005-0000-0000-0000FC960000}"/>
    <cellStyle name="Normal 4 2 49" xfId="38650" xr:uid="{00000000-0005-0000-0000-0000FD960000}"/>
    <cellStyle name="Normal 4 2 5" xfId="38651" xr:uid="{00000000-0005-0000-0000-0000FE960000}"/>
    <cellStyle name="Normal 4 2 5 2" xfId="38652" xr:uid="{00000000-0005-0000-0000-0000FF960000}"/>
    <cellStyle name="Normal 4 2 50" xfId="38653" xr:uid="{00000000-0005-0000-0000-000000970000}"/>
    <cellStyle name="Normal 4 2 6" xfId="38654" xr:uid="{00000000-0005-0000-0000-000001970000}"/>
    <cellStyle name="Normal 4 2 6 2" xfId="38655" xr:uid="{00000000-0005-0000-0000-000002970000}"/>
    <cellStyle name="Normal 4 2 7" xfId="38656" xr:uid="{00000000-0005-0000-0000-000003970000}"/>
    <cellStyle name="Normal 4 2 7 2" xfId="38657" xr:uid="{00000000-0005-0000-0000-000004970000}"/>
    <cellStyle name="Normal 4 2 8" xfId="38658" xr:uid="{00000000-0005-0000-0000-000005970000}"/>
    <cellStyle name="Normal 4 2 8 2" xfId="38659" xr:uid="{00000000-0005-0000-0000-000006970000}"/>
    <cellStyle name="Normal 4 2 9" xfId="38660" xr:uid="{00000000-0005-0000-0000-000007970000}"/>
    <cellStyle name="Normal 4 2 9 2" xfId="38661" xr:uid="{00000000-0005-0000-0000-000008970000}"/>
    <cellStyle name="Normal 4 20" xfId="38662" xr:uid="{00000000-0005-0000-0000-000009970000}"/>
    <cellStyle name="Normal 4 21" xfId="38663" xr:uid="{00000000-0005-0000-0000-00000A970000}"/>
    <cellStyle name="Normal 4 22" xfId="38664" xr:uid="{00000000-0005-0000-0000-00000B970000}"/>
    <cellStyle name="Normal 4 22 2" xfId="38665" xr:uid="{00000000-0005-0000-0000-00000C970000}"/>
    <cellStyle name="Normal 4 23" xfId="38666" xr:uid="{00000000-0005-0000-0000-00000D970000}"/>
    <cellStyle name="Normal 4 24" xfId="38667" xr:uid="{00000000-0005-0000-0000-00000E970000}"/>
    <cellStyle name="Normal 4 25" xfId="38668" xr:uid="{00000000-0005-0000-0000-00000F970000}"/>
    <cellStyle name="Normal 4 3" xfId="38669" xr:uid="{00000000-0005-0000-0000-000010970000}"/>
    <cellStyle name="Normal 4 3 2" xfId="38670" xr:uid="{00000000-0005-0000-0000-000011970000}"/>
    <cellStyle name="Normal 4 3 3" xfId="38671" xr:uid="{00000000-0005-0000-0000-000012970000}"/>
    <cellStyle name="Normal 4 3 4" xfId="38672" xr:uid="{00000000-0005-0000-0000-000013970000}"/>
    <cellStyle name="Normal 4 3 5" xfId="38673" xr:uid="{00000000-0005-0000-0000-000014970000}"/>
    <cellStyle name="Normal 4 3 6" xfId="38674" xr:uid="{00000000-0005-0000-0000-000015970000}"/>
    <cellStyle name="Normal 4 3 7" xfId="38675" xr:uid="{00000000-0005-0000-0000-000016970000}"/>
    <cellStyle name="Normal 4 3 7 2" xfId="38676" xr:uid="{00000000-0005-0000-0000-000017970000}"/>
    <cellStyle name="Normal 4 3 8" xfId="38677" xr:uid="{00000000-0005-0000-0000-000018970000}"/>
    <cellStyle name="Normal 4 4" xfId="38678" xr:uid="{00000000-0005-0000-0000-000019970000}"/>
    <cellStyle name="Normal 4 4 10" xfId="38679" xr:uid="{00000000-0005-0000-0000-00001A970000}"/>
    <cellStyle name="Normal 4 4 2" xfId="38680" xr:uid="{00000000-0005-0000-0000-00001B970000}"/>
    <cellStyle name="Normal 4 4 2 2" xfId="38681" xr:uid="{00000000-0005-0000-0000-00001C970000}"/>
    <cellStyle name="Normal 4 4 2 2 2" xfId="38682" xr:uid="{00000000-0005-0000-0000-00001D970000}"/>
    <cellStyle name="Normal 4 4 2 2 2 2" xfId="38683" xr:uid="{00000000-0005-0000-0000-00001E970000}"/>
    <cellStyle name="Normal 4 4 2 2 2 3" xfId="38684" xr:uid="{00000000-0005-0000-0000-00001F970000}"/>
    <cellStyle name="Normal 4 4 2 2 3" xfId="38685" xr:uid="{00000000-0005-0000-0000-000020970000}"/>
    <cellStyle name="Normal 4 4 2 2 4" xfId="38686" xr:uid="{00000000-0005-0000-0000-000021970000}"/>
    <cellStyle name="Normal 4 4 2 2 5" xfId="38687" xr:uid="{00000000-0005-0000-0000-000022970000}"/>
    <cellStyle name="Normal 4 4 2 2 6" xfId="38688" xr:uid="{00000000-0005-0000-0000-000023970000}"/>
    <cellStyle name="Normal 4 4 2 3" xfId="38689" xr:uid="{00000000-0005-0000-0000-000024970000}"/>
    <cellStyle name="Normal 4 4 2 3 2" xfId="38690" xr:uid="{00000000-0005-0000-0000-000025970000}"/>
    <cellStyle name="Normal 4 4 2 3 2 2" xfId="38691" xr:uid="{00000000-0005-0000-0000-000026970000}"/>
    <cellStyle name="Normal 4 4 2 3 3" xfId="38692" xr:uid="{00000000-0005-0000-0000-000027970000}"/>
    <cellStyle name="Normal 4 4 2 3 4" xfId="38693" xr:uid="{00000000-0005-0000-0000-000028970000}"/>
    <cellStyle name="Normal 4 4 2 3 5" xfId="38694" xr:uid="{00000000-0005-0000-0000-000029970000}"/>
    <cellStyle name="Normal 4 4 2 4" xfId="38695" xr:uid="{00000000-0005-0000-0000-00002A970000}"/>
    <cellStyle name="Normal 4 4 2 4 2" xfId="38696" xr:uid="{00000000-0005-0000-0000-00002B970000}"/>
    <cellStyle name="Normal 4 4 2 4 3" xfId="38697" xr:uid="{00000000-0005-0000-0000-00002C970000}"/>
    <cellStyle name="Normal 4 4 2 4 4" xfId="38698" xr:uid="{00000000-0005-0000-0000-00002D970000}"/>
    <cellStyle name="Normal 4 4 2 5" xfId="38699" xr:uid="{00000000-0005-0000-0000-00002E970000}"/>
    <cellStyle name="Normal 4 4 2 5 2" xfId="38700" xr:uid="{00000000-0005-0000-0000-00002F970000}"/>
    <cellStyle name="Normal 4 4 2 6" xfId="38701" xr:uid="{00000000-0005-0000-0000-000030970000}"/>
    <cellStyle name="Normal 4 4 2 7" xfId="38702" xr:uid="{00000000-0005-0000-0000-000031970000}"/>
    <cellStyle name="Normal 4 4 2 8" xfId="38703" xr:uid="{00000000-0005-0000-0000-000032970000}"/>
    <cellStyle name="Normal 4 4 2 9" xfId="38704" xr:uid="{00000000-0005-0000-0000-000033970000}"/>
    <cellStyle name="Normal 4 4 3" xfId="38705" xr:uid="{00000000-0005-0000-0000-000034970000}"/>
    <cellStyle name="Normal 4 4 3 2" xfId="38706" xr:uid="{00000000-0005-0000-0000-000035970000}"/>
    <cellStyle name="Normal 4 4 3 2 2" xfId="38707" xr:uid="{00000000-0005-0000-0000-000036970000}"/>
    <cellStyle name="Normal 4 4 3 2 3" xfId="38708" xr:uid="{00000000-0005-0000-0000-000037970000}"/>
    <cellStyle name="Normal 4 4 3 3" xfId="38709" xr:uid="{00000000-0005-0000-0000-000038970000}"/>
    <cellStyle name="Normal 4 4 3 4" xfId="38710" xr:uid="{00000000-0005-0000-0000-000039970000}"/>
    <cellStyle name="Normal 4 4 3 5" xfId="38711" xr:uid="{00000000-0005-0000-0000-00003A970000}"/>
    <cellStyle name="Normal 4 4 3 6" xfId="38712" xr:uid="{00000000-0005-0000-0000-00003B970000}"/>
    <cellStyle name="Normal 4 4 4" xfId="38713" xr:uid="{00000000-0005-0000-0000-00003C970000}"/>
    <cellStyle name="Normal 4 4 4 2" xfId="38714" xr:uid="{00000000-0005-0000-0000-00003D970000}"/>
    <cellStyle name="Normal 4 4 4 2 2" xfId="38715" xr:uid="{00000000-0005-0000-0000-00003E970000}"/>
    <cellStyle name="Normal 4 4 4 3" xfId="38716" xr:uid="{00000000-0005-0000-0000-00003F970000}"/>
    <cellStyle name="Normal 4 4 4 4" xfId="38717" xr:uid="{00000000-0005-0000-0000-000040970000}"/>
    <cellStyle name="Normal 4 4 4 5" xfId="38718" xr:uid="{00000000-0005-0000-0000-000041970000}"/>
    <cellStyle name="Normal 4 4 5" xfId="38719" xr:uid="{00000000-0005-0000-0000-000042970000}"/>
    <cellStyle name="Normal 4 4 5 2" xfId="38720" xr:uid="{00000000-0005-0000-0000-000043970000}"/>
    <cellStyle name="Normal 4 4 5 3" xfId="38721" xr:uid="{00000000-0005-0000-0000-000044970000}"/>
    <cellStyle name="Normal 4 4 5 4" xfId="38722" xr:uid="{00000000-0005-0000-0000-000045970000}"/>
    <cellStyle name="Normal 4 4 6" xfId="38723" xr:uid="{00000000-0005-0000-0000-000046970000}"/>
    <cellStyle name="Normal 4 4 6 2" xfId="38724" xr:uid="{00000000-0005-0000-0000-000047970000}"/>
    <cellStyle name="Normal 4 4 6 3" xfId="38725" xr:uid="{00000000-0005-0000-0000-000048970000}"/>
    <cellStyle name="Normal 4 4 7" xfId="38726" xr:uid="{00000000-0005-0000-0000-000049970000}"/>
    <cellStyle name="Normal 4 4 8" xfId="38727" xr:uid="{00000000-0005-0000-0000-00004A970000}"/>
    <cellStyle name="Normal 4 4 9" xfId="38728" xr:uid="{00000000-0005-0000-0000-00004B970000}"/>
    <cellStyle name="Normal 4 5" xfId="38729" xr:uid="{00000000-0005-0000-0000-00004C970000}"/>
    <cellStyle name="Normal 4 5 2" xfId="38730" xr:uid="{00000000-0005-0000-0000-00004D970000}"/>
    <cellStyle name="Normal 4 5 2 2" xfId="38731" xr:uid="{00000000-0005-0000-0000-00004E970000}"/>
    <cellStyle name="Normal 4 5 2 2 2" xfId="38732" xr:uid="{00000000-0005-0000-0000-00004F970000}"/>
    <cellStyle name="Normal 4 5 2 2 3" xfId="38733" xr:uid="{00000000-0005-0000-0000-000050970000}"/>
    <cellStyle name="Normal 4 5 2 3" xfId="38734" xr:uid="{00000000-0005-0000-0000-000051970000}"/>
    <cellStyle name="Normal 4 5 2 4" xfId="38735" xr:uid="{00000000-0005-0000-0000-000052970000}"/>
    <cellStyle name="Normal 4 5 2 5" xfId="38736" xr:uid="{00000000-0005-0000-0000-000053970000}"/>
    <cellStyle name="Normal 4 5 2 6" xfId="38737" xr:uid="{00000000-0005-0000-0000-000054970000}"/>
    <cellStyle name="Normal 4 5 3" xfId="38738" xr:uid="{00000000-0005-0000-0000-000055970000}"/>
    <cellStyle name="Normal 4 5 3 2" xfId="38739" xr:uid="{00000000-0005-0000-0000-000056970000}"/>
    <cellStyle name="Normal 4 5 3 2 2" xfId="38740" xr:uid="{00000000-0005-0000-0000-000057970000}"/>
    <cellStyle name="Normal 4 5 3 3" xfId="38741" xr:uid="{00000000-0005-0000-0000-000058970000}"/>
    <cellStyle name="Normal 4 5 3 4" xfId="38742" xr:uid="{00000000-0005-0000-0000-000059970000}"/>
    <cellStyle name="Normal 4 5 3 5" xfId="38743" xr:uid="{00000000-0005-0000-0000-00005A970000}"/>
    <cellStyle name="Normal 4 5 4" xfId="38744" xr:uid="{00000000-0005-0000-0000-00005B970000}"/>
    <cellStyle name="Normal 4 5 4 2" xfId="38745" xr:uid="{00000000-0005-0000-0000-00005C970000}"/>
    <cellStyle name="Normal 4 5 4 3" xfId="38746" xr:uid="{00000000-0005-0000-0000-00005D970000}"/>
    <cellStyle name="Normal 4 5 4 4" xfId="38747" xr:uid="{00000000-0005-0000-0000-00005E970000}"/>
    <cellStyle name="Normal 4 5 5" xfId="38748" xr:uid="{00000000-0005-0000-0000-00005F970000}"/>
    <cellStyle name="Normal 4 5 5 2" xfId="38749" xr:uid="{00000000-0005-0000-0000-000060970000}"/>
    <cellStyle name="Normal 4 5 6" xfId="38750" xr:uid="{00000000-0005-0000-0000-000061970000}"/>
    <cellStyle name="Normal 4 5 7" xfId="38751" xr:uid="{00000000-0005-0000-0000-000062970000}"/>
    <cellStyle name="Normal 4 5 8" xfId="38752" xr:uid="{00000000-0005-0000-0000-000063970000}"/>
    <cellStyle name="Normal 4 5 9" xfId="38753" xr:uid="{00000000-0005-0000-0000-000064970000}"/>
    <cellStyle name="Normal 4 6" xfId="38754" xr:uid="{00000000-0005-0000-0000-000065970000}"/>
    <cellStyle name="Normal 4 6 2" xfId="38755" xr:uid="{00000000-0005-0000-0000-000066970000}"/>
    <cellStyle name="Normal 4 6 2 2" xfId="38756" xr:uid="{00000000-0005-0000-0000-000067970000}"/>
    <cellStyle name="Normal 4 6 2 3" xfId="38757" xr:uid="{00000000-0005-0000-0000-000068970000}"/>
    <cellStyle name="Normal 4 6 2 4" xfId="38758" xr:uid="{00000000-0005-0000-0000-000069970000}"/>
    <cellStyle name="Normal 4 6 3" xfId="38759" xr:uid="{00000000-0005-0000-0000-00006A970000}"/>
    <cellStyle name="Normal 4 6 3 2" xfId="38760" xr:uid="{00000000-0005-0000-0000-00006B970000}"/>
    <cellStyle name="Normal 4 6 4" xfId="38761" xr:uid="{00000000-0005-0000-0000-00006C970000}"/>
    <cellStyle name="Normal 4 6 5" xfId="38762" xr:uid="{00000000-0005-0000-0000-00006D970000}"/>
    <cellStyle name="Normal 4 6 6" xfId="38763" xr:uid="{00000000-0005-0000-0000-00006E970000}"/>
    <cellStyle name="Normal 4 6 7" xfId="38764" xr:uid="{00000000-0005-0000-0000-00006F970000}"/>
    <cellStyle name="Normal 4 7" xfId="38765" xr:uid="{00000000-0005-0000-0000-000070970000}"/>
    <cellStyle name="Normal 4 7 2" xfId="38766" xr:uid="{00000000-0005-0000-0000-000071970000}"/>
    <cellStyle name="Normal 4 7 2 2" xfId="38767" xr:uid="{00000000-0005-0000-0000-000072970000}"/>
    <cellStyle name="Normal 4 7 3" xfId="38768" xr:uid="{00000000-0005-0000-0000-000073970000}"/>
    <cellStyle name="Normal 4 7 4" xfId="38769" xr:uid="{00000000-0005-0000-0000-000074970000}"/>
    <cellStyle name="Normal 4 7 5" xfId="38770" xr:uid="{00000000-0005-0000-0000-000075970000}"/>
    <cellStyle name="Normal 4 7 6" xfId="38771" xr:uid="{00000000-0005-0000-0000-000076970000}"/>
    <cellStyle name="Normal 4 8" xfId="38772" xr:uid="{00000000-0005-0000-0000-000077970000}"/>
    <cellStyle name="Normal 4 8 2" xfId="38773" xr:uid="{00000000-0005-0000-0000-000078970000}"/>
    <cellStyle name="Normal 4 8 2 2" xfId="38774" xr:uid="{00000000-0005-0000-0000-000079970000}"/>
    <cellStyle name="Normal 4 8 2 3" xfId="38775" xr:uid="{00000000-0005-0000-0000-00007A970000}"/>
    <cellStyle name="Normal 4 8 3" xfId="38776" xr:uid="{00000000-0005-0000-0000-00007B970000}"/>
    <cellStyle name="Normal 4 8 4" xfId="38777" xr:uid="{00000000-0005-0000-0000-00007C970000}"/>
    <cellStyle name="Normal 4 8 5" xfId="38778" xr:uid="{00000000-0005-0000-0000-00007D970000}"/>
    <cellStyle name="Normal 4 9" xfId="38779" xr:uid="{00000000-0005-0000-0000-00007E970000}"/>
    <cellStyle name="Normal 4 9 2" xfId="38780" xr:uid="{00000000-0005-0000-0000-00007F970000}"/>
    <cellStyle name="Normal 4 9 2 2" xfId="38781" xr:uid="{00000000-0005-0000-0000-000080970000}"/>
    <cellStyle name="Normal 4 9 3" xfId="38782" xr:uid="{00000000-0005-0000-0000-000081970000}"/>
    <cellStyle name="Normal 4 9 4" xfId="38783" xr:uid="{00000000-0005-0000-0000-000082970000}"/>
    <cellStyle name="Normal 4 9 5" xfId="38784" xr:uid="{00000000-0005-0000-0000-000083970000}"/>
    <cellStyle name="Normal 40" xfId="38785" xr:uid="{00000000-0005-0000-0000-000084970000}"/>
    <cellStyle name="Normal 41" xfId="38786" xr:uid="{00000000-0005-0000-0000-000085970000}"/>
    <cellStyle name="Normal 42" xfId="38787" xr:uid="{00000000-0005-0000-0000-000086970000}"/>
    <cellStyle name="Normal 43" xfId="38788" xr:uid="{00000000-0005-0000-0000-000087970000}"/>
    <cellStyle name="Normal 44" xfId="38789" xr:uid="{00000000-0005-0000-0000-000088970000}"/>
    <cellStyle name="Normal 45" xfId="38790" xr:uid="{00000000-0005-0000-0000-000089970000}"/>
    <cellStyle name="Normal 46" xfId="38791" xr:uid="{00000000-0005-0000-0000-00008A970000}"/>
    <cellStyle name="Normal 47" xfId="38792" xr:uid="{00000000-0005-0000-0000-00008B970000}"/>
    <cellStyle name="Normal 48" xfId="38793" xr:uid="{00000000-0005-0000-0000-00008C970000}"/>
    <cellStyle name="Normal 49" xfId="38794" xr:uid="{00000000-0005-0000-0000-00008D970000}"/>
    <cellStyle name="Normal 5" xfId="38795" xr:uid="{00000000-0005-0000-0000-00008E970000}"/>
    <cellStyle name="Normal 5 2" xfId="38796" xr:uid="{00000000-0005-0000-0000-00008F970000}"/>
    <cellStyle name="Normal 5 2 2" xfId="38797" xr:uid="{00000000-0005-0000-0000-000090970000}"/>
    <cellStyle name="Normal 5 2 3" xfId="38798" xr:uid="{00000000-0005-0000-0000-000091970000}"/>
    <cellStyle name="Normal 5 2 4" xfId="38799" xr:uid="{00000000-0005-0000-0000-000092970000}"/>
    <cellStyle name="Normal 5 3" xfId="38800" xr:uid="{00000000-0005-0000-0000-000093970000}"/>
    <cellStyle name="Normal 5 3 2" xfId="38801" xr:uid="{00000000-0005-0000-0000-000094970000}"/>
    <cellStyle name="Normal 5 3 3" xfId="38802" xr:uid="{00000000-0005-0000-0000-000095970000}"/>
    <cellStyle name="Normal 5 4" xfId="38803" xr:uid="{00000000-0005-0000-0000-000096970000}"/>
    <cellStyle name="Normal 5 5" xfId="38804" xr:uid="{00000000-0005-0000-0000-000097970000}"/>
    <cellStyle name="Normal 5 6" xfId="38805" xr:uid="{00000000-0005-0000-0000-000098970000}"/>
    <cellStyle name="Normal 5 7" xfId="38806" xr:uid="{00000000-0005-0000-0000-000099970000}"/>
    <cellStyle name="Normal 5 8" xfId="38807" xr:uid="{00000000-0005-0000-0000-00009A970000}"/>
    <cellStyle name="Normal 5 9" xfId="38808" xr:uid="{00000000-0005-0000-0000-00009B970000}"/>
    <cellStyle name="Normal 50" xfId="38809" xr:uid="{00000000-0005-0000-0000-00009C970000}"/>
    <cellStyle name="Normal 51" xfId="38810" xr:uid="{00000000-0005-0000-0000-00009D970000}"/>
    <cellStyle name="Normal 52" xfId="38811" xr:uid="{00000000-0005-0000-0000-00009E970000}"/>
    <cellStyle name="Normal 53" xfId="38812" xr:uid="{00000000-0005-0000-0000-00009F970000}"/>
    <cellStyle name="Normal 54" xfId="38813" xr:uid="{00000000-0005-0000-0000-0000A0970000}"/>
    <cellStyle name="Normal 55" xfId="38814" xr:uid="{00000000-0005-0000-0000-0000A1970000}"/>
    <cellStyle name="Normal 56" xfId="38815" xr:uid="{00000000-0005-0000-0000-0000A2970000}"/>
    <cellStyle name="Normal 57" xfId="38816" xr:uid="{00000000-0005-0000-0000-0000A3970000}"/>
    <cellStyle name="Normal 58" xfId="38817" xr:uid="{00000000-0005-0000-0000-0000A4970000}"/>
    <cellStyle name="Normal 59" xfId="38818" xr:uid="{00000000-0005-0000-0000-0000A5970000}"/>
    <cellStyle name="Normal 6" xfId="38819" xr:uid="{00000000-0005-0000-0000-0000A6970000}"/>
    <cellStyle name="Normal 6 10" xfId="38820" xr:uid="{00000000-0005-0000-0000-0000A7970000}"/>
    <cellStyle name="Normal 6 10 10" xfId="38821" xr:uid="{00000000-0005-0000-0000-0000A8970000}"/>
    <cellStyle name="Normal 6 10 2" xfId="38822" xr:uid="{00000000-0005-0000-0000-0000A9970000}"/>
    <cellStyle name="Normal 6 10 2 2" xfId="38823" xr:uid="{00000000-0005-0000-0000-0000AA970000}"/>
    <cellStyle name="Normal 6 10 2 2 2" xfId="38824" xr:uid="{00000000-0005-0000-0000-0000AB970000}"/>
    <cellStyle name="Normal 6 10 2 2 3" xfId="38825" xr:uid="{00000000-0005-0000-0000-0000AC970000}"/>
    <cellStyle name="Normal 6 10 2 3" xfId="38826" xr:uid="{00000000-0005-0000-0000-0000AD970000}"/>
    <cellStyle name="Normal 6 10 2 4" xfId="38827" xr:uid="{00000000-0005-0000-0000-0000AE970000}"/>
    <cellStyle name="Normal 6 10 2 5" xfId="38828" xr:uid="{00000000-0005-0000-0000-0000AF970000}"/>
    <cellStyle name="Normal 6 10 2 6" xfId="38829" xr:uid="{00000000-0005-0000-0000-0000B0970000}"/>
    <cellStyle name="Normal 6 10 3" xfId="38830" xr:uid="{00000000-0005-0000-0000-0000B1970000}"/>
    <cellStyle name="Normal 6 10 3 2" xfId="38831" xr:uid="{00000000-0005-0000-0000-0000B2970000}"/>
    <cellStyle name="Normal 6 10 3 2 2" xfId="38832" xr:uid="{00000000-0005-0000-0000-0000B3970000}"/>
    <cellStyle name="Normal 6 10 3 2 3" xfId="38833" xr:uid="{00000000-0005-0000-0000-0000B4970000}"/>
    <cellStyle name="Normal 6 10 3 3" xfId="38834" xr:uid="{00000000-0005-0000-0000-0000B5970000}"/>
    <cellStyle name="Normal 6 10 3 4" xfId="38835" xr:uid="{00000000-0005-0000-0000-0000B6970000}"/>
    <cellStyle name="Normal 6 10 3 5" xfId="38836" xr:uid="{00000000-0005-0000-0000-0000B7970000}"/>
    <cellStyle name="Normal 6 10 3 6" xfId="38837" xr:uid="{00000000-0005-0000-0000-0000B8970000}"/>
    <cellStyle name="Normal 6 10 4" xfId="38838" xr:uid="{00000000-0005-0000-0000-0000B9970000}"/>
    <cellStyle name="Normal 6 10 4 2" xfId="38839" xr:uid="{00000000-0005-0000-0000-0000BA970000}"/>
    <cellStyle name="Normal 6 10 4 2 2" xfId="38840" xr:uid="{00000000-0005-0000-0000-0000BB970000}"/>
    <cellStyle name="Normal 6 10 4 3" xfId="38841" xr:uid="{00000000-0005-0000-0000-0000BC970000}"/>
    <cellStyle name="Normal 6 10 4 4" xfId="38842" xr:uid="{00000000-0005-0000-0000-0000BD970000}"/>
    <cellStyle name="Normal 6 10 4 5" xfId="38843" xr:uid="{00000000-0005-0000-0000-0000BE970000}"/>
    <cellStyle name="Normal 6 10 5" xfId="38844" xr:uid="{00000000-0005-0000-0000-0000BF970000}"/>
    <cellStyle name="Normal 6 10 5 2" xfId="38845" xr:uid="{00000000-0005-0000-0000-0000C0970000}"/>
    <cellStyle name="Normal 6 10 5 3" xfId="38846" xr:uid="{00000000-0005-0000-0000-0000C1970000}"/>
    <cellStyle name="Normal 6 10 5 4" xfId="38847" xr:uid="{00000000-0005-0000-0000-0000C2970000}"/>
    <cellStyle name="Normal 6 10 6" xfId="38848" xr:uid="{00000000-0005-0000-0000-0000C3970000}"/>
    <cellStyle name="Normal 6 10 6 2" xfId="38849" xr:uid="{00000000-0005-0000-0000-0000C4970000}"/>
    <cellStyle name="Normal 6 10 7" xfId="38850" xr:uid="{00000000-0005-0000-0000-0000C5970000}"/>
    <cellStyle name="Normal 6 10 8" xfId="38851" xr:uid="{00000000-0005-0000-0000-0000C6970000}"/>
    <cellStyle name="Normal 6 10 9" xfId="38852" xr:uid="{00000000-0005-0000-0000-0000C7970000}"/>
    <cellStyle name="Normal 6 11" xfId="38853" xr:uid="{00000000-0005-0000-0000-0000C8970000}"/>
    <cellStyle name="Normal 6 11 10" xfId="38854" xr:uid="{00000000-0005-0000-0000-0000C9970000}"/>
    <cellStyle name="Normal 6 11 2" xfId="38855" xr:uid="{00000000-0005-0000-0000-0000CA970000}"/>
    <cellStyle name="Normal 6 11 2 2" xfId="38856" xr:uid="{00000000-0005-0000-0000-0000CB970000}"/>
    <cellStyle name="Normal 6 11 2 2 2" xfId="38857" xr:uid="{00000000-0005-0000-0000-0000CC970000}"/>
    <cellStyle name="Normal 6 11 2 2 3" xfId="38858" xr:uid="{00000000-0005-0000-0000-0000CD970000}"/>
    <cellStyle name="Normal 6 11 2 3" xfId="38859" xr:uid="{00000000-0005-0000-0000-0000CE970000}"/>
    <cellStyle name="Normal 6 11 2 4" xfId="38860" xr:uid="{00000000-0005-0000-0000-0000CF970000}"/>
    <cellStyle name="Normal 6 11 2 5" xfId="38861" xr:uid="{00000000-0005-0000-0000-0000D0970000}"/>
    <cellStyle name="Normal 6 11 2 6" xfId="38862" xr:uid="{00000000-0005-0000-0000-0000D1970000}"/>
    <cellStyle name="Normal 6 11 3" xfId="38863" xr:uid="{00000000-0005-0000-0000-0000D2970000}"/>
    <cellStyle name="Normal 6 11 3 2" xfId="38864" xr:uid="{00000000-0005-0000-0000-0000D3970000}"/>
    <cellStyle name="Normal 6 11 3 2 2" xfId="38865" xr:uid="{00000000-0005-0000-0000-0000D4970000}"/>
    <cellStyle name="Normal 6 11 3 2 3" xfId="38866" xr:uid="{00000000-0005-0000-0000-0000D5970000}"/>
    <cellStyle name="Normal 6 11 3 3" xfId="38867" xr:uid="{00000000-0005-0000-0000-0000D6970000}"/>
    <cellStyle name="Normal 6 11 3 4" xfId="38868" xr:uid="{00000000-0005-0000-0000-0000D7970000}"/>
    <cellStyle name="Normal 6 11 3 5" xfId="38869" xr:uid="{00000000-0005-0000-0000-0000D8970000}"/>
    <cellStyle name="Normal 6 11 3 6" xfId="38870" xr:uid="{00000000-0005-0000-0000-0000D9970000}"/>
    <cellStyle name="Normal 6 11 4" xfId="38871" xr:uid="{00000000-0005-0000-0000-0000DA970000}"/>
    <cellStyle name="Normal 6 11 4 2" xfId="38872" xr:uid="{00000000-0005-0000-0000-0000DB970000}"/>
    <cellStyle name="Normal 6 11 4 2 2" xfId="38873" xr:uid="{00000000-0005-0000-0000-0000DC970000}"/>
    <cellStyle name="Normal 6 11 4 3" xfId="38874" xr:uid="{00000000-0005-0000-0000-0000DD970000}"/>
    <cellStyle name="Normal 6 11 4 4" xfId="38875" xr:uid="{00000000-0005-0000-0000-0000DE970000}"/>
    <cellStyle name="Normal 6 11 4 5" xfId="38876" xr:uid="{00000000-0005-0000-0000-0000DF970000}"/>
    <cellStyle name="Normal 6 11 5" xfId="38877" xr:uid="{00000000-0005-0000-0000-0000E0970000}"/>
    <cellStyle name="Normal 6 11 5 2" xfId="38878" xr:uid="{00000000-0005-0000-0000-0000E1970000}"/>
    <cellStyle name="Normal 6 11 5 3" xfId="38879" xr:uid="{00000000-0005-0000-0000-0000E2970000}"/>
    <cellStyle name="Normal 6 11 5 4" xfId="38880" xr:uid="{00000000-0005-0000-0000-0000E3970000}"/>
    <cellStyle name="Normal 6 11 6" xfId="38881" xr:uid="{00000000-0005-0000-0000-0000E4970000}"/>
    <cellStyle name="Normal 6 11 6 2" xfId="38882" xr:uid="{00000000-0005-0000-0000-0000E5970000}"/>
    <cellStyle name="Normal 6 11 7" xfId="38883" xr:uid="{00000000-0005-0000-0000-0000E6970000}"/>
    <cellStyle name="Normal 6 11 8" xfId="38884" xr:uid="{00000000-0005-0000-0000-0000E7970000}"/>
    <cellStyle name="Normal 6 11 9" xfId="38885" xr:uid="{00000000-0005-0000-0000-0000E8970000}"/>
    <cellStyle name="Normal 6 12" xfId="38886" xr:uid="{00000000-0005-0000-0000-0000E9970000}"/>
    <cellStyle name="Normal 6 12 10" xfId="38887" xr:uid="{00000000-0005-0000-0000-0000EA970000}"/>
    <cellStyle name="Normal 6 12 2" xfId="38888" xr:uid="{00000000-0005-0000-0000-0000EB970000}"/>
    <cellStyle name="Normal 6 12 2 2" xfId="38889" xr:uid="{00000000-0005-0000-0000-0000EC970000}"/>
    <cellStyle name="Normal 6 12 2 2 2" xfId="38890" xr:uid="{00000000-0005-0000-0000-0000ED970000}"/>
    <cellStyle name="Normal 6 12 2 2 3" xfId="38891" xr:uid="{00000000-0005-0000-0000-0000EE970000}"/>
    <cellStyle name="Normal 6 12 2 3" xfId="38892" xr:uid="{00000000-0005-0000-0000-0000EF970000}"/>
    <cellStyle name="Normal 6 12 2 4" xfId="38893" xr:uid="{00000000-0005-0000-0000-0000F0970000}"/>
    <cellStyle name="Normal 6 12 2 5" xfId="38894" xr:uid="{00000000-0005-0000-0000-0000F1970000}"/>
    <cellStyle name="Normal 6 12 2 6" xfId="38895" xr:uid="{00000000-0005-0000-0000-0000F2970000}"/>
    <cellStyle name="Normal 6 12 3" xfId="38896" xr:uid="{00000000-0005-0000-0000-0000F3970000}"/>
    <cellStyle name="Normal 6 12 3 2" xfId="38897" xr:uid="{00000000-0005-0000-0000-0000F4970000}"/>
    <cellStyle name="Normal 6 12 3 2 2" xfId="38898" xr:uid="{00000000-0005-0000-0000-0000F5970000}"/>
    <cellStyle name="Normal 6 12 3 2 3" xfId="38899" xr:uid="{00000000-0005-0000-0000-0000F6970000}"/>
    <cellStyle name="Normal 6 12 3 3" xfId="38900" xr:uid="{00000000-0005-0000-0000-0000F7970000}"/>
    <cellStyle name="Normal 6 12 3 4" xfId="38901" xr:uid="{00000000-0005-0000-0000-0000F8970000}"/>
    <cellStyle name="Normal 6 12 3 5" xfId="38902" xr:uid="{00000000-0005-0000-0000-0000F9970000}"/>
    <cellStyle name="Normal 6 12 3 6" xfId="38903" xr:uid="{00000000-0005-0000-0000-0000FA970000}"/>
    <cellStyle name="Normal 6 12 4" xfId="38904" xr:uid="{00000000-0005-0000-0000-0000FB970000}"/>
    <cellStyle name="Normal 6 12 4 2" xfId="38905" xr:uid="{00000000-0005-0000-0000-0000FC970000}"/>
    <cellStyle name="Normal 6 12 4 2 2" xfId="38906" xr:uid="{00000000-0005-0000-0000-0000FD970000}"/>
    <cellStyle name="Normal 6 12 4 3" xfId="38907" xr:uid="{00000000-0005-0000-0000-0000FE970000}"/>
    <cellStyle name="Normal 6 12 4 4" xfId="38908" xr:uid="{00000000-0005-0000-0000-0000FF970000}"/>
    <cellStyle name="Normal 6 12 4 5" xfId="38909" xr:uid="{00000000-0005-0000-0000-000000980000}"/>
    <cellStyle name="Normal 6 12 5" xfId="38910" xr:uid="{00000000-0005-0000-0000-000001980000}"/>
    <cellStyle name="Normal 6 12 5 2" xfId="38911" xr:uid="{00000000-0005-0000-0000-000002980000}"/>
    <cellStyle name="Normal 6 12 5 3" xfId="38912" xr:uid="{00000000-0005-0000-0000-000003980000}"/>
    <cellStyle name="Normal 6 12 5 4" xfId="38913" xr:uid="{00000000-0005-0000-0000-000004980000}"/>
    <cellStyle name="Normal 6 12 6" xfId="38914" xr:uid="{00000000-0005-0000-0000-000005980000}"/>
    <cellStyle name="Normal 6 12 6 2" xfId="38915" xr:uid="{00000000-0005-0000-0000-000006980000}"/>
    <cellStyle name="Normal 6 12 7" xfId="38916" xr:uid="{00000000-0005-0000-0000-000007980000}"/>
    <cellStyle name="Normal 6 12 8" xfId="38917" xr:uid="{00000000-0005-0000-0000-000008980000}"/>
    <cellStyle name="Normal 6 12 9" xfId="38918" xr:uid="{00000000-0005-0000-0000-000009980000}"/>
    <cellStyle name="Normal 6 13" xfId="38919" xr:uid="{00000000-0005-0000-0000-00000A980000}"/>
    <cellStyle name="Normal 6 13 10" xfId="38920" xr:uid="{00000000-0005-0000-0000-00000B980000}"/>
    <cellStyle name="Normal 6 13 2" xfId="38921" xr:uid="{00000000-0005-0000-0000-00000C980000}"/>
    <cellStyle name="Normal 6 13 2 2" xfId="38922" xr:uid="{00000000-0005-0000-0000-00000D980000}"/>
    <cellStyle name="Normal 6 13 2 2 2" xfId="38923" xr:uid="{00000000-0005-0000-0000-00000E980000}"/>
    <cellStyle name="Normal 6 13 2 2 3" xfId="38924" xr:uid="{00000000-0005-0000-0000-00000F980000}"/>
    <cellStyle name="Normal 6 13 2 3" xfId="38925" xr:uid="{00000000-0005-0000-0000-000010980000}"/>
    <cellStyle name="Normal 6 13 2 4" xfId="38926" xr:uid="{00000000-0005-0000-0000-000011980000}"/>
    <cellStyle name="Normal 6 13 2 5" xfId="38927" xr:uid="{00000000-0005-0000-0000-000012980000}"/>
    <cellStyle name="Normal 6 13 2 6" xfId="38928" xr:uid="{00000000-0005-0000-0000-000013980000}"/>
    <cellStyle name="Normal 6 13 3" xfId="38929" xr:uid="{00000000-0005-0000-0000-000014980000}"/>
    <cellStyle name="Normal 6 13 3 2" xfId="38930" xr:uid="{00000000-0005-0000-0000-000015980000}"/>
    <cellStyle name="Normal 6 13 3 2 2" xfId="38931" xr:uid="{00000000-0005-0000-0000-000016980000}"/>
    <cellStyle name="Normal 6 13 3 2 3" xfId="38932" xr:uid="{00000000-0005-0000-0000-000017980000}"/>
    <cellStyle name="Normal 6 13 3 3" xfId="38933" xr:uid="{00000000-0005-0000-0000-000018980000}"/>
    <cellStyle name="Normal 6 13 3 4" xfId="38934" xr:uid="{00000000-0005-0000-0000-000019980000}"/>
    <cellStyle name="Normal 6 13 3 5" xfId="38935" xr:uid="{00000000-0005-0000-0000-00001A980000}"/>
    <cellStyle name="Normal 6 13 3 6" xfId="38936" xr:uid="{00000000-0005-0000-0000-00001B980000}"/>
    <cellStyle name="Normal 6 13 4" xfId="38937" xr:uid="{00000000-0005-0000-0000-00001C980000}"/>
    <cellStyle name="Normal 6 13 4 2" xfId="38938" xr:uid="{00000000-0005-0000-0000-00001D980000}"/>
    <cellStyle name="Normal 6 13 4 2 2" xfId="38939" xr:uid="{00000000-0005-0000-0000-00001E980000}"/>
    <cellStyle name="Normal 6 13 4 3" xfId="38940" xr:uid="{00000000-0005-0000-0000-00001F980000}"/>
    <cellStyle name="Normal 6 13 4 4" xfId="38941" xr:uid="{00000000-0005-0000-0000-000020980000}"/>
    <cellStyle name="Normal 6 13 4 5" xfId="38942" xr:uid="{00000000-0005-0000-0000-000021980000}"/>
    <cellStyle name="Normal 6 13 5" xfId="38943" xr:uid="{00000000-0005-0000-0000-000022980000}"/>
    <cellStyle name="Normal 6 13 5 2" xfId="38944" xr:uid="{00000000-0005-0000-0000-000023980000}"/>
    <cellStyle name="Normal 6 13 5 3" xfId="38945" xr:uid="{00000000-0005-0000-0000-000024980000}"/>
    <cellStyle name="Normal 6 13 5 4" xfId="38946" xr:uid="{00000000-0005-0000-0000-000025980000}"/>
    <cellStyle name="Normal 6 13 6" xfId="38947" xr:uid="{00000000-0005-0000-0000-000026980000}"/>
    <cellStyle name="Normal 6 13 6 2" xfId="38948" xr:uid="{00000000-0005-0000-0000-000027980000}"/>
    <cellStyle name="Normal 6 13 7" xfId="38949" xr:uid="{00000000-0005-0000-0000-000028980000}"/>
    <cellStyle name="Normal 6 13 8" xfId="38950" xr:uid="{00000000-0005-0000-0000-000029980000}"/>
    <cellStyle name="Normal 6 13 9" xfId="38951" xr:uid="{00000000-0005-0000-0000-00002A980000}"/>
    <cellStyle name="Normal 6 14" xfId="38952" xr:uid="{00000000-0005-0000-0000-00002B980000}"/>
    <cellStyle name="Normal 6 14 2" xfId="38953" xr:uid="{00000000-0005-0000-0000-00002C980000}"/>
    <cellStyle name="Normal 6 14 2 2" xfId="38954" xr:uid="{00000000-0005-0000-0000-00002D980000}"/>
    <cellStyle name="Normal 6 14 2 2 2" xfId="38955" xr:uid="{00000000-0005-0000-0000-00002E980000}"/>
    <cellStyle name="Normal 6 14 2 2 3" xfId="38956" xr:uid="{00000000-0005-0000-0000-00002F980000}"/>
    <cellStyle name="Normal 6 14 2 3" xfId="38957" xr:uid="{00000000-0005-0000-0000-000030980000}"/>
    <cellStyle name="Normal 6 14 2 4" xfId="38958" xr:uid="{00000000-0005-0000-0000-000031980000}"/>
    <cellStyle name="Normal 6 14 2 5" xfId="38959" xr:uid="{00000000-0005-0000-0000-000032980000}"/>
    <cellStyle name="Normal 6 14 2 6" xfId="38960" xr:uid="{00000000-0005-0000-0000-000033980000}"/>
    <cellStyle name="Normal 6 14 3" xfId="38961" xr:uid="{00000000-0005-0000-0000-000034980000}"/>
    <cellStyle name="Normal 6 14 3 2" xfId="38962" xr:uid="{00000000-0005-0000-0000-000035980000}"/>
    <cellStyle name="Normal 6 14 3 2 2" xfId="38963" xr:uid="{00000000-0005-0000-0000-000036980000}"/>
    <cellStyle name="Normal 6 14 3 3" xfId="38964" xr:uid="{00000000-0005-0000-0000-000037980000}"/>
    <cellStyle name="Normal 6 14 3 4" xfId="38965" xr:uid="{00000000-0005-0000-0000-000038980000}"/>
    <cellStyle name="Normal 6 14 3 5" xfId="38966" xr:uid="{00000000-0005-0000-0000-000039980000}"/>
    <cellStyle name="Normal 6 14 4" xfId="38967" xr:uid="{00000000-0005-0000-0000-00003A980000}"/>
    <cellStyle name="Normal 6 14 4 2" xfId="38968" xr:uid="{00000000-0005-0000-0000-00003B980000}"/>
    <cellStyle name="Normal 6 14 4 3" xfId="38969" xr:uid="{00000000-0005-0000-0000-00003C980000}"/>
    <cellStyle name="Normal 6 14 4 4" xfId="38970" xr:uid="{00000000-0005-0000-0000-00003D980000}"/>
    <cellStyle name="Normal 6 14 5" xfId="38971" xr:uid="{00000000-0005-0000-0000-00003E980000}"/>
    <cellStyle name="Normal 6 14 5 2" xfId="38972" xr:uid="{00000000-0005-0000-0000-00003F980000}"/>
    <cellStyle name="Normal 6 14 6" xfId="38973" xr:uid="{00000000-0005-0000-0000-000040980000}"/>
    <cellStyle name="Normal 6 14 7" xfId="38974" xr:uid="{00000000-0005-0000-0000-000041980000}"/>
    <cellStyle name="Normal 6 14 8" xfId="38975" xr:uid="{00000000-0005-0000-0000-000042980000}"/>
    <cellStyle name="Normal 6 14 9" xfId="38976" xr:uid="{00000000-0005-0000-0000-000043980000}"/>
    <cellStyle name="Normal 6 15" xfId="38977" xr:uid="{00000000-0005-0000-0000-000044980000}"/>
    <cellStyle name="Normal 6 15 2" xfId="38978" xr:uid="{00000000-0005-0000-0000-000045980000}"/>
    <cellStyle name="Normal 6 15 2 2" xfId="38979" xr:uid="{00000000-0005-0000-0000-000046980000}"/>
    <cellStyle name="Normal 6 15 2 2 2" xfId="38980" xr:uid="{00000000-0005-0000-0000-000047980000}"/>
    <cellStyle name="Normal 6 15 2 2 3" xfId="38981" xr:uid="{00000000-0005-0000-0000-000048980000}"/>
    <cellStyle name="Normal 6 15 2 3" xfId="38982" xr:uid="{00000000-0005-0000-0000-000049980000}"/>
    <cellStyle name="Normal 6 15 2 4" xfId="38983" xr:uid="{00000000-0005-0000-0000-00004A980000}"/>
    <cellStyle name="Normal 6 15 2 5" xfId="38984" xr:uid="{00000000-0005-0000-0000-00004B980000}"/>
    <cellStyle name="Normal 6 15 2 6" xfId="38985" xr:uid="{00000000-0005-0000-0000-00004C980000}"/>
    <cellStyle name="Normal 6 15 3" xfId="38986" xr:uid="{00000000-0005-0000-0000-00004D980000}"/>
    <cellStyle name="Normal 6 15 3 2" xfId="38987" xr:uid="{00000000-0005-0000-0000-00004E980000}"/>
    <cellStyle name="Normal 6 15 3 2 2" xfId="38988" xr:uid="{00000000-0005-0000-0000-00004F980000}"/>
    <cellStyle name="Normal 6 15 3 3" xfId="38989" xr:uid="{00000000-0005-0000-0000-000050980000}"/>
    <cellStyle name="Normal 6 15 3 4" xfId="38990" xr:uid="{00000000-0005-0000-0000-000051980000}"/>
    <cellStyle name="Normal 6 15 3 5" xfId="38991" xr:uid="{00000000-0005-0000-0000-000052980000}"/>
    <cellStyle name="Normal 6 15 4" xfId="38992" xr:uid="{00000000-0005-0000-0000-000053980000}"/>
    <cellStyle name="Normal 6 15 4 2" xfId="38993" xr:uid="{00000000-0005-0000-0000-000054980000}"/>
    <cellStyle name="Normal 6 15 4 3" xfId="38994" xr:uid="{00000000-0005-0000-0000-000055980000}"/>
    <cellStyle name="Normal 6 15 4 4" xfId="38995" xr:uid="{00000000-0005-0000-0000-000056980000}"/>
    <cellStyle name="Normal 6 15 5" xfId="38996" xr:uid="{00000000-0005-0000-0000-000057980000}"/>
    <cellStyle name="Normal 6 15 5 2" xfId="38997" xr:uid="{00000000-0005-0000-0000-000058980000}"/>
    <cellStyle name="Normal 6 15 6" xfId="38998" xr:uid="{00000000-0005-0000-0000-000059980000}"/>
    <cellStyle name="Normal 6 15 7" xfId="38999" xr:uid="{00000000-0005-0000-0000-00005A980000}"/>
    <cellStyle name="Normal 6 15 8" xfId="39000" xr:uid="{00000000-0005-0000-0000-00005B980000}"/>
    <cellStyle name="Normal 6 15 9" xfId="39001" xr:uid="{00000000-0005-0000-0000-00005C980000}"/>
    <cellStyle name="Normal 6 16" xfId="39002" xr:uid="{00000000-0005-0000-0000-00005D980000}"/>
    <cellStyle name="Normal 6 16 2" xfId="39003" xr:uid="{00000000-0005-0000-0000-00005E980000}"/>
    <cellStyle name="Normal 6 16 2 2" xfId="39004" xr:uid="{00000000-0005-0000-0000-00005F980000}"/>
    <cellStyle name="Normal 6 16 2 3" xfId="39005" xr:uid="{00000000-0005-0000-0000-000060980000}"/>
    <cellStyle name="Normal 6 16 3" xfId="39006" xr:uid="{00000000-0005-0000-0000-000061980000}"/>
    <cellStyle name="Normal 6 16 4" xfId="39007" xr:uid="{00000000-0005-0000-0000-000062980000}"/>
    <cellStyle name="Normal 6 16 5" xfId="39008" xr:uid="{00000000-0005-0000-0000-000063980000}"/>
    <cellStyle name="Normal 6 16 6" xfId="39009" xr:uid="{00000000-0005-0000-0000-000064980000}"/>
    <cellStyle name="Normal 6 17" xfId="39010" xr:uid="{00000000-0005-0000-0000-000065980000}"/>
    <cellStyle name="Normal 6 17 2" xfId="39011" xr:uid="{00000000-0005-0000-0000-000066980000}"/>
    <cellStyle name="Normal 6 17 2 2" xfId="39012" xr:uid="{00000000-0005-0000-0000-000067980000}"/>
    <cellStyle name="Normal 6 17 3" xfId="39013" xr:uid="{00000000-0005-0000-0000-000068980000}"/>
    <cellStyle name="Normal 6 17 4" xfId="39014" xr:uid="{00000000-0005-0000-0000-000069980000}"/>
    <cellStyle name="Normal 6 17 5" xfId="39015" xr:uid="{00000000-0005-0000-0000-00006A980000}"/>
    <cellStyle name="Normal 6 17 6" xfId="39016" xr:uid="{00000000-0005-0000-0000-00006B980000}"/>
    <cellStyle name="Normal 6 18" xfId="39017" xr:uid="{00000000-0005-0000-0000-00006C980000}"/>
    <cellStyle name="Normal 6 18 2" xfId="39018" xr:uid="{00000000-0005-0000-0000-00006D980000}"/>
    <cellStyle name="Normal 6 18 2 2" xfId="39019" xr:uid="{00000000-0005-0000-0000-00006E980000}"/>
    <cellStyle name="Normal 6 18 3" xfId="39020" xr:uid="{00000000-0005-0000-0000-00006F980000}"/>
    <cellStyle name="Normal 6 18 4" xfId="39021" xr:uid="{00000000-0005-0000-0000-000070980000}"/>
    <cellStyle name="Normal 6 18 5" xfId="39022" xr:uid="{00000000-0005-0000-0000-000071980000}"/>
    <cellStyle name="Normal 6 18 6" xfId="39023" xr:uid="{00000000-0005-0000-0000-000072980000}"/>
    <cellStyle name="Normal 6 19" xfId="39024" xr:uid="{00000000-0005-0000-0000-000073980000}"/>
    <cellStyle name="Normal 6 19 2" xfId="39025" xr:uid="{00000000-0005-0000-0000-000074980000}"/>
    <cellStyle name="Normal 6 19 3" xfId="39026" xr:uid="{00000000-0005-0000-0000-000075980000}"/>
    <cellStyle name="Normal 6 19 4" xfId="39027" xr:uid="{00000000-0005-0000-0000-000076980000}"/>
    <cellStyle name="Normal 6 2" xfId="39028" xr:uid="{00000000-0005-0000-0000-000077980000}"/>
    <cellStyle name="Normal 6 2 2" xfId="39029" xr:uid="{00000000-0005-0000-0000-000078980000}"/>
    <cellStyle name="Normal 6 2 2 2" xfId="39030" xr:uid="{00000000-0005-0000-0000-000079980000}"/>
    <cellStyle name="Normal 6 2 2 3" xfId="39031" xr:uid="{00000000-0005-0000-0000-00007A980000}"/>
    <cellStyle name="Normal 6 2 3" xfId="39032" xr:uid="{00000000-0005-0000-0000-00007B980000}"/>
    <cellStyle name="Normal 6 2 3 2" xfId="39033" xr:uid="{00000000-0005-0000-0000-00007C980000}"/>
    <cellStyle name="Normal 6 2 4" xfId="39034" xr:uid="{00000000-0005-0000-0000-00007D980000}"/>
    <cellStyle name="Normal 6 2 5" xfId="39035" xr:uid="{00000000-0005-0000-0000-00007E980000}"/>
    <cellStyle name="Normal 6 20" xfId="39036" xr:uid="{00000000-0005-0000-0000-00007F980000}"/>
    <cellStyle name="Normal 6 20 2" xfId="39037" xr:uid="{00000000-0005-0000-0000-000080980000}"/>
    <cellStyle name="Normal 6 20 3" xfId="39038" xr:uid="{00000000-0005-0000-0000-000081980000}"/>
    <cellStyle name="Normal 6 21" xfId="39039" xr:uid="{00000000-0005-0000-0000-000082980000}"/>
    <cellStyle name="Normal 6 21 2" xfId="39040" xr:uid="{00000000-0005-0000-0000-000083980000}"/>
    <cellStyle name="Normal 6 22" xfId="39041" xr:uid="{00000000-0005-0000-0000-000084980000}"/>
    <cellStyle name="Normal 6 22 2" xfId="39042" xr:uid="{00000000-0005-0000-0000-000085980000}"/>
    <cellStyle name="Normal 6 23" xfId="39043" xr:uid="{00000000-0005-0000-0000-000086980000}"/>
    <cellStyle name="Normal 6 23 2" xfId="39044" xr:uid="{00000000-0005-0000-0000-000087980000}"/>
    <cellStyle name="Normal 6 24" xfId="39045" xr:uid="{00000000-0005-0000-0000-000088980000}"/>
    <cellStyle name="Normal 6 25" xfId="39046" xr:uid="{00000000-0005-0000-0000-000089980000}"/>
    <cellStyle name="Normal 6 26" xfId="39047" xr:uid="{00000000-0005-0000-0000-00008A980000}"/>
    <cellStyle name="Normal 6 27" xfId="39048" xr:uid="{00000000-0005-0000-0000-00008B980000}"/>
    <cellStyle name="Normal 6 28" xfId="39049" xr:uid="{00000000-0005-0000-0000-00008C980000}"/>
    <cellStyle name="Normal 6 29" xfId="39050" xr:uid="{00000000-0005-0000-0000-00008D980000}"/>
    <cellStyle name="Normal 6 3" xfId="39051" xr:uid="{00000000-0005-0000-0000-00008E980000}"/>
    <cellStyle name="Normal 6 3 10" xfId="39052" xr:uid="{00000000-0005-0000-0000-00008F980000}"/>
    <cellStyle name="Normal 6 3 11" xfId="39053" xr:uid="{00000000-0005-0000-0000-000090980000}"/>
    <cellStyle name="Normal 6 3 2" xfId="39054" xr:uid="{00000000-0005-0000-0000-000091980000}"/>
    <cellStyle name="Normal 6 3 2 2" xfId="39055" xr:uid="{00000000-0005-0000-0000-000092980000}"/>
    <cellStyle name="Normal 6 3 2 2 2" xfId="39056" xr:uid="{00000000-0005-0000-0000-000093980000}"/>
    <cellStyle name="Normal 6 3 2 2 2 2" xfId="39057" xr:uid="{00000000-0005-0000-0000-000094980000}"/>
    <cellStyle name="Normal 6 3 2 2 2 3" xfId="39058" xr:uid="{00000000-0005-0000-0000-000095980000}"/>
    <cellStyle name="Normal 6 3 2 2 3" xfId="39059" xr:uid="{00000000-0005-0000-0000-000096980000}"/>
    <cellStyle name="Normal 6 3 2 2 4" xfId="39060" xr:uid="{00000000-0005-0000-0000-000097980000}"/>
    <cellStyle name="Normal 6 3 2 2 5" xfId="39061" xr:uid="{00000000-0005-0000-0000-000098980000}"/>
    <cellStyle name="Normal 6 3 2 2 6" xfId="39062" xr:uid="{00000000-0005-0000-0000-000099980000}"/>
    <cellStyle name="Normal 6 3 2 3" xfId="39063" xr:uid="{00000000-0005-0000-0000-00009A980000}"/>
    <cellStyle name="Normal 6 3 2 3 2" xfId="39064" xr:uid="{00000000-0005-0000-0000-00009B980000}"/>
    <cellStyle name="Normal 6 3 2 3 2 2" xfId="39065" xr:uid="{00000000-0005-0000-0000-00009C980000}"/>
    <cellStyle name="Normal 6 3 2 3 3" xfId="39066" xr:uid="{00000000-0005-0000-0000-00009D980000}"/>
    <cellStyle name="Normal 6 3 2 3 4" xfId="39067" xr:uid="{00000000-0005-0000-0000-00009E980000}"/>
    <cellStyle name="Normal 6 3 2 3 5" xfId="39068" xr:uid="{00000000-0005-0000-0000-00009F980000}"/>
    <cellStyle name="Normal 6 3 2 4" xfId="39069" xr:uid="{00000000-0005-0000-0000-0000A0980000}"/>
    <cellStyle name="Normal 6 3 2 4 2" xfId="39070" xr:uid="{00000000-0005-0000-0000-0000A1980000}"/>
    <cellStyle name="Normal 6 3 2 4 3" xfId="39071" xr:uid="{00000000-0005-0000-0000-0000A2980000}"/>
    <cellStyle name="Normal 6 3 2 4 4" xfId="39072" xr:uid="{00000000-0005-0000-0000-0000A3980000}"/>
    <cellStyle name="Normal 6 3 2 5" xfId="39073" xr:uid="{00000000-0005-0000-0000-0000A4980000}"/>
    <cellStyle name="Normal 6 3 2 5 2" xfId="39074" xr:uid="{00000000-0005-0000-0000-0000A5980000}"/>
    <cellStyle name="Normal 6 3 2 6" xfId="39075" xr:uid="{00000000-0005-0000-0000-0000A6980000}"/>
    <cellStyle name="Normal 6 3 2 7" xfId="39076" xr:uid="{00000000-0005-0000-0000-0000A7980000}"/>
    <cellStyle name="Normal 6 3 2 8" xfId="39077" xr:uid="{00000000-0005-0000-0000-0000A8980000}"/>
    <cellStyle name="Normal 6 3 2 9" xfId="39078" xr:uid="{00000000-0005-0000-0000-0000A9980000}"/>
    <cellStyle name="Normal 6 3 3" xfId="39079" xr:uid="{00000000-0005-0000-0000-0000AA980000}"/>
    <cellStyle name="Normal 6 3 3 2" xfId="39080" xr:uid="{00000000-0005-0000-0000-0000AB980000}"/>
    <cellStyle name="Normal 6 3 3 2 2" xfId="39081" xr:uid="{00000000-0005-0000-0000-0000AC980000}"/>
    <cellStyle name="Normal 6 3 3 2 2 2" xfId="39082" xr:uid="{00000000-0005-0000-0000-0000AD980000}"/>
    <cellStyle name="Normal 6 3 3 2 2 3" xfId="39083" xr:uid="{00000000-0005-0000-0000-0000AE980000}"/>
    <cellStyle name="Normal 6 3 3 2 3" xfId="39084" xr:uid="{00000000-0005-0000-0000-0000AF980000}"/>
    <cellStyle name="Normal 6 3 3 2 4" xfId="39085" xr:uid="{00000000-0005-0000-0000-0000B0980000}"/>
    <cellStyle name="Normal 6 3 3 2 5" xfId="39086" xr:uid="{00000000-0005-0000-0000-0000B1980000}"/>
    <cellStyle name="Normal 6 3 3 2 6" xfId="39087" xr:uid="{00000000-0005-0000-0000-0000B2980000}"/>
    <cellStyle name="Normal 6 3 3 3" xfId="39088" xr:uid="{00000000-0005-0000-0000-0000B3980000}"/>
    <cellStyle name="Normal 6 3 3 3 2" xfId="39089" xr:uid="{00000000-0005-0000-0000-0000B4980000}"/>
    <cellStyle name="Normal 6 3 3 3 2 2" xfId="39090" xr:uid="{00000000-0005-0000-0000-0000B5980000}"/>
    <cellStyle name="Normal 6 3 3 3 3" xfId="39091" xr:uid="{00000000-0005-0000-0000-0000B6980000}"/>
    <cellStyle name="Normal 6 3 3 3 4" xfId="39092" xr:uid="{00000000-0005-0000-0000-0000B7980000}"/>
    <cellStyle name="Normal 6 3 3 3 5" xfId="39093" xr:uid="{00000000-0005-0000-0000-0000B8980000}"/>
    <cellStyle name="Normal 6 3 3 4" xfId="39094" xr:uid="{00000000-0005-0000-0000-0000B9980000}"/>
    <cellStyle name="Normal 6 3 3 4 2" xfId="39095" xr:uid="{00000000-0005-0000-0000-0000BA980000}"/>
    <cellStyle name="Normal 6 3 3 4 3" xfId="39096" xr:uid="{00000000-0005-0000-0000-0000BB980000}"/>
    <cellStyle name="Normal 6 3 3 4 4" xfId="39097" xr:uid="{00000000-0005-0000-0000-0000BC980000}"/>
    <cellStyle name="Normal 6 3 3 5" xfId="39098" xr:uid="{00000000-0005-0000-0000-0000BD980000}"/>
    <cellStyle name="Normal 6 3 3 5 2" xfId="39099" xr:uid="{00000000-0005-0000-0000-0000BE980000}"/>
    <cellStyle name="Normal 6 3 3 6" xfId="39100" xr:uid="{00000000-0005-0000-0000-0000BF980000}"/>
    <cellStyle name="Normal 6 3 3 7" xfId="39101" xr:uid="{00000000-0005-0000-0000-0000C0980000}"/>
    <cellStyle name="Normal 6 3 3 8" xfId="39102" xr:uid="{00000000-0005-0000-0000-0000C1980000}"/>
    <cellStyle name="Normal 6 3 3 9" xfId="39103" xr:uid="{00000000-0005-0000-0000-0000C2980000}"/>
    <cellStyle name="Normal 6 3 4" xfId="39104" xr:uid="{00000000-0005-0000-0000-0000C3980000}"/>
    <cellStyle name="Normal 6 3 4 2" xfId="39105" xr:uid="{00000000-0005-0000-0000-0000C4980000}"/>
    <cellStyle name="Normal 6 3 4 2 2" xfId="39106" xr:uid="{00000000-0005-0000-0000-0000C5980000}"/>
    <cellStyle name="Normal 6 3 4 2 3" xfId="39107" xr:uid="{00000000-0005-0000-0000-0000C6980000}"/>
    <cellStyle name="Normal 6 3 4 3" xfId="39108" xr:uid="{00000000-0005-0000-0000-0000C7980000}"/>
    <cellStyle name="Normal 6 3 4 4" xfId="39109" xr:uid="{00000000-0005-0000-0000-0000C8980000}"/>
    <cellStyle name="Normal 6 3 4 5" xfId="39110" xr:uid="{00000000-0005-0000-0000-0000C9980000}"/>
    <cellStyle name="Normal 6 3 4 6" xfId="39111" xr:uid="{00000000-0005-0000-0000-0000CA980000}"/>
    <cellStyle name="Normal 6 3 5" xfId="39112" xr:uid="{00000000-0005-0000-0000-0000CB980000}"/>
    <cellStyle name="Normal 6 3 5 2" xfId="39113" xr:uid="{00000000-0005-0000-0000-0000CC980000}"/>
    <cellStyle name="Normal 6 3 5 2 2" xfId="39114" xr:uid="{00000000-0005-0000-0000-0000CD980000}"/>
    <cellStyle name="Normal 6 3 5 3" xfId="39115" xr:uid="{00000000-0005-0000-0000-0000CE980000}"/>
    <cellStyle name="Normal 6 3 5 4" xfId="39116" xr:uid="{00000000-0005-0000-0000-0000CF980000}"/>
    <cellStyle name="Normal 6 3 5 5" xfId="39117" xr:uid="{00000000-0005-0000-0000-0000D0980000}"/>
    <cellStyle name="Normal 6 3 6" xfId="39118" xr:uid="{00000000-0005-0000-0000-0000D1980000}"/>
    <cellStyle name="Normal 6 3 6 2" xfId="39119" xr:uid="{00000000-0005-0000-0000-0000D2980000}"/>
    <cellStyle name="Normal 6 3 6 3" xfId="39120" xr:uid="{00000000-0005-0000-0000-0000D3980000}"/>
    <cellStyle name="Normal 6 3 6 4" xfId="39121" xr:uid="{00000000-0005-0000-0000-0000D4980000}"/>
    <cellStyle name="Normal 6 3 7" xfId="39122" xr:uid="{00000000-0005-0000-0000-0000D5980000}"/>
    <cellStyle name="Normal 6 3 7 2" xfId="39123" xr:uid="{00000000-0005-0000-0000-0000D6980000}"/>
    <cellStyle name="Normal 6 3 8" xfId="39124" xr:uid="{00000000-0005-0000-0000-0000D7980000}"/>
    <cellStyle name="Normal 6 3 9" xfId="39125" xr:uid="{00000000-0005-0000-0000-0000D8980000}"/>
    <cellStyle name="Normal 6 30" xfId="39126" xr:uid="{00000000-0005-0000-0000-0000D9980000}"/>
    <cellStyle name="Normal 6 31" xfId="39127" xr:uid="{00000000-0005-0000-0000-0000DA980000}"/>
    <cellStyle name="Normal 6 32" xfId="39128" xr:uid="{00000000-0005-0000-0000-0000DB980000}"/>
    <cellStyle name="Normal 6 33" xfId="39129" xr:uid="{00000000-0005-0000-0000-0000DC980000}"/>
    <cellStyle name="Normal 6 34" xfId="39130" xr:uid="{00000000-0005-0000-0000-0000DD980000}"/>
    <cellStyle name="Normal 6 35" xfId="39131" xr:uid="{00000000-0005-0000-0000-0000DE980000}"/>
    <cellStyle name="Normal 6 36" xfId="39132" xr:uid="{00000000-0005-0000-0000-0000DF980000}"/>
    <cellStyle name="Normal 6 37" xfId="39133" xr:uid="{00000000-0005-0000-0000-0000E0980000}"/>
    <cellStyle name="Normal 6 38" xfId="39134" xr:uid="{00000000-0005-0000-0000-0000E1980000}"/>
    <cellStyle name="Normal 6 39" xfId="39135" xr:uid="{00000000-0005-0000-0000-0000E2980000}"/>
    <cellStyle name="Normal 6 4" xfId="39136" xr:uid="{00000000-0005-0000-0000-0000E3980000}"/>
    <cellStyle name="Normal 6 4 10" xfId="39137" xr:uid="{00000000-0005-0000-0000-0000E4980000}"/>
    <cellStyle name="Normal 6 4 11" xfId="39138" xr:uid="{00000000-0005-0000-0000-0000E5980000}"/>
    <cellStyle name="Normal 6 4 2" xfId="39139" xr:uid="{00000000-0005-0000-0000-0000E6980000}"/>
    <cellStyle name="Normal 6 4 2 2" xfId="39140" xr:uid="{00000000-0005-0000-0000-0000E7980000}"/>
    <cellStyle name="Normal 6 4 2 2 2" xfId="39141" xr:uid="{00000000-0005-0000-0000-0000E8980000}"/>
    <cellStyle name="Normal 6 4 2 2 2 2" xfId="39142" xr:uid="{00000000-0005-0000-0000-0000E9980000}"/>
    <cellStyle name="Normal 6 4 2 2 2 3" xfId="39143" xr:uid="{00000000-0005-0000-0000-0000EA980000}"/>
    <cellStyle name="Normal 6 4 2 2 3" xfId="39144" xr:uid="{00000000-0005-0000-0000-0000EB980000}"/>
    <cellStyle name="Normal 6 4 2 2 4" xfId="39145" xr:uid="{00000000-0005-0000-0000-0000EC980000}"/>
    <cellStyle name="Normal 6 4 2 2 5" xfId="39146" xr:uid="{00000000-0005-0000-0000-0000ED980000}"/>
    <cellStyle name="Normal 6 4 2 2 6" xfId="39147" xr:uid="{00000000-0005-0000-0000-0000EE980000}"/>
    <cellStyle name="Normal 6 4 2 3" xfId="39148" xr:uid="{00000000-0005-0000-0000-0000EF980000}"/>
    <cellStyle name="Normal 6 4 2 3 2" xfId="39149" xr:uid="{00000000-0005-0000-0000-0000F0980000}"/>
    <cellStyle name="Normal 6 4 2 3 2 2" xfId="39150" xr:uid="{00000000-0005-0000-0000-0000F1980000}"/>
    <cellStyle name="Normal 6 4 2 3 3" xfId="39151" xr:uid="{00000000-0005-0000-0000-0000F2980000}"/>
    <cellStyle name="Normal 6 4 2 3 4" xfId="39152" xr:uid="{00000000-0005-0000-0000-0000F3980000}"/>
    <cellStyle name="Normal 6 4 2 3 5" xfId="39153" xr:uid="{00000000-0005-0000-0000-0000F4980000}"/>
    <cellStyle name="Normal 6 4 2 4" xfId="39154" xr:uid="{00000000-0005-0000-0000-0000F5980000}"/>
    <cellStyle name="Normal 6 4 2 4 2" xfId="39155" xr:uid="{00000000-0005-0000-0000-0000F6980000}"/>
    <cellStyle name="Normal 6 4 2 4 3" xfId="39156" xr:uid="{00000000-0005-0000-0000-0000F7980000}"/>
    <cellStyle name="Normal 6 4 2 4 4" xfId="39157" xr:uid="{00000000-0005-0000-0000-0000F8980000}"/>
    <cellStyle name="Normal 6 4 2 5" xfId="39158" xr:uid="{00000000-0005-0000-0000-0000F9980000}"/>
    <cellStyle name="Normal 6 4 2 5 2" xfId="39159" xr:uid="{00000000-0005-0000-0000-0000FA980000}"/>
    <cellStyle name="Normal 6 4 2 6" xfId="39160" xr:uid="{00000000-0005-0000-0000-0000FB980000}"/>
    <cellStyle name="Normal 6 4 2 7" xfId="39161" xr:uid="{00000000-0005-0000-0000-0000FC980000}"/>
    <cellStyle name="Normal 6 4 2 8" xfId="39162" xr:uid="{00000000-0005-0000-0000-0000FD980000}"/>
    <cellStyle name="Normal 6 4 2 9" xfId="39163" xr:uid="{00000000-0005-0000-0000-0000FE980000}"/>
    <cellStyle name="Normal 6 4 3" xfId="39164" xr:uid="{00000000-0005-0000-0000-0000FF980000}"/>
    <cellStyle name="Normal 6 4 3 2" xfId="39165" xr:uid="{00000000-0005-0000-0000-000000990000}"/>
    <cellStyle name="Normal 6 4 3 2 2" xfId="39166" xr:uid="{00000000-0005-0000-0000-000001990000}"/>
    <cellStyle name="Normal 6 4 3 2 2 2" xfId="39167" xr:uid="{00000000-0005-0000-0000-000002990000}"/>
    <cellStyle name="Normal 6 4 3 2 2 3" xfId="39168" xr:uid="{00000000-0005-0000-0000-000003990000}"/>
    <cellStyle name="Normal 6 4 3 2 3" xfId="39169" xr:uid="{00000000-0005-0000-0000-000004990000}"/>
    <cellStyle name="Normal 6 4 3 2 4" xfId="39170" xr:uid="{00000000-0005-0000-0000-000005990000}"/>
    <cellStyle name="Normal 6 4 3 2 5" xfId="39171" xr:uid="{00000000-0005-0000-0000-000006990000}"/>
    <cellStyle name="Normal 6 4 3 2 6" xfId="39172" xr:uid="{00000000-0005-0000-0000-000007990000}"/>
    <cellStyle name="Normal 6 4 3 3" xfId="39173" xr:uid="{00000000-0005-0000-0000-000008990000}"/>
    <cellStyle name="Normal 6 4 3 3 2" xfId="39174" xr:uid="{00000000-0005-0000-0000-000009990000}"/>
    <cellStyle name="Normal 6 4 3 3 2 2" xfId="39175" xr:uid="{00000000-0005-0000-0000-00000A990000}"/>
    <cellStyle name="Normal 6 4 3 3 3" xfId="39176" xr:uid="{00000000-0005-0000-0000-00000B990000}"/>
    <cellStyle name="Normal 6 4 3 3 4" xfId="39177" xr:uid="{00000000-0005-0000-0000-00000C990000}"/>
    <cellStyle name="Normal 6 4 3 3 5" xfId="39178" xr:uid="{00000000-0005-0000-0000-00000D990000}"/>
    <cellStyle name="Normal 6 4 3 4" xfId="39179" xr:uid="{00000000-0005-0000-0000-00000E990000}"/>
    <cellStyle name="Normal 6 4 3 4 2" xfId="39180" xr:uid="{00000000-0005-0000-0000-00000F990000}"/>
    <cellStyle name="Normal 6 4 3 4 3" xfId="39181" xr:uid="{00000000-0005-0000-0000-000010990000}"/>
    <cellStyle name="Normal 6 4 3 4 4" xfId="39182" xr:uid="{00000000-0005-0000-0000-000011990000}"/>
    <cellStyle name="Normal 6 4 3 5" xfId="39183" xr:uid="{00000000-0005-0000-0000-000012990000}"/>
    <cellStyle name="Normal 6 4 3 5 2" xfId="39184" xr:uid="{00000000-0005-0000-0000-000013990000}"/>
    <cellStyle name="Normal 6 4 3 6" xfId="39185" xr:uid="{00000000-0005-0000-0000-000014990000}"/>
    <cellStyle name="Normal 6 4 3 7" xfId="39186" xr:uid="{00000000-0005-0000-0000-000015990000}"/>
    <cellStyle name="Normal 6 4 3 8" xfId="39187" xr:uid="{00000000-0005-0000-0000-000016990000}"/>
    <cellStyle name="Normal 6 4 3 9" xfId="39188" xr:uid="{00000000-0005-0000-0000-000017990000}"/>
    <cellStyle name="Normal 6 4 4" xfId="39189" xr:uid="{00000000-0005-0000-0000-000018990000}"/>
    <cellStyle name="Normal 6 4 4 2" xfId="39190" xr:uid="{00000000-0005-0000-0000-000019990000}"/>
    <cellStyle name="Normal 6 4 4 2 2" xfId="39191" xr:uid="{00000000-0005-0000-0000-00001A990000}"/>
    <cellStyle name="Normal 6 4 4 2 3" xfId="39192" xr:uid="{00000000-0005-0000-0000-00001B990000}"/>
    <cellStyle name="Normal 6 4 4 3" xfId="39193" xr:uid="{00000000-0005-0000-0000-00001C990000}"/>
    <cellStyle name="Normal 6 4 4 4" xfId="39194" xr:uid="{00000000-0005-0000-0000-00001D990000}"/>
    <cellStyle name="Normal 6 4 4 5" xfId="39195" xr:uid="{00000000-0005-0000-0000-00001E990000}"/>
    <cellStyle name="Normal 6 4 4 6" xfId="39196" xr:uid="{00000000-0005-0000-0000-00001F990000}"/>
    <cellStyle name="Normal 6 4 5" xfId="39197" xr:uid="{00000000-0005-0000-0000-000020990000}"/>
    <cellStyle name="Normal 6 4 5 2" xfId="39198" xr:uid="{00000000-0005-0000-0000-000021990000}"/>
    <cellStyle name="Normal 6 4 5 2 2" xfId="39199" xr:uid="{00000000-0005-0000-0000-000022990000}"/>
    <cellStyle name="Normal 6 4 5 3" xfId="39200" xr:uid="{00000000-0005-0000-0000-000023990000}"/>
    <cellStyle name="Normal 6 4 5 4" xfId="39201" xr:uid="{00000000-0005-0000-0000-000024990000}"/>
    <cellStyle name="Normal 6 4 5 5" xfId="39202" xr:uid="{00000000-0005-0000-0000-000025990000}"/>
    <cellStyle name="Normal 6 4 6" xfId="39203" xr:uid="{00000000-0005-0000-0000-000026990000}"/>
    <cellStyle name="Normal 6 4 6 2" xfId="39204" xr:uid="{00000000-0005-0000-0000-000027990000}"/>
    <cellStyle name="Normal 6 4 6 3" xfId="39205" xr:uid="{00000000-0005-0000-0000-000028990000}"/>
    <cellStyle name="Normal 6 4 6 4" xfId="39206" xr:uid="{00000000-0005-0000-0000-000029990000}"/>
    <cellStyle name="Normal 6 4 7" xfId="39207" xr:uid="{00000000-0005-0000-0000-00002A990000}"/>
    <cellStyle name="Normal 6 4 7 2" xfId="39208" xr:uid="{00000000-0005-0000-0000-00002B990000}"/>
    <cellStyle name="Normal 6 4 8" xfId="39209" xr:uid="{00000000-0005-0000-0000-00002C990000}"/>
    <cellStyle name="Normal 6 4 9" xfId="39210" xr:uid="{00000000-0005-0000-0000-00002D990000}"/>
    <cellStyle name="Normal 6 40" xfId="39211" xr:uid="{00000000-0005-0000-0000-00002E990000}"/>
    <cellStyle name="Normal 6 41" xfId="39212" xr:uid="{00000000-0005-0000-0000-00002F990000}"/>
    <cellStyle name="Normal 6 5" xfId="39213" xr:uid="{00000000-0005-0000-0000-000030990000}"/>
    <cellStyle name="Normal 6 5 10" xfId="39214" xr:uid="{00000000-0005-0000-0000-000031990000}"/>
    <cellStyle name="Normal 6 5 11" xfId="39215" xr:uid="{00000000-0005-0000-0000-000032990000}"/>
    <cellStyle name="Normal 6 5 2" xfId="39216" xr:uid="{00000000-0005-0000-0000-000033990000}"/>
    <cellStyle name="Normal 6 5 2 2" xfId="39217" xr:uid="{00000000-0005-0000-0000-000034990000}"/>
    <cellStyle name="Normal 6 5 2 2 2" xfId="39218" xr:uid="{00000000-0005-0000-0000-000035990000}"/>
    <cellStyle name="Normal 6 5 2 2 2 2" xfId="39219" xr:uid="{00000000-0005-0000-0000-000036990000}"/>
    <cellStyle name="Normal 6 5 2 2 2 3" xfId="39220" xr:uid="{00000000-0005-0000-0000-000037990000}"/>
    <cellStyle name="Normal 6 5 2 2 3" xfId="39221" xr:uid="{00000000-0005-0000-0000-000038990000}"/>
    <cellStyle name="Normal 6 5 2 2 4" xfId="39222" xr:uid="{00000000-0005-0000-0000-000039990000}"/>
    <cellStyle name="Normal 6 5 2 2 5" xfId="39223" xr:uid="{00000000-0005-0000-0000-00003A990000}"/>
    <cellStyle name="Normal 6 5 2 2 6" xfId="39224" xr:uid="{00000000-0005-0000-0000-00003B990000}"/>
    <cellStyle name="Normal 6 5 2 3" xfId="39225" xr:uid="{00000000-0005-0000-0000-00003C990000}"/>
    <cellStyle name="Normal 6 5 2 3 2" xfId="39226" xr:uid="{00000000-0005-0000-0000-00003D990000}"/>
    <cellStyle name="Normal 6 5 2 3 2 2" xfId="39227" xr:uid="{00000000-0005-0000-0000-00003E990000}"/>
    <cellStyle name="Normal 6 5 2 3 3" xfId="39228" xr:uid="{00000000-0005-0000-0000-00003F990000}"/>
    <cellStyle name="Normal 6 5 2 3 4" xfId="39229" xr:uid="{00000000-0005-0000-0000-000040990000}"/>
    <cellStyle name="Normal 6 5 2 3 5" xfId="39230" xr:uid="{00000000-0005-0000-0000-000041990000}"/>
    <cellStyle name="Normal 6 5 2 4" xfId="39231" xr:uid="{00000000-0005-0000-0000-000042990000}"/>
    <cellStyle name="Normal 6 5 2 4 2" xfId="39232" xr:uid="{00000000-0005-0000-0000-000043990000}"/>
    <cellStyle name="Normal 6 5 2 4 3" xfId="39233" xr:uid="{00000000-0005-0000-0000-000044990000}"/>
    <cellStyle name="Normal 6 5 2 4 4" xfId="39234" xr:uid="{00000000-0005-0000-0000-000045990000}"/>
    <cellStyle name="Normal 6 5 2 5" xfId="39235" xr:uid="{00000000-0005-0000-0000-000046990000}"/>
    <cellStyle name="Normal 6 5 2 5 2" xfId="39236" xr:uid="{00000000-0005-0000-0000-000047990000}"/>
    <cellStyle name="Normal 6 5 2 6" xfId="39237" xr:uid="{00000000-0005-0000-0000-000048990000}"/>
    <cellStyle name="Normal 6 5 2 7" xfId="39238" xr:uid="{00000000-0005-0000-0000-000049990000}"/>
    <cellStyle name="Normal 6 5 2 8" xfId="39239" xr:uid="{00000000-0005-0000-0000-00004A990000}"/>
    <cellStyle name="Normal 6 5 2 9" xfId="39240" xr:uid="{00000000-0005-0000-0000-00004B990000}"/>
    <cellStyle name="Normal 6 5 3" xfId="39241" xr:uid="{00000000-0005-0000-0000-00004C990000}"/>
    <cellStyle name="Normal 6 5 3 2" xfId="39242" xr:uid="{00000000-0005-0000-0000-00004D990000}"/>
    <cellStyle name="Normal 6 5 3 2 2" xfId="39243" xr:uid="{00000000-0005-0000-0000-00004E990000}"/>
    <cellStyle name="Normal 6 5 3 2 2 2" xfId="39244" xr:uid="{00000000-0005-0000-0000-00004F990000}"/>
    <cellStyle name="Normal 6 5 3 2 2 3" xfId="39245" xr:uid="{00000000-0005-0000-0000-000050990000}"/>
    <cellStyle name="Normal 6 5 3 2 3" xfId="39246" xr:uid="{00000000-0005-0000-0000-000051990000}"/>
    <cellStyle name="Normal 6 5 3 2 4" xfId="39247" xr:uid="{00000000-0005-0000-0000-000052990000}"/>
    <cellStyle name="Normal 6 5 3 2 5" xfId="39248" xr:uid="{00000000-0005-0000-0000-000053990000}"/>
    <cellStyle name="Normal 6 5 3 2 6" xfId="39249" xr:uid="{00000000-0005-0000-0000-000054990000}"/>
    <cellStyle name="Normal 6 5 3 3" xfId="39250" xr:uid="{00000000-0005-0000-0000-000055990000}"/>
    <cellStyle name="Normal 6 5 3 3 2" xfId="39251" xr:uid="{00000000-0005-0000-0000-000056990000}"/>
    <cellStyle name="Normal 6 5 3 3 2 2" xfId="39252" xr:uid="{00000000-0005-0000-0000-000057990000}"/>
    <cellStyle name="Normal 6 5 3 3 3" xfId="39253" xr:uid="{00000000-0005-0000-0000-000058990000}"/>
    <cellStyle name="Normal 6 5 3 3 4" xfId="39254" xr:uid="{00000000-0005-0000-0000-000059990000}"/>
    <cellStyle name="Normal 6 5 3 3 5" xfId="39255" xr:uid="{00000000-0005-0000-0000-00005A990000}"/>
    <cellStyle name="Normal 6 5 3 4" xfId="39256" xr:uid="{00000000-0005-0000-0000-00005B990000}"/>
    <cellStyle name="Normal 6 5 3 4 2" xfId="39257" xr:uid="{00000000-0005-0000-0000-00005C990000}"/>
    <cellStyle name="Normal 6 5 3 4 3" xfId="39258" xr:uid="{00000000-0005-0000-0000-00005D990000}"/>
    <cellStyle name="Normal 6 5 3 4 4" xfId="39259" xr:uid="{00000000-0005-0000-0000-00005E990000}"/>
    <cellStyle name="Normal 6 5 3 5" xfId="39260" xr:uid="{00000000-0005-0000-0000-00005F990000}"/>
    <cellStyle name="Normal 6 5 3 5 2" xfId="39261" xr:uid="{00000000-0005-0000-0000-000060990000}"/>
    <cellStyle name="Normal 6 5 3 6" xfId="39262" xr:uid="{00000000-0005-0000-0000-000061990000}"/>
    <cellStyle name="Normal 6 5 3 7" xfId="39263" xr:uid="{00000000-0005-0000-0000-000062990000}"/>
    <cellStyle name="Normal 6 5 3 8" xfId="39264" xr:uid="{00000000-0005-0000-0000-000063990000}"/>
    <cellStyle name="Normal 6 5 3 9" xfId="39265" xr:uid="{00000000-0005-0000-0000-000064990000}"/>
    <cellStyle name="Normal 6 5 4" xfId="39266" xr:uid="{00000000-0005-0000-0000-000065990000}"/>
    <cellStyle name="Normal 6 5 4 2" xfId="39267" xr:uid="{00000000-0005-0000-0000-000066990000}"/>
    <cellStyle name="Normal 6 5 4 2 2" xfId="39268" xr:uid="{00000000-0005-0000-0000-000067990000}"/>
    <cellStyle name="Normal 6 5 4 2 3" xfId="39269" xr:uid="{00000000-0005-0000-0000-000068990000}"/>
    <cellStyle name="Normal 6 5 4 3" xfId="39270" xr:uid="{00000000-0005-0000-0000-000069990000}"/>
    <cellStyle name="Normal 6 5 4 4" xfId="39271" xr:uid="{00000000-0005-0000-0000-00006A990000}"/>
    <cellStyle name="Normal 6 5 4 5" xfId="39272" xr:uid="{00000000-0005-0000-0000-00006B990000}"/>
    <cellStyle name="Normal 6 5 4 6" xfId="39273" xr:uid="{00000000-0005-0000-0000-00006C990000}"/>
    <cellStyle name="Normal 6 5 5" xfId="39274" xr:uid="{00000000-0005-0000-0000-00006D990000}"/>
    <cellStyle name="Normal 6 5 5 2" xfId="39275" xr:uid="{00000000-0005-0000-0000-00006E990000}"/>
    <cellStyle name="Normal 6 5 5 2 2" xfId="39276" xr:uid="{00000000-0005-0000-0000-00006F990000}"/>
    <cellStyle name="Normal 6 5 5 3" xfId="39277" xr:uid="{00000000-0005-0000-0000-000070990000}"/>
    <cellStyle name="Normal 6 5 5 4" xfId="39278" xr:uid="{00000000-0005-0000-0000-000071990000}"/>
    <cellStyle name="Normal 6 5 5 5" xfId="39279" xr:uid="{00000000-0005-0000-0000-000072990000}"/>
    <cellStyle name="Normal 6 5 6" xfId="39280" xr:uid="{00000000-0005-0000-0000-000073990000}"/>
    <cellStyle name="Normal 6 5 6 2" xfId="39281" xr:uid="{00000000-0005-0000-0000-000074990000}"/>
    <cellStyle name="Normal 6 5 6 3" xfId="39282" xr:uid="{00000000-0005-0000-0000-000075990000}"/>
    <cellStyle name="Normal 6 5 6 4" xfId="39283" xr:uid="{00000000-0005-0000-0000-000076990000}"/>
    <cellStyle name="Normal 6 5 7" xfId="39284" xr:uid="{00000000-0005-0000-0000-000077990000}"/>
    <cellStyle name="Normal 6 5 7 2" xfId="39285" xr:uid="{00000000-0005-0000-0000-000078990000}"/>
    <cellStyle name="Normal 6 5 8" xfId="39286" xr:uid="{00000000-0005-0000-0000-000079990000}"/>
    <cellStyle name="Normal 6 5 9" xfId="39287" xr:uid="{00000000-0005-0000-0000-00007A990000}"/>
    <cellStyle name="Normal 6 6" xfId="39288" xr:uid="{00000000-0005-0000-0000-00007B990000}"/>
    <cellStyle name="Normal 6 6 10" xfId="39289" xr:uid="{00000000-0005-0000-0000-00007C990000}"/>
    <cellStyle name="Normal 6 6 11" xfId="39290" xr:uid="{00000000-0005-0000-0000-00007D990000}"/>
    <cellStyle name="Normal 6 6 2" xfId="39291" xr:uid="{00000000-0005-0000-0000-00007E990000}"/>
    <cellStyle name="Normal 6 6 2 2" xfId="39292" xr:uid="{00000000-0005-0000-0000-00007F990000}"/>
    <cellStyle name="Normal 6 6 2 2 2" xfId="39293" xr:uid="{00000000-0005-0000-0000-000080990000}"/>
    <cellStyle name="Normal 6 6 2 2 2 2" xfId="39294" xr:uid="{00000000-0005-0000-0000-000081990000}"/>
    <cellStyle name="Normal 6 6 2 2 2 3" xfId="39295" xr:uid="{00000000-0005-0000-0000-000082990000}"/>
    <cellStyle name="Normal 6 6 2 2 3" xfId="39296" xr:uid="{00000000-0005-0000-0000-000083990000}"/>
    <cellStyle name="Normal 6 6 2 2 4" xfId="39297" xr:uid="{00000000-0005-0000-0000-000084990000}"/>
    <cellStyle name="Normal 6 6 2 2 5" xfId="39298" xr:uid="{00000000-0005-0000-0000-000085990000}"/>
    <cellStyle name="Normal 6 6 2 2 6" xfId="39299" xr:uid="{00000000-0005-0000-0000-000086990000}"/>
    <cellStyle name="Normal 6 6 2 3" xfId="39300" xr:uid="{00000000-0005-0000-0000-000087990000}"/>
    <cellStyle name="Normal 6 6 2 3 2" xfId="39301" xr:uid="{00000000-0005-0000-0000-000088990000}"/>
    <cellStyle name="Normal 6 6 2 3 2 2" xfId="39302" xr:uid="{00000000-0005-0000-0000-000089990000}"/>
    <cellStyle name="Normal 6 6 2 3 3" xfId="39303" xr:uid="{00000000-0005-0000-0000-00008A990000}"/>
    <cellStyle name="Normal 6 6 2 3 4" xfId="39304" xr:uid="{00000000-0005-0000-0000-00008B990000}"/>
    <cellStyle name="Normal 6 6 2 3 5" xfId="39305" xr:uid="{00000000-0005-0000-0000-00008C990000}"/>
    <cellStyle name="Normal 6 6 2 4" xfId="39306" xr:uid="{00000000-0005-0000-0000-00008D990000}"/>
    <cellStyle name="Normal 6 6 2 4 2" xfId="39307" xr:uid="{00000000-0005-0000-0000-00008E990000}"/>
    <cellStyle name="Normal 6 6 2 4 3" xfId="39308" xr:uid="{00000000-0005-0000-0000-00008F990000}"/>
    <cellStyle name="Normal 6 6 2 4 4" xfId="39309" xr:uid="{00000000-0005-0000-0000-000090990000}"/>
    <cellStyle name="Normal 6 6 2 5" xfId="39310" xr:uid="{00000000-0005-0000-0000-000091990000}"/>
    <cellStyle name="Normal 6 6 2 5 2" xfId="39311" xr:uid="{00000000-0005-0000-0000-000092990000}"/>
    <cellStyle name="Normal 6 6 2 6" xfId="39312" xr:uid="{00000000-0005-0000-0000-000093990000}"/>
    <cellStyle name="Normal 6 6 2 7" xfId="39313" xr:uid="{00000000-0005-0000-0000-000094990000}"/>
    <cellStyle name="Normal 6 6 2 8" xfId="39314" xr:uid="{00000000-0005-0000-0000-000095990000}"/>
    <cellStyle name="Normal 6 6 2 9" xfId="39315" xr:uid="{00000000-0005-0000-0000-000096990000}"/>
    <cellStyle name="Normal 6 6 3" xfId="39316" xr:uid="{00000000-0005-0000-0000-000097990000}"/>
    <cellStyle name="Normal 6 6 3 2" xfId="39317" xr:uid="{00000000-0005-0000-0000-000098990000}"/>
    <cellStyle name="Normal 6 6 3 2 2" xfId="39318" xr:uid="{00000000-0005-0000-0000-000099990000}"/>
    <cellStyle name="Normal 6 6 3 2 2 2" xfId="39319" xr:uid="{00000000-0005-0000-0000-00009A990000}"/>
    <cellStyle name="Normal 6 6 3 2 2 3" xfId="39320" xr:uid="{00000000-0005-0000-0000-00009B990000}"/>
    <cellStyle name="Normal 6 6 3 2 3" xfId="39321" xr:uid="{00000000-0005-0000-0000-00009C990000}"/>
    <cellStyle name="Normal 6 6 3 2 4" xfId="39322" xr:uid="{00000000-0005-0000-0000-00009D990000}"/>
    <cellStyle name="Normal 6 6 3 2 5" xfId="39323" xr:uid="{00000000-0005-0000-0000-00009E990000}"/>
    <cellStyle name="Normal 6 6 3 2 6" xfId="39324" xr:uid="{00000000-0005-0000-0000-00009F990000}"/>
    <cellStyle name="Normal 6 6 3 3" xfId="39325" xr:uid="{00000000-0005-0000-0000-0000A0990000}"/>
    <cellStyle name="Normal 6 6 3 3 2" xfId="39326" xr:uid="{00000000-0005-0000-0000-0000A1990000}"/>
    <cellStyle name="Normal 6 6 3 3 2 2" xfId="39327" xr:uid="{00000000-0005-0000-0000-0000A2990000}"/>
    <cellStyle name="Normal 6 6 3 3 3" xfId="39328" xr:uid="{00000000-0005-0000-0000-0000A3990000}"/>
    <cellStyle name="Normal 6 6 3 3 4" xfId="39329" xr:uid="{00000000-0005-0000-0000-0000A4990000}"/>
    <cellStyle name="Normal 6 6 3 3 5" xfId="39330" xr:uid="{00000000-0005-0000-0000-0000A5990000}"/>
    <cellStyle name="Normal 6 6 3 4" xfId="39331" xr:uid="{00000000-0005-0000-0000-0000A6990000}"/>
    <cellStyle name="Normal 6 6 3 4 2" xfId="39332" xr:uid="{00000000-0005-0000-0000-0000A7990000}"/>
    <cellStyle name="Normal 6 6 3 4 3" xfId="39333" xr:uid="{00000000-0005-0000-0000-0000A8990000}"/>
    <cellStyle name="Normal 6 6 3 4 4" xfId="39334" xr:uid="{00000000-0005-0000-0000-0000A9990000}"/>
    <cellStyle name="Normal 6 6 3 5" xfId="39335" xr:uid="{00000000-0005-0000-0000-0000AA990000}"/>
    <cellStyle name="Normal 6 6 3 5 2" xfId="39336" xr:uid="{00000000-0005-0000-0000-0000AB990000}"/>
    <cellStyle name="Normal 6 6 3 6" xfId="39337" xr:uid="{00000000-0005-0000-0000-0000AC990000}"/>
    <cellStyle name="Normal 6 6 3 7" xfId="39338" xr:uid="{00000000-0005-0000-0000-0000AD990000}"/>
    <cellStyle name="Normal 6 6 3 8" xfId="39339" xr:uid="{00000000-0005-0000-0000-0000AE990000}"/>
    <cellStyle name="Normal 6 6 3 9" xfId="39340" xr:uid="{00000000-0005-0000-0000-0000AF990000}"/>
    <cellStyle name="Normal 6 6 4" xfId="39341" xr:uid="{00000000-0005-0000-0000-0000B0990000}"/>
    <cellStyle name="Normal 6 6 4 2" xfId="39342" xr:uid="{00000000-0005-0000-0000-0000B1990000}"/>
    <cellStyle name="Normal 6 6 4 2 2" xfId="39343" xr:uid="{00000000-0005-0000-0000-0000B2990000}"/>
    <cellStyle name="Normal 6 6 4 2 3" xfId="39344" xr:uid="{00000000-0005-0000-0000-0000B3990000}"/>
    <cellStyle name="Normal 6 6 4 3" xfId="39345" xr:uid="{00000000-0005-0000-0000-0000B4990000}"/>
    <cellStyle name="Normal 6 6 4 4" xfId="39346" xr:uid="{00000000-0005-0000-0000-0000B5990000}"/>
    <cellStyle name="Normal 6 6 4 5" xfId="39347" xr:uid="{00000000-0005-0000-0000-0000B6990000}"/>
    <cellStyle name="Normal 6 6 4 6" xfId="39348" xr:uid="{00000000-0005-0000-0000-0000B7990000}"/>
    <cellStyle name="Normal 6 6 5" xfId="39349" xr:uid="{00000000-0005-0000-0000-0000B8990000}"/>
    <cellStyle name="Normal 6 6 5 2" xfId="39350" xr:uid="{00000000-0005-0000-0000-0000B9990000}"/>
    <cellStyle name="Normal 6 6 5 2 2" xfId="39351" xr:uid="{00000000-0005-0000-0000-0000BA990000}"/>
    <cellStyle name="Normal 6 6 5 3" xfId="39352" xr:uid="{00000000-0005-0000-0000-0000BB990000}"/>
    <cellStyle name="Normal 6 6 5 4" xfId="39353" xr:uid="{00000000-0005-0000-0000-0000BC990000}"/>
    <cellStyle name="Normal 6 6 5 5" xfId="39354" xr:uid="{00000000-0005-0000-0000-0000BD990000}"/>
    <cellStyle name="Normal 6 6 6" xfId="39355" xr:uid="{00000000-0005-0000-0000-0000BE990000}"/>
    <cellStyle name="Normal 6 6 6 2" xfId="39356" xr:uid="{00000000-0005-0000-0000-0000BF990000}"/>
    <cellStyle name="Normal 6 6 6 3" xfId="39357" xr:uid="{00000000-0005-0000-0000-0000C0990000}"/>
    <cellStyle name="Normal 6 6 6 4" xfId="39358" xr:uid="{00000000-0005-0000-0000-0000C1990000}"/>
    <cellStyle name="Normal 6 6 7" xfId="39359" xr:uid="{00000000-0005-0000-0000-0000C2990000}"/>
    <cellStyle name="Normal 6 6 7 2" xfId="39360" xr:uid="{00000000-0005-0000-0000-0000C3990000}"/>
    <cellStyle name="Normal 6 6 8" xfId="39361" xr:uid="{00000000-0005-0000-0000-0000C4990000}"/>
    <cellStyle name="Normal 6 6 9" xfId="39362" xr:uid="{00000000-0005-0000-0000-0000C5990000}"/>
    <cellStyle name="Normal 6 7" xfId="39363" xr:uid="{00000000-0005-0000-0000-0000C6990000}"/>
    <cellStyle name="Normal 6 7 10" xfId="39364" xr:uid="{00000000-0005-0000-0000-0000C7990000}"/>
    <cellStyle name="Normal 6 7 11" xfId="39365" xr:uid="{00000000-0005-0000-0000-0000C8990000}"/>
    <cellStyle name="Normal 6 7 2" xfId="39366" xr:uid="{00000000-0005-0000-0000-0000C9990000}"/>
    <cellStyle name="Normal 6 7 2 2" xfId="39367" xr:uid="{00000000-0005-0000-0000-0000CA990000}"/>
    <cellStyle name="Normal 6 7 2 2 2" xfId="39368" xr:uid="{00000000-0005-0000-0000-0000CB990000}"/>
    <cellStyle name="Normal 6 7 2 2 2 2" xfId="39369" xr:uid="{00000000-0005-0000-0000-0000CC990000}"/>
    <cellStyle name="Normal 6 7 2 2 2 3" xfId="39370" xr:uid="{00000000-0005-0000-0000-0000CD990000}"/>
    <cellStyle name="Normal 6 7 2 2 3" xfId="39371" xr:uid="{00000000-0005-0000-0000-0000CE990000}"/>
    <cellStyle name="Normal 6 7 2 2 4" xfId="39372" xr:uid="{00000000-0005-0000-0000-0000CF990000}"/>
    <cellStyle name="Normal 6 7 2 2 5" xfId="39373" xr:uid="{00000000-0005-0000-0000-0000D0990000}"/>
    <cellStyle name="Normal 6 7 2 2 6" xfId="39374" xr:uid="{00000000-0005-0000-0000-0000D1990000}"/>
    <cellStyle name="Normal 6 7 2 3" xfId="39375" xr:uid="{00000000-0005-0000-0000-0000D2990000}"/>
    <cellStyle name="Normal 6 7 2 3 2" xfId="39376" xr:uid="{00000000-0005-0000-0000-0000D3990000}"/>
    <cellStyle name="Normal 6 7 2 3 2 2" xfId="39377" xr:uid="{00000000-0005-0000-0000-0000D4990000}"/>
    <cellStyle name="Normal 6 7 2 3 3" xfId="39378" xr:uid="{00000000-0005-0000-0000-0000D5990000}"/>
    <cellStyle name="Normal 6 7 2 3 4" xfId="39379" xr:uid="{00000000-0005-0000-0000-0000D6990000}"/>
    <cellStyle name="Normal 6 7 2 3 5" xfId="39380" xr:uid="{00000000-0005-0000-0000-0000D7990000}"/>
    <cellStyle name="Normal 6 7 2 4" xfId="39381" xr:uid="{00000000-0005-0000-0000-0000D8990000}"/>
    <cellStyle name="Normal 6 7 2 4 2" xfId="39382" xr:uid="{00000000-0005-0000-0000-0000D9990000}"/>
    <cellStyle name="Normal 6 7 2 4 3" xfId="39383" xr:uid="{00000000-0005-0000-0000-0000DA990000}"/>
    <cellStyle name="Normal 6 7 2 4 4" xfId="39384" xr:uid="{00000000-0005-0000-0000-0000DB990000}"/>
    <cellStyle name="Normal 6 7 2 5" xfId="39385" xr:uid="{00000000-0005-0000-0000-0000DC990000}"/>
    <cellStyle name="Normal 6 7 2 5 2" xfId="39386" xr:uid="{00000000-0005-0000-0000-0000DD990000}"/>
    <cellStyle name="Normal 6 7 2 6" xfId="39387" xr:uid="{00000000-0005-0000-0000-0000DE990000}"/>
    <cellStyle name="Normal 6 7 2 7" xfId="39388" xr:uid="{00000000-0005-0000-0000-0000DF990000}"/>
    <cellStyle name="Normal 6 7 2 8" xfId="39389" xr:uid="{00000000-0005-0000-0000-0000E0990000}"/>
    <cellStyle name="Normal 6 7 2 9" xfId="39390" xr:uid="{00000000-0005-0000-0000-0000E1990000}"/>
    <cellStyle name="Normal 6 7 3" xfId="39391" xr:uid="{00000000-0005-0000-0000-0000E2990000}"/>
    <cellStyle name="Normal 6 7 3 2" xfId="39392" xr:uid="{00000000-0005-0000-0000-0000E3990000}"/>
    <cellStyle name="Normal 6 7 3 2 2" xfId="39393" xr:uid="{00000000-0005-0000-0000-0000E4990000}"/>
    <cellStyle name="Normal 6 7 3 2 2 2" xfId="39394" xr:uid="{00000000-0005-0000-0000-0000E5990000}"/>
    <cellStyle name="Normal 6 7 3 2 2 3" xfId="39395" xr:uid="{00000000-0005-0000-0000-0000E6990000}"/>
    <cellStyle name="Normal 6 7 3 2 3" xfId="39396" xr:uid="{00000000-0005-0000-0000-0000E7990000}"/>
    <cellStyle name="Normal 6 7 3 2 4" xfId="39397" xr:uid="{00000000-0005-0000-0000-0000E8990000}"/>
    <cellStyle name="Normal 6 7 3 2 5" xfId="39398" xr:uid="{00000000-0005-0000-0000-0000E9990000}"/>
    <cellStyle name="Normal 6 7 3 2 6" xfId="39399" xr:uid="{00000000-0005-0000-0000-0000EA990000}"/>
    <cellStyle name="Normal 6 7 3 3" xfId="39400" xr:uid="{00000000-0005-0000-0000-0000EB990000}"/>
    <cellStyle name="Normal 6 7 3 3 2" xfId="39401" xr:uid="{00000000-0005-0000-0000-0000EC990000}"/>
    <cellStyle name="Normal 6 7 3 3 2 2" xfId="39402" xr:uid="{00000000-0005-0000-0000-0000ED990000}"/>
    <cellStyle name="Normal 6 7 3 3 3" xfId="39403" xr:uid="{00000000-0005-0000-0000-0000EE990000}"/>
    <cellStyle name="Normal 6 7 3 3 4" xfId="39404" xr:uid="{00000000-0005-0000-0000-0000EF990000}"/>
    <cellStyle name="Normal 6 7 3 3 5" xfId="39405" xr:uid="{00000000-0005-0000-0000-0000F0990000}"/>
    <cellStyle name="Normal 6 7 3 4" xfId="39406" xr:uid="{00000000-0005-0000-0000-0000F1990000}"/>
    <cellStyle name="Normal 6 7 3 4 2" xfId="39407" xr:uid="{00000000-0005-0000-0000-0000F2990000}"/>
    <cellStyle name="Normal 6 7 3 4 3" xfId="39408" xr:uid="{00000000-0005-0000-0000-0000F3990000}"/>
    <cellStyle name="Normal 6 7 3 4 4" xfId="39409" xr:uid="{00000000-0005-0000-0000-0000F4990000}"/>
    <cellStyle name="Normal 6 7 3 5" xfId="39410" xr:uid="{00000000-0005-0000-0000-0000F5990000}"/>
    <cellStyle name="Normal 6 7 3 5 2" xfId="39411" xr:uid="{00000000-0005-0000-0000-0000F6990000}"/>
    <cellStyle name="Normal 6 7 3 6" xfId="39412" xr:uid="{00000000-0005-0000-0000-0000F7990000}"/>
    <cellStyle name="Normal 6 7 3 7" xfId="39413" xr:uid="{00000000-0005-0000-0000-0000F8990000}"/>
    <cellStyle name="Normal 6 7 3 8" xfId="39414" xr:uid="{00000000-0005-0000-0000-0000F9990000}"/>
    <cellStyle name="Normal 6 7 3 9" xfId="39415" xr:uid="{00000000-0005-0000-0000-0000FA990000}"/>
    <cellStyle name="Normal 6 7 4" xfId="39416" xr:uid="{00000000-0005-0000-0000-0000FB990000}"/>
    <cellStyle name="Normal 6 7 4 2" xfId="39417" xr:uid="{00000000-0005-0000-0000-0000FC990000}"/>
    <cellStyle name="Normal 6 7 4 2 2" xfId="39418" xr:uid="{00000000-0005-0000-0000-0000FD990000}"/>
    <cellStyle name="Normal 6 7 4 2 3" xfId="39419" xr:uid="{00000000-0005-0000-0000-0000FE990000}"/>
    <cellStyle name="Normal 6 7 4 3" xfId="39420" xr:uid="{00000000-0005-0000-0000-0000FF990000}"/>
    <cellStyle name="Normal 6 7 4 4" xfId="39421" xr:uid="{00000000-0005-0000-0000-0000009A0000}"/>
    <cellStyle name="Normal 6 7 4 5" xfId="39422" xr:uid="{00000000-0005-0000-0000-0000019A0000}"/>
    <cellStyle name="Normal 6 7 4 6" xfId="39423" xr:uid="{00000000-0005-0000-0000-0000029A0000}"/>
    <cellStyle name="Normal 6 7 5" xfId="39424" xr:uid="{00000000-0005-0000-0000-0000039A0000}"/>
    <cellStyle name="Normal 6 7 5 2" xfId="39425" xr:uid="{00000000-0005-0000-0000-0000049A0000}"/>
    <cellStyle name="Normal 6 7 5 2 2" xfId="39426" xr:uid="{00000000-0005-0000-0000-0000059A0000}"/>
    <cellStyle name="Normal 6 7 5 3" xfId="39427" xr:uid="{00000000-0005-0000-0000-0000069A0000}"/>
    <cellStyle name="Normal 6 7 5 4" xfId="39428" xr:uid="{00000000-0005-0000-0000-0000079A0000}"/>
    <cellStyle name="Normal 6 7 5 5" xfId="39429" xr:uid="{00000000-0005-0000-0000-0000089A0000}"/>
    <cellStyle name="Normal 6 7 6" xfId="39430" xr:uid="{00000000-0005-0000-0000-0000099A0000}"/>
    <cellStyle name="Normal 6 7 6 2" xfId="39431" xr:uid="{00000000-0005-0000-0000-00000A9A0000}"/>
    <cellStyle name="Normal 6 7 6 3" xfId="39432" xr:uid="{00000000-0005-0000-0000-00000B9A0000}"/>
    <cellStyle name="Normal 6 7 6 4" xfId="39433" xr:uid="{00000000-0005-0000-0000-00000C9A0000}"/>
    <cellStyle name="Normal 6 7 7" xfId="39434" xr:uid="{00000000-0005-0000-0000-00000D9A0000}"/>
    <cellStyle name="Normal 6 7 7 2" xfId="39435" xr:uid="{00000000-0005-0000-0000-00000E9A0000}"/>
    <cellStyle name="Normal 6 7 8" xfId="39436" xr:uid="{00000000-0005-0000-0000-00000F9A0000}"/>
    <cellStyle name="Normal 6 7 9" xfId="39437" xr:uid="{00000000-0005-0000-0000-0000109A0000}"/>
    <cellStyle name="Normal 6 8" xfId="39438" xr:uid="{00000000-0005-0000-0000-0000119A0000}"/>
    <cellStyle name="Normal 6 8 10" xfId="39439" xr:uid="{00000000-0005-0000-0000-0000129A0000}"/>
    <cellStyle name="Normal 6 8 11" xfId="39440" xr:uid="{00000000-0005-0000-0000-0000139A0000}"/>
    <cellStyle name="Normal 6 8 2" xfId="39441" xr:uid="{00000000-0005-0000-0000-0000149A0000}"/>
    <cellStyle name="Normal 6 8 2 2" xfId="39442" xr:uid="{00000000-0005-0000-0000-0000159A0000}"/>
    <cellStyle name="Normal 6 8 2 2 2" xfId="39443" xr:uid="{00000000-0005-0000-0000-0000169A0000}"/>
    <cellStyle name="Normal 6 8 2 2 2 2" xfId="39444" xr:uid="{00000000-0005-0000-0000-0000179A0000}"/>
    <cellStyle name="Normal 6 8 2 2 2 3" xfId="39445" xr:uid="{00000000-0005-0000-0000-0000189A0000}"/>
    <cellStyle name="Normal 6 8 2 2 3" xfId="39446" xr:uid="{00000000-0005-0000-0000-0000199A0000}"/>
    <cellStyle name="Normal 6 8 2 2 4" xfId="39447" xr:uid="{00000000-0005-0000-0000-00001A9A0000}"/>
    <cellStyle name="Normal 6 8 2 2 5" xfId="39448" xr:uid="{00000000-0005-0000-0000-00001B9A0000}"/>
    <cellStyle name="Normal 6 8 2 2 6" xfId="39449" xr:uid="{00000000-0005-0000-0000-00001C9A0000}"/>
    <cellStyle name="Normal 6 8 2 3" xfId="39450" xr:uid="{00000000-0005-0000-0000-00001D9A0000}"/>
    <cellStyle name="Normal 6 8 2 3 2" xfId="39451" xr:uid="{00000000-0005-0000-0000-00001E9A0000}"/>
    <cellStyle name="Normal 6 8 2 3 2 2" xfId="39452" xr:uid="{00000000-0005-0000-0000-00001F9A0000}"/>
    <cellStyle name="Normal 6 8 2 3 3" xfId="39453" xr:uid="{00000000-0005-0000-0000-0000209A0000}"/>
    <cellStyle name="Normal 6 8 2 3 4" xfId="39454" xr:uid="{00000000-0005-0000-0000-0000219A0000}"/>
    <cellStyle name="Normal 6 8 2 3 5" xfId="39455" xr:uid="{00000000-0005-0000-0000-0000229A0000}"/>
    <cellStyle name="Normal 6 8 2 4" xfId="39456" xr:uid="{00000000-0005-0000-0000-0000239A0000}"/>
    <cellStyle name="Normal 6 8 2 4 2" xfId="39457" xr:uid="{00000000-0005-0000-0000-0000249A0000}"/>
    <cellStyle name="Normal 6 8 2 4 3" xfId="39458" xr:uid="{00000000-0005-0000-0000-0000259A0000}"/>
    <cellStyle name="Normal 6 8 2 4 4" xfId="39459" xr:uid="{00000000-0005-0000-0000-0000269A0000}"/>
    <cellStyle name="Normal 6 8 2 5" xfId="39460" xr:uid="{00000000-0005-0000-0000-0000279A0000}"/>
    <cellStyle name="Normal 6 8 2 5 2" xfId="39461" xr:uid="{00000000-0005-0000-0000-0000289A0000}"/>
    <cellStyle name="Normal 6 8 2 6" xfId="39462" xr:uid="{00000000-0005-0000-0000-0000299A0000}"/>
    <cellStyle name="Normal 6 8 2 7" xfId="39463" xr:uid="{00000000-0005-0000-0000-00002A9A0000}"/>
    <cellStyle name="Normal 6 8 2 8" xfId="39464" xr:uid="{00000000-0005-0000-0000-00002B9A0000}"/>
    <cellStyle name="Normal 6 8 2 9" xfId="39465" xr:uid="{00000000-0005-0000-0000-00002C9A0000}"/>
    <cellStyle name="Normal 6 8 3" xfId="39466" xr:uid="{00000000-0005-0000-0000-00002D9A0000}"/>
    <cellStyle name="Normal 6 8 3 2" xfId="39467" xr:uid="{00000000-0005-0000-0000-00002E9A0000}"/>
    <cellStyle name="Normal 6 8 3 2 2" xfId="39468" xr:uid="{00000000-0005-0000-0000-00002F9A0000}"/>
    <cellStyle name="Normal 6 8 3 2 2 2" xfId="39469" xr:uid="{00000000-0005-0000-0000-0000309A0000}"/>
    <cellStyle name="Normal 6 8 3 2 2 3" xfId="39470" xr:uid="{00000000-0005-0000-0000-0000319A0000}"/>
    <cellStyle name="Normal 6 8 3 2 3" xfId="39471" xr:uid="{00000000-0005-0000-0000-0000329A0000}"/>
    <cellStyle name="Normal 6 8 3 2 4" xfId="39472" xr:uid="{00000000-0005-0000-0000-0000339A0000}"/>
    <cellStyle name="Normal 6 8 3 2 5" xfId="39473" xr:uid="{00000000-0005-0000-0000-0000349A0000}"/>
    <cellStyle name="Normal 6 8 3 2 6" xfId="39474" xr:uid="{00000000-0005-0000-0000-0000359A0000}"/>
    <cellStyle name="Normal 6 8 3 3" xfId="39475" xr:uid="{00000000-0005-0000-0000-0000369A0000}"/>
    <cellStyle name="Normal 6 8 3 3 2" xfId="39476" xr:uid="{00000000-0005-0000-0000-0000379A0000}"/>
    <cellStyle name="Normal 6 8 3 3 2 2" xfId="39477" xr:uid="{00000000-0005-0000-0000-0000389A0000}"/>
    <cellStyle name="Normal 6 8 3 3 3" xfId="39478" xr:uid="{00000000-0005-0000-0000-0000399A0000}"/>
    <cellStyle name="Normal 6 8 3 3 4" xfId="39479" xr:uid="{00000000-0005-0000-0000-00003A9A0000}"/>
    <cellStyle name="Normal 6 8 3 3 5" xfId="39480" xr:uid="{00000000-0005-0000-0000-00003B9A0000}"/>
    <cellStyle name="Normal 6 8 3 4" xfId="39481" xr:uid="{00000000-0005-0000-0000-00003C9A0000}"/>
    <cellStyle name="Normal 6 8 3 4 2" xfId="39482" xr:uid="{00000000-0005-0000-0000-00003D9A0000}"/>
    <cellStyle name="Normal 6 8 3 4 3" xfId="39483" xr:uid="{00000000-0005-0000-0000-00003E9A0000}"/>
    <cellStyle name="Normal 6 8 3 4 4" xfId="39484" xr:uid="{00000000-0005-0000-0000-00003F9A0000}"/>
    <cellStyle name="Normal 6 8 3 5" xfId="39485" xr:uid="{00000000-0005-0000-0000-0000409A0000}"/>
    <cellStyle name="Normal 6 8 3 5 2" xfId="39486" xr:uid="{00000000-0005-0000-0000-0000419A0000}"/>
    <cellStyle name="Normal 6 8 3 6" xfId="39487" xr:uid="{00000000-0005-0000-0000-0000429A0000}"/>
    <cellStyle name="Normal 6 8 3 7" xfId="39488" xr:uid="{00000000-0005-0000-0000-0000439A0000}"/>
    <cellStyle name="Normal 6 8 3 8" xfId="39489" xr:uid="{00000000-0005-0000-0000-0000449A0000}"/>
    <cellStyle name="Normal 6 8 3 9" xfId="39490" xr:uid="{00000000-0005-0000-0000-0000459A0000}"/>
    <cellStyle name="Normal 6 8 4" xfId="39491" xr:uid="{00000000-0005-0000-0000-0000469A0000}"/>
    <cellStyle name="Normal 6 8 4 2" xfId="39492" xr:uid="{00000000-0005-0000-0000-0000479A0000}"/>
    <cellStyle name="Normal 6 8 4 2 2" xfId="39493" xr:uid="{00000000-0005-0000-0000-0000489A0000}"/>
    <cellStyle name="Normal 6 8 4 2 3" xfId="39494" xr:uid="{00000000-0005-0000-0000-0000499A0000}"/>
    <cellStyle name="Normal 6 8 4 3" xfId="39495" xr:uid="{00000000-0005-0000-0000-00004A9A0000}"/>
    <cellStyle name="Normal 6 8 4 4" xfId="39496" xr:uid="{00000000-0005-0000-0000-00004B9A0000}"/>
    <cellStyle name="Normal 6 8 4 5" xfId="39497" xr:uid="{00000000-0005-0000-0000-00004C9A0000}"/>
    <cellStyle name="Normal 6 8 4 6" xfId="39498" xr:uid="{00000000-0005-0000-0000-00004D9A0000}"/>
    <cellStyle name="Normal 6 8 5" xfId="39499" xr:uid="{00000000-0005-0000-0000-00004E9A0000}"/>
    <cellStyle name="Normal 6 8 5 2" xfId="39500" xr:uid="{00000000-0005-0000-0000-00004F9A0000}"/>
    <cellStyle name="Normal 6 8 5 2 2" xfId="39501" xr:uid="{00000000-0005-0000-0000-0000509A0000}"/>
    <cellStyle name="Normal 6 8 5 3" xfId="39502" xr:uid="{00000000-0005-0000-0000-0000519A0000}"/>
    <cellStyle name="Normal 6 8 5 4" xfId="39503" xr:uid="{00000000-0005-0000-0000-0000529A0000}"/>
    <cellStyle name="Normal 6 8 5 5" xfId="39504" xr:uid="{00000000-0005-0000-0000-0000539A0000}"/>
    <cellStyle name="Normal 6 8 6" xfId="39505" xr:uid="{00000000-0005-0000-0000-0000549A0000}"/>
    <cellStyle name="Normal 6 8 6 2" xfId="39506" xr:uid="{00000000-0005-0000-0000-0000559A0000}"/>
    <cellStyle name="Normal 6 8 6 3" xfId="39507" xr:uid="{00000000-0005-0000-0000-0000569A0000}"/>
    <cellStyle name="Normal 6 8 6 4" xfId="39508" xr:uid="{00000000-0005-0000-0000-0000579A0000}"/>
    <cellStyle name="Normal 6 8 7" xfId="39509" xr:uid="{00000000-0005-0000-0000-0000589A0000}"/>
    <cellStyle name="Normal 6 8 7 2" xfId="39510" xr:uid="{00000000-0005-0000-0000-0000599A0000}"/>
    <cellStyle name="Normal 6 8 8" xfId="39511" xr:uid="{00000000-0005-0000-0000-00005A9A0000}"/>
    <cellStyle name="Normal 6 8 9" xfId="39512" xr:uid="{00000000-0005-0000-0000-00005B9A0000}"/>
    <cellStyle name="Normal 6 9" xfId="39513" xr:uid="{00000000-0005-0000-0000-00005C9A0000}"/>
    <cellStyle name="Normal 6 9 10" xfId="39514" xr:uid="{00000000-0005-0000-0000-00005D9A0000}"/>
    <cellStyle name="Normal 6 9 2" xfId="39515" xr:uid="{00000000-0005-0000-0000-00005E9A0000}"/>
    <cellStyle name="Normal 6 9 2 2" xfId="39516" xr:uid="{00000000-0005-0000-0000-00005F9A0000}"/>
    <cellStyle name="Normal 6 9 2 2 2" xfId="39517" xr:uid="{00000000-0005-0000-0000-0000609A0000}"/>
    <cellStyle name="Normal 6 9 2 2 3" xfId="39518" xr:uid="{00000000-0005-0000-0000-0000619A0000}"/>
    <cellStyle name="Normal 6 9 2 3" xfId="39519" xr:uid="{00000000-0005-0000-0000-0000629A0000}"/>
    <cellStyle name="Normal 6 9 2 4" xfId="39520" xr:uid="{00000000-0005-0000-0000-0000639A0000}"/>
    <cellStyle name="Normal 6 9 2 5" xfId="39521" xr:uid="{00000000-0005-0000-0000-0000649A0000}"/>
    <cellStyle name="Normal 6 9 2 6" xfId="39522" xr:uid="{00000000-0005-0000-0000-0000659A0000}"/>
    <cellStyle name="Normal 6 9 3" xfId="39523" xr:uid="{00000000-0005-0000-0000-0000669A0000}"/>
    <cellStyle name="Normal 6 9 3 2" xfId="39524" xr:uid="{00000000-0005-0000-0000-0000679A0000}"/>
    <cellStyle name="Normal 6 9 3 2 2" xfId="39525" xr:uid="{00000000-0005-0000-0000-0000689A0000}"/>
    <cellStyle name="Normal 6 9 3 2 3" xfId="39526" xr:uid="{00000000-0005-0000-0000-0000699A0000}"/>
    <cellStyle name="Normal 6 9 3 3" xfId="39527" xr:uid="{00000000-0005-0000-0000-00006A9A0000}"/>
    <cellStyle name="Normal 6 9 3 4" xfId="39528" xr:uid="{00000000-0005-0000-0000-00006B9A0000}"/>
    <cellStyle name="Normal 6 9 3 5" xfId="39529" xr:uid="{00000000-0005-0000-0000-00006C9A0000}"/>
    <cellStyle name="Normal 6 9 3 6" xfId="39530" xr:uid="{00000000-0005-0000-0000-00006D9A0000}"/>
    <cellStyle name="Normal 6 9 4" xfId="39531" xr:uid="{00000000-0005-0000-0000-00006E9A0000}"/>
    <cellStyle name="Normal 6 9 4 2" xfId="39532" xr:uid="{00000000-0005-0000-0000-00006F9A0000}"/>
    <cellStyle name="Normal 6 9 4 2 2" xfId="39533" xr:uid="{00000000-0005-0000-0000-0000709A0000}"/>
    <cellStyle name="Normal 6 9 4 3" xfId="39534" xr:uid="{00000000-0005-0000-0000-0000719A0000}"/>
    <cellStyle name="Normal 6 9 4 4" xfId="39535" xr:uid="{00000000-0005-0000-0000-0000729A0000}"/>
    <cellStyle name="Normal 6 9 4 5" xfId="39536" xr:uid="{00000000-0005-0000-0000-0000739A0000}"/>
    <cellStyle name="Normal 6 9 5" xfId="39537" xr:uid="{00000000-0005-0000-0000-0000749A0000}"/>
    <cellStyle name="Normal 6 9 5 2" xfId="39538" xr:uid="{00000000-0005-0000-0000-0000759A0000}"/>
    <cellStyle name="Normal 6 9 5 3" xfId="39539" xr:uid="{00000000-0005-0000-0000-0000769A0000}"/>
    <cellStyle name="Normal 6 9 5 4" xfId="39540" xr:uid="{00000000-0005-0000-0000-0000779A0000}"/>
    <cellStyle name="Normal 6 9 6" xfId="39541" xr:uid="{00000000-0005-0000-0000-0000789A0000}"/>
    <cellStyle name="Normal 6 9 6 2" xfId="39542" xr:uid="{00000000-0005-0000-0000-0000799A0000}"/>
    <cellStyle name="Normal 6 9 7" xfId="39543" xr:uid="{00000000-0005-0000-0000-00007A9A0000}"/>
    <cellStyle name="Normal 6 9 8" xfId="39544" xr:uid="{00000000-0005-0000-0000-00007B9A0000}"/>
    <cellStyle name="Normal 6 9 9" xfId="39545" xr:uid="{00000000-0005-0000-0000-00007C9A0000}"/>
    <cellStyle name="Normal 60" xfId="39546" xr:uid="{00000000-0005-0000-0000-00007D9A0000}"/>
    <cellStyle name="Normal 61" xfId="39547" xr:uid="{00000000-0005-0000-0000-00007E9A0000}"/>
    <cellStyle name="Normal 62" xfId="39548" xr:uid="{00000000-0005-0000-0000-00007F9A0000}"/>
    <cellStyle name="Normal 63" xfId="39549" xr:uid="{00000000-0005-0000-0000-0000809A0000}"/>
    <cellStyle name="Normal 64" xfId="39550" xr:uid="{00000000-0005-0000-0000-0000819A0000}"/>
    <cellStyle name="Normal 65" xfId="39551" xr:uid="{00000000-0005-0000-0000-0000829A0000}"/>
    <cellStyle name="Normal 66" xfId="39552" xr:uid="{00000000-0005-0000-0000-0000839A0000}"/>
    <cellStyle name="Normal 67" xfId="39553" xr:uid="{00000000-0005-0000-0000-0000849A0000}"/>
    <cellStyle name="Normal 68" xfId="39554" xr:uid="{00000000-0005-0000-0000-0000859A0000}"/>
    <cellStyle name="Normal 69" xfId="39555" xr:uid="{00000000-0005-0000-0000-0000869A0000}"/>
    <cellStyle name="Normal 7" xfId="39556" xr:uid="{00000000-0005-0000-0000-0000879A0000}"/>
    <cellStyle name="Normal 7 2" xfId="39557" xr:uid="{00000000-0005-0000-0000-0000889A0000}"/>
    <cellStyle name="Normal 7 2 2" xfId="39558" xr:uid="{00000000-0005-0000-0000-0000899A0000}"/>
    <cellStyle name="Normal 7 3" xfId="39559" xr:uid="{00000000-0005-0000-0000-00008A9A0000}"/>
    <cellStyle name="Normal 7 3 2" xfId="39560" xr:uid="{00000000-0005-0000-0000-00008B9A0000}"/>
    <cellStyle name="Normal 7 4" xfId="39561" xr:uid="{00000000-0005-0000-0000-00008C9A0000}"/>
    <cellStyle name="Normal 70" xfId="39562" xr:uid="{00000000-0005-0000-0000-00008D9A0000}"/>
    <cellStyle name="Normal 71" xfId="39563" xr:uid="{00000000-0005-0000-0000-00008E9A0000}"/>
    <cellStyle name="Normal 72" xfId="42323" xr:uid="{00000000-0005-0000-0000-00008F9A0000}"/>
    <cellStyle name="Normal 73" xfId="42324" xr:uid="{00000000-0005-0000-0000-0000909A0000}"/>
    <cellStyle name="Normal 8" xfId="39564" xr:uid="{00000000-0005-0000-0000-0000919A0000}"/>
    <cellStyle name="Normal 8 2" xfId="39565" xr:uid="{00000000-0005-0000-0000-0000929A0000}"/>
    <cellStyle name="Normal 8 2 2" xfId="39566" xr:uid="{00000000-0005-0000-0000-0000939A0000}"/>
    <cellStyle name="Normal 8 2 3" xfId="39567" xr:uid="{00000000-0005-0000-0000-0000949A0000}"/>
    <cellStyle name="Normal 8 3" xfId="39568" xr:uid="{00000000-0005-0000-0000-0000959A0000}"/>
    <cellStyle name="Normal 8 3 2" xfId="39569" xr:uid="{00000000-0005-0000-0000-0000969A0000}"/>
    <cellStyle name="Normal 8 4" xfId="39570" xr:uid="{00000000-0005-0000-0000-0000979A0000}"/>
    <cellStyle name="Normal 8 5" xfId="39571" xr:uid="{00000000-0005-0000-0000-0000989A0000}"/>
    <cellStyle name="Normal 8 6" xfId="39572" xr:uid="{00000000-0005-0000-0000-0000999A0000}"/>
    <cellStyle name="Normal 9" xfId="39573" xr:uid="{00000000-0005-0000-0000-00009A9A0000}"/>
    <cellStyle name="Normal 9 10" xfId="39574" xr:uid="{00000000-0005-0000-0000-00009B9A0000}"/>
    <cellStyle name="Normal 9 11" xfId="39575" xr:uid="{00000000-0005-0000-0000-00009C9A0000}"/>
    <cellStyle name="Normal 9 12" xfId="39576" xr:uid="{00000000-0005-0000-0000-00009D9A0000}"/>
    <cellStyle name="Normal 9 13" xfId="39577" xr:uid="{00000000-0005-0000-0000-00009E9A0000}"/>
    <cellStyle name="Normal 9 14" xfId="39578" xr:uid="{00000000-0005-0000-0000-00009F9A0000}"/>
    <cellStyle name="Normal 9 15" xfId="39579" xr:uid="{00000000-0005-0000-0000-0000A09A0000}"/>
    <cellStyle name="Normal 9 16" xfId="39580" xr:uid="{00000000-0005-0000-0000-0000A19A0000}"/>
    <cellStyle name="Normal 9 17" xfId="39581" xr:uid="{00000000-0005-0000-0000-0000A29A0000}"/>
    <cellStyle name="Normal 9 18" xfId="39582" xr:uid="{00000000-0005-0000-0000-0000A39A0000}"/>
    <cellStyle name="Normal 9 19" xfId="39583" xr:uid="{00000000-0005-0000-0000-0000A49A0000}"/>
    <cellStyle name="Normal 9 2" xfId="39584" xr:uid="{00000000-0005-0000-0000-0000A59A0000}"/>
    <cellStyle name="Normal 9 20" xfId="39585" xr:uid="{00000000-0005-0000-0000-0000A69A0000}"/>
    <cellStyle name="Normal 9 21" xfId="39586" xr:uid="{00000000-0005-0000-0000-0000A79A0000}"/>
    <cellStyle name="Normal 9 22" xfId="39587" xr:uid="{00000000-0005-0000-0000-0000A89A0000}"/>
    <cellStyle name="Normal 9 23" xfId="39588" xr:uid="{00000000-0005-0000-0000-0000A99A0000}"/>
    <cellStyle name="Normal 9 24" xfId="39589" xr:uid="{00000000-0005-0000-0000-0000AA9A0000}"/>
    <cellStyle name="Normal 9 25" xfId="39590" xr:uid="{00000000-0005-0000-0000-0000AB9A0000}"/>
    <cellStyle name="Normal 9 26" xfId="39591" xr:uid="{00000000-0005-0000-0000-0000AC9A0000}"/>
    <cellStyle name="Normal 9 27" xfId="39592" xr:uid="{00000000-0005-0000-0000-0000AD9A0000}"/>
    <cellStyle name="Normal 9 28" xfId="39593" xr:uid="{00000000-0005-0000-0000-0000AE9A0000}"/>
    <cellStyle name="Normal 9 29" xfId="39594" xr:uid="{00000000-0005-0000-0000-0000AF9A0000}"/>
    <cellStyle name="Normal 9 3" xfId="39595" xr:uid="{00000000-0005-0000-0000-0000B09A0000}"/>
    <cellStyle name="Normal 9 3 2" xfId="39596" xr:uid="{00000000-0005-0000-0000-0000B19A0000}"/>
    <cellStyle name="Normal 9 30" xfId="39597" xr:uid="{00000000-0005-0000-0000-0000B29A0000}"/>
    <cellStyle name="Normal 9 31" xfId="39598" xr:uid="{00000000-0005-0000-0000-0000B39A0000}"/>
    <cellStyle name="Normal 9 32" xfId="39599" xr:uid="{00000000-0005-0000-0000-0000B49A0000}"/>
    <cellStyle name="Normal 9 33" xfId="39600" xr:uid="{00000000-0005-0000-0000-0000B59A0000}"/>
    <cellStyle name="Normal 9 34" xfId="39601" xr:uid="{00000000-0005-0000-0000-0000B69A0000}"/>
    <cellStyle name="Normal 9 35" xfId="39602" xr:uid="{00000000-0005-0000-0000-0000B79A0000}"/>
    <cellStyle name="Normal 9 36" xfId="39603" xr:uid="{00000000-0005-0000-0000-0000B89A0000}"/>
    <cellStyle name="Normal 9 37" xfId="39604" xr:uid="{00000000-0005-0000-0000-0000B99A0000}"/>
    <cellStyle name="Normal 9 38" xfId="39605" xr:uid="{00000000-0005-0000-0000-0000BA9A0000}"/>
    <cellStyle name="Normal 9 39" xfId="39606" xr:uid="{00000000-0005-0000-0000-0000BB9A0000}"/>
    <cellStyle name="Normal 9 4" xfId="39607" xr:uid="{00000000-0005-0000-0000-0000BC9A0000}"/>
    <cellStyle name="Normal 9 40" xfId="39608" xr:uid="{00000000-0005-0000-0000-0000BD9A0000}"/>
    <cellStyle name="Normal 9 5" xfId="39609" xr:uid="{00000000-0005-0000-0000-0000BE9A0000}"/>
    <cellStyle name="Normal 9 6" xfId="39610" xr:uid="{00000000-0005-0000-0000-0000BF9A0000}"/>
    <cellStyle name="Normal 9 7" xfId="39611" xr:uid="{00000000-0005-0000-0000-0000C09A0000}"/>
    <cellStyle name="Normal 9 8" xfId="39612" xr:uid="{00000000-0005-0000-0000-0000C19A0000}"/>
    <cellStyle name="Normal 9 9" xfId="39613" xr:uid="{00000000-0005-0000-0000-0000C29A0000}"/>
    <cellStyle name="Normal 99" xfId="39614" xr:uid="{00000000-0005-0000-0000-0000C39A0000}"/>
    <cellStyle name="Normal_FY94COST.XLS" xfId="42319" xr:uid="{00000000-0005-0000-0000-0000C49A0000}"/>
    <cellStyle name="Note 10" xfId="39615" xr:uid="{00000000-0005-0000-0000-0000C59A0000}"/>
    <cellStyle name="Note 11" xfId="39616" xr:uid="{00000000-0005-0000-0000-0000C69A0000}"/>
    <cellStyle name="Note 11 10" xfId="39617" xr:uid="{00000000-0005-0000-0000-0000C79A0000}"/>
    <cellStyle name="Note 11 2" xfId="39618" xr:uid="{00000000-0005-0000-0000-0000C89A0000}"/>
    <cellStyle name="Note 11 2 2" xfId="39619" xr:uid="{00000000-0005-0000-0000-0000C99A0000}"/>
    <cellStyle name="Note 11 2 2 2" xfId="39620" xr:uid="{00000000-0005-0000-0000-0000CA9A0000}"/>
    <cellStyle name="Note 11 2 2 2 2" xfId="39621" xr:uid="{00000000-0005-0000-0000-0000CB9A0000}"/>
    <cellStyle name="Note 11 2 2 2 3" xfId="39622" xr:uid="{00000000-0005-0000-0000-0000CC9A0000}"/>
    <cellStyle name="Note 11 2 2 3" xfId="39623" xr:uid="{00000000-0005-0000-0000-0000CD9A0000}"/>
    <cellStyle name="Note 11 2 2 4" xfId="39624" xr:uid="{00000000-0005-0000-0000-0000CE9A0000}"/>
    <cellStyle name="Note 11 2 2 5" xfId="39625" xr:uid="{00000000-0005-0000-0000-0000CF9A0000}"/>
    <cellStyle name="Note 11 2 2 6" xfId="39626" xr:uid="{00000000-0005-0000-0000-0000D09A0000}"/>
    <cellStyle name="Note 11 2 3" xfId="39627" xr:uid="{00000000-0005-0000-0000-0000D19A0000}"/>
    <cellStyle name="Note 11 2 3 2" xfId="39628" xr:uid="{00000000-0005-0000-0000-0000D29A0000}"/>
    <cellStyle name="Note 11 2 3 2 2" xfId="39629" xr:uid="{00000000-0005-0000-0000-0000D39A0000}"/>
    <cellStyle name="Note 11 2 3 3" xfId="39630" xr:uid="{00000000-0005-0000-0000-0000D49A0000}"/>
    <cellStyle name="Note 11 2 3 4" xfId="39631" xr:uid="{00000000-0005-0000-0000-0000D59A0000}"/>
    <cellStyle name="Note 11 2 3 5" xfId="39632" xr:uid="{00000000-0005-0000-0000-0000D69A0000}"/>
    <cellStyle name="Note 11 2 4" xfId="39633" xr:uid="{00000000-0005-0000-0000-0000D79A0000}"/>
    <cellStyle name="Note 11 2 4 2" xfId="39634" xr:uid="{00000000-0005-0000-0000-0000D89A0000}"/>
    <cellStyle name="Note 11 2 4 3" xfId="39635" xr:uid="{00000000-0005-0000-0000-0000D99A0000}"/>
    <cellStyle name="Note 11 2 4 4" xfId="39636" xr:uid="{00000000-0005-0000-0000-0000DA9A0000}"/>
    <cellStyle name="Note 11 2 5" xfId="39637" xr:uid="{00000000-0005-0000-0000-0000DB9A0000}"/>
    <cellStyle name="Note 11 2 5 2" xfId="39638" xr:uid="{00000000-0005-0000-0000-0000DC9A0000}"/>
    <cellStyle name="Note 11 2 6" xfId="39639" xr:uid="{00000000-0005-0000-0000-0000DD9A0000}"/>
    <cellStyle name="Note 11 2 7" xfId="39640" xr:uid="{00000000-0005-0000-0000-0000DE9A0000}"/>
    <cellStyle name="Note 11 2 8" xfId="39641" xr:uid="{00000000-0005-0000-0000-0000DF9A0000}"/>
    <cellStyle name="Note 11 2 9" xfId="39642" xr:uid="{00000000-0005-0000-0000-0000E09A0000}"/>
    <cellStyle name="Note 11 3" xfId="39643" xr:uid="{00000000-0005-0000-0000-0000E19A0000}"/>
    <cellStyle name="Note 11 3 2" xfId="39644" xr:uid="{00000000-0005-0000-0000-0000E29A0000}"/>
    <cellStyle name="Note 11 3 2 2" xfId="39645" xr:uid="{00000000-0005-0000-0000-0000E39A0000}"/>
    <cellStyle name="Note 11 3 2 3" xfId="39646" xr:uid="{00000000-0005-0000-0000-0000E49A0000}"/>
    <cellStyle name="Note 11 3 3" xfId="39647" xr:uid="{00000000-0005-0000-0000-0000E59A0000}"/>
    <cellStyle name="Note 11 3 4" xfId="39648" xr:uid="{00000000-0005-0000-0000-0000E69A0000}"/>
    <cellStyle name="Note 11 3 5" xfId="39649" xr:uid="{00000000-0005-0000-0000-0000E79A0000}"/>
    <cellStyle name="Note 11 3 6" xfId="39650" xr:uid="{00000000-0005-0000-0000-0000E89A0000}"/>
    <cellStyle name="Note 11 4" xfId="39651" xr:uid="{00000000-0005-0000-0000-0000E99A0000}"/>
    <cellStyle name="Note 11 4 2" xfId="39652" xr:uid="{00000000-0005-0000-0000-0000EA9A0000}"/>
    <cellStyle name="Note 11 4 2 2" xfId="39653" xr:uid="{00000000-0005-0000-0000-0000EB9A0000}"/>
    <cellStyle name="Note 11 4 3" xfId="39654" xr:uid="{00000000-0005-0000-0000-0000EC9A0000}"/>
    <cellStyle name="Note 11 4 4" xfId="39655" xr:uid="{00000000-0005-0000-0000-0000ED9A0000}"/>
    <cellStyle name="Note 11 4 5" xfId="39656" xr:uid="{00000000-0005-0000-0000-0000EE9A0000}"/>
    <cellStyle name="Note 11 5" xfId="39657" xr:uid="{00000000-0005-0000-0000-0000EF9A0000}"/>
    <cellStyle name="Note 11 5 2" xfId="39658" xr:uid="{00000000-0005-0000-0000-0000F09A0000}"/>
    <cellStyle name="Note 11 5 2 2" xfId="39659" xr:uid="{00000000-0005-0000-0000-0000F19A0000}"/>
    <cellStyle name="Note 11 5 3" xfId="39660" xr:uid="{00000000-0005-0000-0000-0000F29A0000}"/>
    <cellStyle name="Note 11 5 4" xfId="39661" xr:uid="{00000000-0005-0000-0000-0000F39A0000}"/>
    <cellStyle name="Note 11 5 5" xfId="39662" xr:uid="{00000000-0005-0000-0000-0000F49A0000}"/>
    <cellStyle name="Note 11 6" xfId="39663" xr:uid="{00000000-0005-0000-0000-0000F59A0000}"/>
    <cellStyle name="Note 11 6 2" xfId="39664" xr:uid="{00000000-0005-0000-0000-0000F69A0000}"/>
    <cellStyle name="Note 11 7" xfId="39665" xr:uid="{00000000-0005-0000-0000-0000F79A0000}"/>
    <cellStyle name="Note 11 8" xfId="39666" xr:uid="{00000000-0005-0000-0000-0000F89A0000}"/>
    <cellStyle name="Note 11 9" xfId="39667" xr:uid="{00000000-0005-0000-0000-0000F99A0000}"/>
    <cellStyle name="Note 12" xfId="39668" xr:uid="{00000000-0005-0000-0000-0000FA9A0000}"/>
    <cellStyle name="Note 12 10" xfId="39669" xr:uid="{00000000-0005-0000-0000-0000FB9A0000}"/>
    <cellStyle name="Note 12 2" xfId="39670" xr:uid="{00000000-0005-0000-0000-0000FC9A0000}"/>
    <cellStyle name="Note 12 2 2" xfId="39671" xr:uid="{00000000-0005-0000-0000-0000FD9A0000}"/>
    <cellStyle name="Note 12 2 2 2" xfId="39672" xr:uid="{00000000-0005-0000-0000-0000FE9A0000}"/>
    <cellStyle name="Note 12 2 2 2 2" xfId="39673" xr:uid="{00000000-0005-0000-0000-0000FF9A0000}"/>
    <cellStyle name="Note 12 2 2 2 3" xfId="39674" xr:uid="{00000000-0005-0000-0000-0000009B0000}"/>
    <cellStyle name="Note 12 2 2 3" xfId="39675" xr:uid="{00000000-0005-0000-0000-0000019B0000}"/>
    <cellStyle name="Note 12 2 2 4" xfId="39676" xr:uid="{00000000-0005-0000-0000-0000029B0000}"/>
    <cellStyle name="Note 12 2 2 5" xfId="39677" xr:uid="{00000000-0005-0000-0000-0000039B0000}"/>
    <cellStyle name="Note 12 2 2 6" xfId="39678" xr:uid="{00000000-0005-0000-0000-0000049B0000}"/>
    <cellStyle name="Note 12 2 3" xfId="39679" xr:uid="{00000000-0005-0000-0000-0000059B0000}"/>
    <cellStyle name="Note 12 2 3 2" xfId="39680" xr:uid="{00000000-0005-0000-0000-0000069B0000}"/>
    <cellStyle name="Note 12 2 3 2 2" xfId="39681" xr:uid="{00000000-0005-0000-0000-0000079B0000}"/>
    <cellStyle name="Note 12 2 3 3" xfId="39682" xr:uid="{00000000-0005-0000-0000-0000089B0000}"/>
    <cellStyle name="Note 12 2 3 4" xfId="39683" xr:uid="{00000000-0005-0000-0000-0000099B0000}"/>
    <cellStyle name="Note 12 2 3 5" xfId="39684" xr:uid="{00000000-0005-0000-0000-00000A9B0000}"/>
    <cellStyle name="Note 12 2 4" xfId="39685" xr:uid="{00000000-0005-0000-0000-00000B9B0000}"/>
    <cellStyle name="Note 12 2 4 2" xfId="39686" xr:uid="{00000000-0005-0000-0000-00000C9B0000}"/>
    <cellStyle name="Note 12 2 4 3" xfId="39687" xr:uid="{00000000-0005-0000-0000-00000D9B0000}"/>
    <cellStyle name="Note 12 2 4 4" xfId="39688" xr:uid="{00000000-0005-0000-0000-00000E9B0000}"/>
    <cellStyle name="Note 12 2 5" xfId="39689" xr:uid="{00000000-0005-0000-0000-00000F9B0000}"/>
    <cellStyle name="Note 12 2 5 2" xfId="39690" xr:uid="{00000000-0005-0000-0000-0000109B0000}"/>
    <cellStyle name="Note 12 2 6" xfId="39691" xr:uid="{00000000-0005-0000-0000-0000119B0000}"/>
    <cellStyle name="Note 12 2 7" xfId="39692" xr:uid="{00000000-0005-0000-0000-0000129B0000}"/>
    <cellStyle name="Note 12 2 8" xfId="39693" xr:uid="{00000000-0005-0000-0000-0000139B0000}"/>
    <cellStyle name="Note 12 2 9" xfId="39694" xr:uid="{00000000-0005-0000-0000-0000149B0000}"/>
    <cellStyle name="Note 12 3" xfId="39695" xr:uid="{00000000-0005-0000-0000-0000159B0000}"/>
    <cellStyle name="Note 12 3 2" xfId="39696" xr:uid="{00000000-0005-0000-0000-0000169B0000}"/>
    <cellStyle name="Note 12 3 2 2" xfId="39697" xr:uid="{00000000-0005-0000-0000-0000179B0000}"/>
    <cellStyle name="Note 12 3 2 3" xfId="39698" xr:uid="{00000000-0005-0000-0000-0000189B0000}"/>
    <cellStyle name="Note 12 3 3" xfId="39699" xr:uid="{00000000-0005-0000-0000-0000199B0000}"/>
    <cellStyle name="Note 12 3 4" xfId="39700" xr:uid="{00000000-0005-0000-0000-00001A9B0000}"/>
    <cellStyle name="Note 12 3 5" xfId="39701" xr:uid="{00000000-0005-0000-0000-00001B9B0000}"/>
    <cellStyle name="Note 12 3 6" xfId="39702" xr:uid="{00000000-0005-0000-0000-00001C9B0000}"/>
    <cellStyle name="Note 12 4" xfId="39703" xr:uid="{00000000-0005-0000-0000-00001D9B0000}"/>
    <cellStyle name="Note 12 4 2" xfId="39704" xr:uid="{00000000-0005-0000-0000-00001E9B0000}"/>
    <cellStyle name="Note 12 4 2 2" xfId="39705" xr:uid="{00000000-0005-0000-0000-00001F9B0000}"/>
    <cellStyle name="Note 12 4 3" xfId="39706" xr:uid="{00000000-0005-0000-0000-0000209B0000}"/>
    <cellStyle name="Note 12 4 4" xfId="39707" xr:uid="{00000000-0005-0000-0000-0000219B0000}"/>
    <cellStyle name="Note 12 4 5" xfId="39708" xr:uid="{00000000-0005-0000-0000-0000229B0000}"/>
    <cellStyle name="Note 12 5" xfId="39709" xr:uid="{00000000-0005-0000-0000-0000239B0000}"/>
    <cellStyle name="Note 12 5 2" xfId="39710" xr:uid="{00000000-0005-0000-0000-0000249B0000}"/>
    <cellStyle name="Note 12 5 2 2" xfId="39711" xr:uid="{00000000-0005-0000-0000-0000259B0000}"/>
    <cellStyle name="Note 12 5 3" xfId="39712" xr:uid="{00000000-0005-0000-0000-0000269B0000}"/>
    <cellStyle name="Note 12 5 4" xfId="39713" xr:uid="{00000000-0005-0000-0000-0000279B0000}"/>
    <cellStyle name="Note 12 5 5" xfId="39714" xr:uid="{00000000-0005-0000-0000-0000289B0000}"/>
    <cellStyle name="Note 12 6" xfId="39715" xr:uid="{00000000-0005-0000-0000-0000299B0000}"/>
    <cellStyle name="Note 12 6 2" xfId="39716" xr:uid="{00000000-0005-0000-0000-00002A9B0000}"/>
    <cellStyle name="Note 12 7" xfId="39717" xr:uid="{00000000-0005-0000-0000-00002B9B0000}"/>
    <cellStyle name="Note 12 8" xfId="39718" xr:uid="{00000000-0005-0000-0000-00002C9B0000}"/>
    <cellStyle name="Note 12 9" xfId="39719" xr:uid="{00000000-0005-0000-0000-00002D9B0000}"/>
    <cellStyle name="Note 13" xfId="39720" xr:uid="{00000000-0005-0000-0000-00002E9B0000}"/>
    <cellStyle name="Note 13 10" xfId="39721" xr:uid="{00000000-0005-0000-0000-00002F9B0000}"/>
    <cellStyle name="Note 13 2" xfId="39722" xr:uid="{00000000-0005-0000-0000-0000309B0000}"/>
    <cellStyle name="Note 13 2 2" xfId="39723" xr:uid="{00000000-0005-0000-0000-0000319B0000}"/>
    <cellStyle name="Note 13 2 2 2" xfId="39724" xr:uid="{00000000-0005-0000-0000-0000329B0000}"/>
    <cellStyle name="Note 13 2 2 2 2" xfId="39725" xr:uid="{00000000-0005-0000-0000-0000339B0000}"/>
    <cellStyle name="Note 13 2 2 2 3" xfId="39726" xr:uid="{00000000-0005-0000-0000-0000349B0000}"/>
    <cellStyle name="Note 13 2 2 3" xfId="39727" xr:uid="{00000000-0005-0000-0000-0000359B0000}"/>
    <cellStyle name="Note 13 2 2 4" xfId="39728" xr:uid="{00000000-0005-0000-0000-0000369B0000}"/>
    <cellStyle name="Note 13 2 2 5" xfId="39729" xr:uid="{00000000-0005-0000-0000-0000379B0000}"/>
    <cellStyle name="Note 13 2 2 6" xfId="39730" xr:uid="{00000000-0005-0000-0000-0000389B0000}"/>
    <cellStyle name="Note 13 2 3" xfId="39731" xr:uid="{00000000-0005-0000-0000-0000399B0000}"/>
    <cellStyle name="Note 13 2 3 2" xfId="39732" xr:uid="{00000000-0005-0000-0000-00003A9B0000}"/>
    <cellStyle name="Note 13 2 3 2 2" xfId="39733" xr:uid="{00000000-0005-0000-0000-00003B9B0000}"/>
    <cellStyle name="Note 13 2 3 3" xfId="39734" xr:uid="{00000000-0005-0000-0000-00003C9B0000}"/>
    <cellStyle name="Note 13 2 3 4" xfId="39735" xr:uid="{00000000-0005-0000-0000-00003D9B0000}"/>
    <cellStyle name="Note 13 2 3 5" xfId="39736" xr:uid="{00000000-0005-0000-0000-00003E9B0000}"/>
    <cellStyle name="Note 13 2 4" xfId="39737" xr:uid="{00000000-0005-0000-0000-00003F9B0000}"/>
    <cellStyle name="Note 13 2 4 2" xfId="39738" xr:uid="{00000000-0005-0000-0000-0000409B0000}"/>
    <cellStyle name="Note 13 2 4 3" xfId="39739" xr:uid="{00000000-0005-0000-0000-0000419B0000}"/>
    <cellStyle name="Note 13 2 4 4" xfId="39740" xr:uid="{00000000-0005-0000-0000-0000429B0000}"/>
    <cellStyle name="Note 13 2 5" xfId="39741" xr:uid="{00000000-0005-0000-0000-0000439B0000}"/>
    <cellStyle name="Note 13 2 5 2" xfId="39742" xr:uid="{00000000-0005-0000-0000-0000449B0000}"/>
    <cellStyle name="Note 13 2 6" xfId="39743" xr:uid="{00000000-0005-0000-0000-0000459B0000}"/>
    <cellStyle name="Note 13 2 7" xfId="39744" xr:uid="{00000000-0005-0000-0000-0000469B0000}"/>
    <cellStyle name="Note 13 2 8" xfId="39745" xr:uid="{00000000-0005-0000-0000-0000479B0000}"/>
    <cellStyle name="Note 13 2 9" xfId="39746" xr:uid="{00000000-0005-0000-0000-0000489B0000}"/>
    <cellStyle name="Note 13 3" xfId="39747" xr:uid="{00000000-0005-0000-0000-0000499B0000}"/>
    <cellStyle name="Note 13 3 2" xfId="39748" xr:uid="{00000000-0005-0000-0000-00004A9B0000}"/>
    <cellStyle name="Note 13 3 2 2" xfId="39749" xr:uid="{00000000-0005-0000-0000-00004B9B0000}"/>
    <cellStyle name="Note 13 3 2 3" xfId="39750" xr:uid="{00000000-0005-0000-0000-00004C9B0000}"/>
    <cellStyle name="Note 13 3 3" xfId="39751" xr:uid="{00000000-0005-0000-0000-00004D9B0000}"/>
    <cellStyle name="Note 13 3 4" xfId="39752" xr:uid="{00000000-0005-0000-0000-00004E9B0000}"/>
    <cellStyle name="Note 13 3 5" xfId="39753" xr:uid="{00000000-0005-0000-0000-00004F9B0000}"/>
    <cellStyle name="Note 13 3 6" xfId="39754" xr:uid="{00000000-0005-0000-0000-0000509B0000}"/>
    <cellStyle name="Note 13 4" xfId="39755" xr:uid="{00000000-0005-0000-0000-0000519B0000}"/>
    <cellStyle name="Note 13 4 2" xfId="39756" xr:uid="{00000000-0005-0000-0000-0000529B0000}"/>
    <cellStyle name="Note 13 4 2 2" xfId="39757" xr:uid="{00000000-0005-0000-0000-0000539B0000}"/>
    <cellStyle name="Note 13 4 3" xfId="39758" xr:uid="{00000000-0005-0000-0000-0000549B0000}"/>
    <cellStyle name="Note 13 4 4" xfId="39759" xr:uid="{00000000-0005-0000-0000-0000559B0000}"/>
    <cellStyle name="Note 13 4 5" xfId="39760" xr:uid="{00000000-0005-0000-0000-0000569B0000}"/>
    <cellStyle name="Note 13 5" xfId="39761" xr:uid="{00000000-0005-0000-0000-0000579B0000}"/>
    <cellStyle name="Note 13 5 2" xfId="39762" xr:uid="{00000000-0005-0000-0000-0000589B0000}"/>
    <cellStyle name="Note 13 5 2 2" xfId="39763" xr:uid="{00000000-0005-0000-0000-0000599B0000}"/>
    <cellStyle name="Note 13 5 3" xfId="39764" xr:uid="{00000000-0005-0000-0000-00005A9B0000}"/>
    <cellStyle name="Note 13 5 4" xfId="39765" xr:uid="{00000000-0005-0000-0000-00005B9B0000}"/>
    <cellStyle name="Note 13 5 5" xfId="39766" xr:uid="{00000000-0005-0000-0000-00005C9B0000}"/>
    <cellStyle name="Note 13 6" xfId="39767" xr:uid="{00000000-0005-0000-0000-00005D9B0000}"/>
    <cellStyle name="Note 13 6 2" xfId="39768" xr:uid="{00000000-0005-0000-0000-00005E9B0000}"/>
    <cellStyle name="Note 13 7" xfId="39769" xr:uid="{00000000-0005-0000-0000-00005F9B0000}"/>
    <cellStyle name="Note 13 8" xfId="39770" xr:uid="{00000000-0005-0000-0000-0000609B0000}"/>
    <cellStyle name="Note 13 9" xfId="39771" xr:uid="{00000000-0005-0000-0000-0000619B0000}"/>
    <cellStyle name="Note 14" xfId="39772" xr:uid="{00000000-0005-0000-0000-0000629B0000}"/>
    <cellStyle name="Note 14 10" xfId="39773" xr:uid="{00000000-0005-0000-0000-0000639B0000}"/>
    <cellStyle name="Note 14 2" xfId="39774" xr:uid="{00000000-0005-0000-0000-0000649B0000}"/>
    <cellStyle name="Note 14 2 2" xfId="39775" xr:uid="{00000000-0005-0000-0000-0000659B0000}"/>
    <cellStyle name="Note 14 2 2 2" xfId="39776" xr:uid="{00000000-0005-0000-0000-0000669B0000}"/>
    <cellStyle name="Note 14 2 2 2 2" xfId="39777" xr:uid="{00000000-0005-0000-0000-0000679B0000}"/>
    <cellStyle name="Note 14 2 2 2 3" xfId="39778" xr:uid="{00000000-0005-0000-0000-0000689B0000}"/>
    <cellStyle name="Note 14 2 2 3" xfId="39779" xr:uid="{00000000-0005-0000-0000-0000699B0000}"/>
    <cellStyle name="Note 14 2 2 4" xfId="39780" xr:uid="{00000000-0005-0000-0000-00006A9B0000}"/>
    <cellStyle name="Note 14 2 2 5" xfId="39781" xr:uid="{00000000-0005-0000-0000-00006B9B0000}"/>
    <cellStyle name="Note 14 2 2 6" xfId="39782" xr:uid="{00000000-0005-0000-0000-00006C9B0000}"/>
    <cellStyle name="Note 14 2 3" xfId="39783" xr:uid="{00000000-0005-0000-0000-00006D9B0000}"/>
    <cellStyle name="Note 14 2 3 2" xfId="39784" xr:uid="{00000000-0005-0000-0000-00006E9B0000}"/>
    <cellStyle name="Note 14 2 3 2 2" xfId="39785" xr:uid="{00000000-0005-0000-0000-00006F9B0000}"/>
    <cellStyle name="Note 14 2 3 3" xfId="39786" xr:uid="{00000000-0005-0000-0000-0000709B0000}"/>
    <cellStyle name="Note 14 2 3 4" xfId="39787" xr:uid="{00000000-0005-0000-0000-0000719B0000}"/>
    <cellStyle name="Note 14 2 3 5" xfId="39788" xr:uid="{00000000-0005-0000-0000-0000729B0000}"/>
    <cellStyle name="Note 14 2 4" xfId="39789" xr:uid="{00000000-0005-0000-0000-0000739B0000}"/>
    <cellStyle name="Note 14 2 4 2" xfId="39790" xr:uid="{00000000-0005-0000-0000-0000749B0000}"/>
    <cellStyle name="Note 14 2 4 3" xfId="39791" xr:uid="{00000000-0005-0000-0000-0000759B0000}"/>
    <cellStyle name="Note 14 2 4 4" xfId="39792" xr:uid="{00000000-0005-0000-0000-0000769B0000}"/>
    <cellStyle name="Note 14 2 5" xfId="39793" xr:uid="{00000000-0005-0000-0000-0000779B0000}"/>
    <cellStyle name="Note 14 2 5 2" xfId="39794" xr:uid="{00000000-0005-0000-0000-0000789B0000}"/>
    <cellStyle name="Note 14 2 6" xfId="39795" xr:uid="{00000000-0005-0000-0000-0000799B0000}"/>
    <cellStyle name="Note 14 2 7" xfId="39796" xr:uid="{00000000-0005-0000-0000-00007A9B0000}"/>
    <cellStyle name="Note 14 2 8" xfId="39797" xr:uid="{00000000-0005-0000-0000-00007B9B0000}"/>
    <cellStyle name="Note 14 2 9" xfId="39798" xr:uid="{00000000-0005-0000-0000-00007C9B0000}"/>
    <cellStyle name="Note 14 3" xfId="39799" xr:uid="{00000000-0005-0000-0000-00007D9B0000}"/>
    <cellStyle name="Note 14 3 2" xfId="39800" xr:uid="{00000000-0005-0000-0000-00007E9B0000}"/>
    <cellStyle name="Note 14 3 2 2" xfId="39801" xr:uid="{00000000-0005-0000-0000-00007F9B0000}"/>
    <cellStyle name="Note 14 3 2 3" xfId="39802" xr:uid="{00000000-0005-0000-0000-0000809B0000}"/>
    <cellStyle name="Note 14 3 3" xfId="39803" xr:uid="{00000000-0005-0000-0000-0000819B0000}"/>
    <cellStyle name="Note 14 3 4" xfId="39804" xr:uid="{00000000-0005-0000-0000-0000829B0000}"/>
    <cellStyle name="Note 14 3 5" xfId="39805" xr:uid="{00000000-0005-0000-0000-0000839B0000}"/>
    <cellStyle name="Note 14 3 6" xfId="39806" xr:uid="{00000000-0005-0000-0000-0000849B0000}"/>
    <cellStyle name="Note 14 4" xfId="39807" xr:uid="{00000000-0005-0000-0000-0000859B0000}"/>
    <cellStyle name="Note 14 4 2" xfId="39808" xr:uid="{00000000-0005-0000-0000-0000869B0000}"/>
    <cellStyle name="Note 14 4 2 2" xfId="39809" xr:uid="{00000000-0005-0000-0000-0000879B0000}"/>
    <cellStyle name="Note 14 4 3" xfId="39810" xr:uid="{00000000-0005-0000-0000-0000889B0000}"/>
    <cellStyle name="Note 14 4 4" xfId="39811" xr:uid="{00000000-0005-0000-0000-0000899B0000}"/>
    <cellStyle name="Note 14 4 5" xfId="39812" xr:uid="{00000000-0005-0000-0000-00008A9B0000}"/>
    <cellStyle name="Note 14 5" xfId="39813" xr:uid="{00000000-0005-0000-0000-00008B9B0000}"/>
    <cellStyle name="Note 14 5 2" xfId="39814" xr:uid="{00000000-0005-0000-0000-00008C9B0000}"/>
    <cellStyle name="Note 14 5 2 2" xfId="39815" xr:uid="{00000000-0005-0000-0000-00008D9B0000}"/>
    <cellStyle name="Note 14 5 3" xfId="39816" xr:uid="{00000000-0005-0000-0000-00008E9B0000}"/>
    <cellStyle name="Note 14 5 4" xfId="39817" xr:uid="{00000000-0005-0000-0000-00008F9B0000}"/>
    <cellStyle name="Note 14 5 5" xfId="39818" xr:uid="{00000000-0005-0000-0000-0000909B0000}"/>
    <cellStyle name="Note 14 6" xfId="39819" xr:uid="{00000000-0005-0000-0000-0000919B0000}"/>
    <cellStyle name="Note 14 6 2" xfId="39820" xr:uid="{00000000-0005-0000-0000-0000929B0000}"/>
    <cellStyle name="Note 14 7" xfId="39821" xr:uid="{00000000-0005-0000-0000-0000939B0000}"/>
    <cellStyle name="Note 14 8" xfId="39822" xr:uid="{00000000-0005-0000-0000-0000949B0000}"/>
    <cellStyle name="Note 14 9" xfId="39823" xr:uid="{00000000-0005-0000-0000-0000959B0000}"/>
    <cellStyle name="Note 15" xfId="39824" xr:uid="{00000000-0005-0000-0000-0000969B0000}"/>
    <cellStyle name="Note 15 10" xfId="39825" xr:uid="{00000000-0005-0000-0000-0000979B0000}"/>
    <cellStyle name="Note 15 2" xfId="39826" xr:uid="{00000000-0005-0000-0000-0000989B0000}"/>
    <cellStyle name="Note 15 2 2" xfId="39827" xr:uid="{00000000-0005-0000-0000-0000999B0000}"/>
    <cellStyle name="Note 15 2 2 2" xfId="39828" xr:uid="{00000000-0005-0000-0000-00009A9B0000}"/>
    <cellStyle name="Note 15 2 2 2 2" xfId="39829" xr:uid="{00000000-0005-0000-0000-00009B9B0000}"/>
    <cellStyle name="Note 15 2 2 2 3" xfId="39830" xr:uid="{00000000-0005-0000-0000-00009C9B0000}"/>
    <cellStyle name="Note 15 2 2 3" xfId="39831" xr:uid="{00000000-0005-0000-0000-00009D9B0000}"/>
    <cellStyle name="Note 15 2 2 4" xfId="39832" xr:uid="{00000000-0005-0000-0000-00009E9B0000}"/>
    <cellStyle name="Note 15 2 2 5" xfId="39833" xr:uid="{00000000-0005-0000-0000-00009F9B0000}"/>
    <cellStyle name="Note 15 2 2 6" xfId="39834" xr:uid="{00000000-0005-0000-0000-0000A09B0000}"/>
    <cellStyle name="Note 15 2 3" xfId="39835" xr:uid="{00000000-0005-0000-0000-0000A19B0000}"/>
    <cellStyle name="Note 15 2 3 2" xfId="39836" xr:uid="{00000000-0005-0000-0000-0000A29B0000}"/>
    <cellStyle name="Note 15 2 3 2 2" xfId="39837" xr:uid="{00000000-0005-0000-0000-0000A39B0000}"/>
    <cellStyle name="Note 15 2 3 3" xfId="39838" xr:uid="{00000000-0005-0000-0000-0000A49B0000}"/>
    <cellStyle name="Note 15 2 3 4" xfId="39839" xr:uid="{00000000-0005-0000-0000-0000A59B0000}"/>
    <cellStyle name="Note 15 2 3 5" xfId="39840" xr:uid="{00000000-0005-0000-0000-0000A69B0000}"/>
    <cellStyle name="Note 15 2 4" xfId="39841" xr:uid="{00000000-0005-0000-0000-0000A79B0000}"/>
    <cellStyle name="Note 15 2 4 2" xfId="39842" xr:uid="{00000000-0005-0000-0000-0000A89B0000}"/>
    <cellStyle name="Note 15 2 4 3" xfId="39843" xr:uid="{00000000-0005-0000-0000-0000A99B0000}"/>
    <cellStyle name="Note 15 2 4 4" xfId="39844" xr:uid="{00000000-0005-0000-0000-0000AA9B0000}"/>
    <cellStyle name="Note 15 2 5" xfId="39845" xr:uid="{00000000-0005-0000-0000-0000AB9B0000}"/>
    <cellStyle name="Note 15 2 5 2" xfId="39846" xr:uid="{00000000-0005-0000-0000-0000AC9B0000}"/>
    <cellStyle name="Note 15 2 6" xfId="39847" xr:uid="{00000000-0005-0000-0000-0000AD9B0000}"/>
    <cellStyle name="Note 15 2 7" xfId="39848" xr:uid="{00000000-0005-0000-0000-0000AE9B0000}"/>
    <cellStyle name="Note 15 2 8" xfId="39849" xr:uid="{00000000-0005-0000-0000-0000AF9B0000}"/>
    <cellStyle name="Note 15 2 9" xfId="39850" xr:uid="{00000000-0005-0000-0000-0000B09B0000}"/>
    <cellStyle name="Note 15 3" xfId="39851" xr:uid="{00000000-0005-0000-0000-0000B19B0000}"/>
    <cellStyle name="Note 15 3 2" xfId="39852" xr:uid="{00000000-0005-0000-0000-0000B29B0000}"/>
    <cellStyle name="Note 15 3 2 2" xfId="39853" xr:uid="{00000000-0005-0000-0000-0000B39B0000}"/>
    <cellStyle name="Note 15 3 2 3" xfId="39854" xr:uid="{00000000-0005-0000-0000-0000B49B0000}"/>
    <cellStyle name="Note 15 3 3" xfId="39855" xr:uid="{00000000-0005-0000-0000-0000B59B0000}"/>
    <cellStyle name="Note 15 3 4" xfId="39856" xr:uid="{00000000-0005-0000-0000-0000B69B0000}"/>
    <cellStyle name="Note 15 3 5" xfId="39857" xr:uid="{00000000-0005-0000-0000-0000B79B0000}"/>
    <cellStyle name="Note 15 3 6" xfId="39858" xr:uid="{00000000-0005-0000-0000-0000B89B0000}"/>
    <cellStyle name="Note 15 4" xfId="39859" xr:uid="{00000000-0005-0000-0000-0000B99B0000}"/>
    <cellStyle name="Note 15 4 2" xfId="39860" xr:uid="{00000000-0005-0000-0000-0000BA9B0000}"/>
    <cellStyle name="Note 15 4 2 2" xfId="39861" xr:uid="{00000000-0005-0000-0000-0000BB9B0000}"/>
    <cellStyle name="Note 15 4 3" xfId="39862" xr:uid="{00000000-0005-0000-0000-0000BC9B0000}"/>
    <cellStyle name="Note 15 4 4" xfId="39863" xr:uid="{00000000-0005-0000-0000-0000BD9B0000}"/>
    <cellStyle name="Note 15 4 5" xfId="39864" xr:uid="{00000000-0005-0000-0000-0000BE9B0000}"/>
    <cellStyle name="Note 15 5" xfId="39865" xr:uid="{00000000-0005-0000-0000-0000BF9B0000}"/>
    <cellStyle name="Note 15 5 2" xfId="39866" xr:uid="{00000000-0005-0000-0000-0000C09B0000}"/>
    <cellStyle name="Note 15 5 2 2" xfId="39867" xr:uid="{00000000-0005-0000-0000-0000C19B0000}"/>
    <cellStyle name="Note 15 5 3" xfId="39868" xr:uid="{00000000-0005-0000-0000-0000C29B0000}"/>
    <cellStyle name="Note 15 5 4" xfId="39869" xr:uid="{00000000-0005-0000-0000-0000C39B0000}"/>
    <cellStyle name="Note 15 5 5" xfId="39870" xr:uid="{00000000-0005-0000-0000-0000C49B0000}"/>
    <cellStyle name="Note 15 6" xfId="39871" xr:uid="{00000000-0005-0000-0000-0000C59B0000}"/>
    <cellStyle name="Note 15 6 2" xfId="39872" xr:uid="{00000000-0005-0000-0000-0000C69B0000}"/>
    <cellStyle name="Note 15 7" xfId="39873" xr:uid="{00000000-0005-0000-0000-0000C79B0000}"/>
    <cellStyle name="Note 15 8" xfId="39874" xr:uid="{00000000-0005-0000-0000-0000C89B0000}"/>
    <cellStyle name="Note 15 9" xfId="39875" xr:uid="{00000000-0005-0000-0000-0000C99B0000}"/>
    <cellStyle name="Note 16" xfId="39876" xr:uid="{00000000-0005-0000-0000-0000CA9B0000}"/>
    <cellStyle name="Note 16 10" xfId="39877" xr:uid="{00000000-0005-0000-0000-0000CB9B0000}"/>
    <cellStyle name="Note 16 2" xfId="39878" xr:uid="{00000000-0005-0000-0000-0000CC9B0000}"/>
    <cellStyle name="Note 16 2 2" xfId="39879" xr:uid="{00000000-0005-0000-0000-0000CD9B0000}"/>
    <cellStyle name="Note 16 2 2 2" xfId="39880" xr:uid="{00000000-0005-0000-0000-0000CE9B0000}"/>
    <cellStyle name="Note 16 2 2 2 2" xfId="39881" xr:uid="{00000000-0005-0000-0000-0000CF9B0000}"/>
    <cellStyle name="Note 16 2 2 2 3" xfId="39882" xr:uid="{00000000-0005-0000-0000-0000D09B0000}"/>
    <cellStyle name="Note 16 2 2 3" xfId="39883" xr:uid="{00000000-0005-0000-0000-0000D19B0000}"/>
    <cellStyle name="Note 16 2 2 4" xfId="39884" xr:uid="{00000000-0005-0000-0000-0000D29B0000}"/>
    <cellStyle name="Note 16 2 2 5" xfId="39885" xr:uid="{00000000-0005-0000-0000-0000D39B0000}"/>
    <cellStyle name="Note 16 2 2 6" xfId="39886" xr:uid="{00000000-0005-0000-0000-0000D49B0000}"/>
    <cellStyle name="Note 16 2 3" xfId="39887" xr:uid="{00000000-0005-0000-0000-0000D59B0000}"/>
    <cellStyle name="Note 16 2 3 2" xfId="39888" xr:uid="{00000000-0005-0000-0000-0000D69B0000}"/>
    <cellStyle name="Note 16 2 3 2 2" xfId="39889" xr:uid="{00000000-0005-0000-0000-0000D79B0000}"/>
    <cellStyle name="Note 16 2 3 3" xfId="39890" xr:uid="{00000000-0005-0000-0000-0000D89B0000}"/>
    <cellStyle name="Note 16 2 3 4" xfId="39891" xr:uid="{00000000-0005-0000-0000-0000D99B0000}"/>
    <cellStyle name="Note 16 2 3 5" xfId="39892" xr:uid="{00000000-0005-0000-0000-0000DA9B0000}"/>
    <cellStyle name="Note 16 2 4" xfId="39893" xr:uid="{00000000-0005-0000-0000-0000DB9B0000}"/>
    <cellStyle name="Note 16 2 4 2" xfId="39894" xr:uid="{00000000-0005-0000-0000-0000DC9B0000}"/>
    <cellStyle name="Note 16 2 4 3" xfId="39895" xr:uid="{00000000-0005-0000-0000-0000DD9B0000}"/>
    <cellStyle name="Note 16 2 4 4" xfId="39896" xr:uid="{00000000-0005-0000-0000-0000DE9B0000}"/>
    <cellStyle name="Note 16 2 5" xfId="39897" xr:uid="{00000000-0005-0000-0000-0000DF9B0000}"/>
    <cellStyle name="Note 16 2 5 2" xfId="39898" xr:uid="{00000000-0005-0000-0000-0000E09B0000}"/>
    <cellStyle name="Note 16 2 6" xfId="39899" xr:uid="{00000000-0005-0000-0000-0000E19B0000}"/>
    <cellStyle name="Note 16 2 7" xfId="39900" xr:uid="{00000000-0005-0000-0000-0000E29B0000}"/>
    <cellStyle name="Note 16 2 8" xfId="39901" xr:uid="{00000000-0005-0000-0000-0000E39B0000}"/>
    <cellStyle name="Note 16 2 9" xfId="39902" xr:uid="{00000000-0005-0000-0000-0000E49B0000}"/>
    <cellStyle name="Note 16 3" xfId="39903" xr:uid="{00000000-0005-0000-0000-0000E59B0000}"/>
    <cellStyle name="Note 16 3 2" xfId="39904" xr:uid="{00000000-0005-0000-0000-0000E69B0000}"/>
    <cellStyle name="Note 16 3 2 2" xfId="39905" xr:uid="{00000000-0005-0000-0000-0000E79B0000}"/>
    <cellStyle name="Note 16 3 2 3" xfId="39906" xr:uid="{00000000-0005-0000-0000-0000E89B0000}"/>
    <cellStyle name="Note 16 3 3" xfId="39907" xr:uid="{00000000-0005-0000-0000-0000E99B0000}"/>
    <cellStyle name="Note 16 3 4" xfId="39908" xr:uid="{00000000-0005-0000-0000-0000EA9B0000}"/>
    <cellStyle name="Note 16 3 5" xfId="39909" xr:uid="{00000000-0005-0000-0000-0000EB9B0000}"/>
    <cellStyle name="Note 16 3 6" xfId="39910" xr:uid="{00000000-0005-0000-0000-0000EC9B0000}"/>
    <cellStyle name="Note 16 4" xfId="39911" xr:uid="{00000000-0005-0000-0000-0000ED9B0000}"/>
    <cellStyle name="Note 16 4 2" xfId="39912" xr:uid="{00000000-0005-0000-0000-0000EE9B0000}"/>
    <cellStyle name="Note 16 4 2 2" xfId="39913" xr:uid="{00000000-0005-0000-0000-0000EF9B0000}"/>
    <cellStyle name="Note 16 4 3" xfId="39914" xr:uid="{00000000-0005-0000-0000-0000F09B0000}"/>
    <cellStyle name="Note 16 4 4" xfId="39915" xr:uid="{00000000-0005-0000-0000-0000F19B0000}"/>
    <cellStyle name="Note 16 4 5" xfId="39916" xr:uid="{00000000-0005-0000-0000-0000F29B0000}"/>
    <cellStyle name="Note 16 5" xfId="39917" xr:uid="{00000000-0005-0000-0000-0000F39B0000}"/>
    <cellStyle name="Note 16 5 2" xfId="39918" xr:uid="{00000000-0005-0000-0000-0000F49B0000}"/>
    <cellStyle name="Note 16 5 2 2" xfId="39919" xr:uid="{00000000-0005-0000-0000-0000F59B0000}"/>
    <cellStyle name="Note 16 5 3" xfId="39920" xr:uid="{00000000-0005-0000-0000-0000F69B0000}"/>
    <cellStyle name="Note 16 5 4" xfId="39921" xr:uid="{00000000-0005-0000-0000-0000F79B0000}"/>
    <cellStyle name="Note 16 5 5" xfId="39922" xr:uid="{00000000-0005-0000-0000-0000F89B0000}"/>
    <cellStyle name="Note 16 6" xfId="39923" xr:uid="{00000000-0005-0000-0000-0000F99B0000}"/>
    <cellStyle name="Note 16 6 2" xfId="39924" xr:uid="{00000000-0005-0000-0000-0000FA9B0000}"/>
    <cellStyle name="Note 16 7" xfId="39925" xr:uid="{00000000-0005-0000-0000-0000FB9B0000}"/>
    <cellStyle name="Note 16 8" xfId="39926" xr:uid="{00000000-0005-0000-0000-0000FC9B0000}"/>
    <cellStyle name="Note 16 9" xfId="39927" xr:uid="{00000000-0005-0000-0000-0000FD9B0000}"/>
    <cellStyle name="Note 17" xfId="39928" xr:uid="{00000000-0005-0000-0000-0000FE9B0000}"/>
    <cellStyle name="Note 17 10" xfId="39929" xr:uid="{00000000-0005-0000-0000-0000FF9B0000}"/>
    <cellStyle name="Note 17 2" xfId="39930" xr:uid="{00000000-0005-0000-0000-0000009C0000}"/>
    <cellStyle name="Note 17 2 2" xfId="39931" xr:uid="{00000000-0005-0000-0000-0000019C0000}"/>
    <cellStyle name="Note 17 2 2 2" xfId="39932" xr:uid="{00000000-0005-0000-0000-0000029C0000}"/>
    <cellStyle name="Note 17 2 2 2 2" xfId="39933" xr:uid="{00000000-0005-0000-0000-0000039C0000}"/>
    <cellStyle name="Note 17 2 2 2 3" xfId="39934" xr:uid="{00000000-0005-0000-0000-0000049C0000}"/>
    <cellStyle name="Note 17 2 2 3" xfId="39935" xr:uid="{00000000-0005-0000-0000-0000059C0000}"/>
    <cellStyle name="Note 17 2 2 4" xfId="39936" xr:uid="{00000000-0005-0000-0000-0000069C0000}"/>
    <cellStyle name="Note 17 2 2 5" xfId="39937" xr:uid="{00000000-0005-0000-0000-0000079C0000}"/>
    <cellStyle name="Note 17 2 2 6" xfId="39938" xr:uid="{00000000-0005-0000-0000-0000089C0000}"/>
    <cellStyle name="Note 17 2 3" xfId="39939" xr:uid="{00000000-0005-0000-0000-0000099C0000}"/>
    <cellStyle name="Note 17 2 3 2" xfId="39940" xr:uid="{00000000-0005-0000-0000-00000A9C0000}"/>
    <cellStyle name="Note 17 2 3 2 2" xfId="39941" xr:uid="{00000000-0005-0000-0000-00000B9C0000}"/>
    <cellStyle name="Note 17 2 3 3" xfId="39942" xr:uid="{00000000-0005-0000-0000-00000C9C0000}"/>
    <cellStyle name="Note 17 2 3 4" xfId="39943" xr:uid="{00000000-0005-0000-0000-00000D9C0000}"/>
    <cellStyle name="Note 17 2 3 5" xfId="39944" xr:uid="{00000000-0005-0000-0000-00000E9C0000}"/>
    <cellStyle name="Note 17 2 4" xfId="39945" xr:uid="{00000000-0005-0000-0000-00000F9C0000}"/>
    <cellStyle name="Note 17 2 4 2" xfId="39946" xr:uid="{00000000-0005-0000-0000-0000109C0000}"/>
    <cellStyle name="Note 17 2 4 3" xfId="39947" xr:uid="{00000000-0005-0000-0000-0000119C0000}"/>
    <cellStyle name="Note 17 2 4 4" xfId="39948" xr:uid="{00000000-0005-0000-0000-0000129C0000}"/>
    <cellStyle name="Note 17 2 5" xfId="39949" xr:uid="{00000000-0005-0000-0000-0000139C0000}"/>
    <cellStyle name="Note 17 2 5 2" xfId="39950" xr:uid="{00000000-0005-0000-0000-0000149C0000}"/>
    <cellStyle name="Note 17 2 6" xfId="39951" xr:uid="{00000000-0005-0000-0000-0000159C0000}"/>
    <cellStyle name="Note 17 2 7" xfId="39952" xr:uid="{00000000-0005-0000-0000-0000169C0000}"/>
    <cellStyle name="Note 17 2 8" xfId="39953" xr:uid="{00000000-0005-0000-0000-0000179C0000}"/>
    <cellStyle name="Note 17 2 9" xfId="39954" xr:uid="{00000000-0005-0000-0000-0000189C0000}"/>
    <cellStyle name="Note 17 3" xfId="39955" xr:uid="{00000000-0005-0000-0000-0000199C0000}"/>
    <cellStyle name="Note 17 3 2" xfId="39956" xr:uid="{00000000-0005-0000-0000-00001A9C0000}"/>
    <cellStyle name="Note 17 3 2 2" xfId="39957" xr:uid="{00000000-0005-0000-0000-00001B9C0000}"/>
    <cellStyle name="Note 17 3 2 3" xfId="39958" xr:uid="{00000000-0005-0000-0000-00001C9C0000}"/>
    <cellStyle name="Note 17 3 3" xfId="39959" xr:uid="{00000000-0005-0000-0000-00001D9C0000}"/>
    <cellStyle name="Note 17 3 4" xfId="39960" xr:uid="{00000000-0005-0000-0000-00001E9C0000}"/>
    <cellStyle name="Note 17 3 5" xfId="39961" xr:uid="{00000000-0005-0000-0000-00001F9C0000}"/>
    <cellStyle name="Note 17 3 6" xfId="39962" xr:uid="{00000000-0005-0000-0000-0000209C0000}"/>
    <cellStyle name="Note 17 4" xfId="39963" xr:uid="{00000000-0005-0000-0000-0000219C0000}"/>
    <cellStyle name="Note 17 4 2" xfId="39964" xr:uid="{00000000-0005-0000-0000-0000229C0000}"/>
    <cellStyle name="Note 17 4 2 2" xfId="39965" xr:uid="{00000000-0005-0000-0000-0000239C0000}"/>
    <cellStyle name="Note 17 4 3" xfId="39966" xr:uid="{00000000-0005-0000-0000-0000249C0000}"/>
    <cellStyle name="Note 17 4 4" xfId="39967" xr:uid="{00000000-0005-0000-0000-0000259C0000}"/>
    <cellStyle name="Note 17 4 5" xfId="39968" xr:uid="{00000000-0005-0000-0000-0000269C0000}"/>
    <cellStyle name="Note 17 5" xfId="39969" xr:uid="{00000000-0005-0000-0000-0000279C0000}"/>
    <cellStyle name="Note 17 5 2" xfId="39970" xr:uid="{00000000-0005-0000-0000-0000289C0000}"/>
    <cellStyle name="Note 17 5 2 2" xfId="39971" xr:uid="{00000000-0005-0000-0000-0000299C0000}"/>
    <cellStyle name="Note 17 5 3" xfId="39972" xr:uid="{00000000-0005-0000-0000-00002A9C0000}"/>
    <cellStyle name="Note 17 5 4" xfId="39973" xr:uid="{00000000-0005-0000-0000-00002B9C0000}"/>
    <cellStyle name="Note 17 5 5" xfId="39974" xr:uid="{00000000-0005-0000-0000-00002C9C0000}"/>
    <cellStyle name="Note 17 6" xfId="39975" xr:uid="{00000000-0005-0000-0000-00002D9C0000}"/>
    <cellStyle name="Note 17 6 2" xfId="39976" xr:uid="{00000000-0005-0000-0000-00002E9C0000}"/>
    <cellStyle name="Note 17 7" xfId="39977" xr:uid="{00000000-0005-0000-0000-00002F9C0000}"/>
    <cellStyle name="Note 17 8" xfId="39978" xr:uid="{00000000-0005-0000-0000-0000309C0000}"/>
    <cellStyle name="Note 17 9" xfId="39979" xr:uid="{00000000-0005-0000-0000-0000319C0000}"/>
    <cellStyle name="Note 18" xfId="39980" xr:uid="{00000000-0005-0000-0000-0000329C0000}"/>
    <cellStyle name="Note 18 10" xfId="39981" xr:uid="{00000000-0005-0000-0000-0000339C0000}"/>
    <cellStyle name="Note 18 2" xfId="39982" xr:uid="{00000000-0005-0000-0000-0000349C0000}"/>
    <cellStyle name="Note 18 2 2" xfId="39983" xr:uid="{00000000-0005-0000-0000-0000359C0000}"/>
    <cellStyle name="Note 18 2 2 2" xfId="39984" xr:uid="{00000000-0005-0000-0000-0000369C0000}"/>
    <cellStyle name="Note 18 2 2 2 2" xfId="39985" xr:uid="{00000000-0005-0000-0000-0000379C0000}"/>
    <cellStyle name="Note 18 2 2 2 3" xfId="39986" xr:uid="{00000000-0005-0000-0000-0000389C0000}"/>
    <cellStyle name="Note 18 2 2 3" xfId="39987" xr:uid="{00000000-0005-0000-0000-0000399C0000}"/>
    <cellStyle name="Note 18 2 2 4" xfId="39988" xr:uid="{00000000-0005-0000-0000-00003A9C0000}"/>
    <cellStyle name="Note 18 2 2 5" xfId="39989" xr:uid="{00000000-0005-0000-0000-00003B9C0000}"/>
    <cellStyle name="Note 18 2 2 6" xfId="39990" xr:uid="{00000000-0005-0000-0000-00003C9C0000}"/>
    <cellStyle name="Note 18 2 3" xfId="39991" xr:uid="{00000000-0005-0000-0000-00003D9C0000}"/>
    <cellStyle name="Note 18 2 3 2" xfId="39992" xr:uid="{00000000-0005-0000-0000-00003E9C0000}"/>
    <cellStyle name="Note 18 2 3 2 2" xfId="39993" xr:uid="{00000000-0005-0000-0000-00003F9C0000}"/>
    <cellStyle name="Note 18 2 3 3" xfId="39994" xr:uid="{00000000-0005-0000-0000-0000409C0000}"/>
    <cellStyle name="Note 18 2 3 4" xfId="39995" xr:uid="{00000000-0005-0000-0000-0000419C0000}"/>
    <cellStyle name="Note 18 2 3 5" xfId="39996" xr:uid="{00000000-0005-0000-0000-0000429C0000}"/>
    <cellStyle name="Note 18 2 4" xfId="39997" xr:uid="{00000000-0005-0000-0000-0000439C0000}"/>
    <cellStyle name="Note 18 2 4 2" xfId="39998" xr:uid="{00000000-0005-0000-0000-0000449C0000}"/>
    <cellStyle name="Note 18 2 4 3" xfId="39999" xr:uid="{00000000-0005-0000-0000-0000459C0000}"/>
    <cellStyle name="Note 18 2 4 4" xfId="40000" xr:uid="{00000000-0005-0000-0000-0000469C0000}"/>
    <cellStyle name="Note 18 2 5" xfId="40001" xr:uid="{00000000-0005-0000-0000-0000479C0000}"/>
    <cellStyle name="Note 18 2 5 2" xfId="40002" xr:uid="{00000000-0005-0000-0000-0000489C0000}"/>
    <cellStyle name="Note 18 2 6" xfId="40003" xr:uid="{00000000-0005-0000-0000-0000499C0000}"/>
    <cellStyle name="Note 18 2 7" xfId="40004" xr:uid="{00000000-0005-0000-0000-00004A9C0000}"/>
    <cellStyle name="Note 18 2 8" xfId="40005" xr:uid="{00000000-0005-0000-0000-00004B9C0000}"/>
    <cellStyle name="Note 18 2 9" xfId="40006" xr:uid="{00000000-0005-0000-0000-00004C9C0000}"/>
    <cellStyle name="Note 18 3" xfId="40007" xr:uid="{00000000-0005-0000-0000-00004D9C0000}"/>
    <cellStyle name="Note 18 3 2" xfId="40008" xr:uid="{00000000-0005-0000-0000-00004E9C0000}"/>
    <cellStyle name="Note 18 3 2 2" xfId="40009" xr:uid="{00000000-0005-0000-0000-00004F9C0000}"/>
    <cellStyle name="Note 18 3 2 3" xfId="40010" xr:uid="{00000000-0005-0000-0000-0000509C0000}"/>
    <cellStyle name="Note 18 3 3" xfId="40011" xr:uid="{00000000-0005-0000-0000-0000519C0000}"/>
    <cellStyle name="Note 18 3 4" xfId="40012" xr:uid="{00000000-0005-0000-0000-0000529C0000}"/>
    <cellStyle name="Note 18 3 5" xfId="40013" xr:uid="{00000000-0005-0000-0000-0000539C0000}"/>
    <cellStyle name="Note 18 3 6" xfId="40014" xr:uid="{00000000-0005-0000-0000-0000549C0000}"/>
    <cellStyle name="Note 18 4" xfId="40015" xr:uid="{00000000-0005-0000-0000-0000559C0000}"/>
    <cellStyle name="Note 18 4 2" xfId="40016" xr:uid="{00000000-0005-0000-0000-0000569C0000}"/>
    <cellStyle name="Note 18 4 2 2" xfId="40017" xr:uid="{00000000-0005-0000-0000-0000579C0000}"/>
    <cellStyle name="Note 18 4 3" xfId="40018" xr:uid="{00000000-0005-0000-0000-0000589C0000}"/>
    <cellStyle name="Note 18 4 4" xfId="40019" xr:uid="{00000000-0005-0000-0000-0000599C0000}"/>
    <cellStyle name="Note 18 4 5" xfId="40020" xr:uid="{00000000-0005-0000-0000-00005A9C0000}"/>
    <cellStyle name="Note 18 5" xfId="40021" xr:uid="{00000000-0005-0000-0000-00005B9C0000}"/>
    <cellStyle name="Note 18 5 2" xfId="40022" xr:uid="{00000000-0005-0000-0000-00005C9C0000}"/>
    <cellStyle name="Note 18 5 2 2" xfId="40023" xr:uid="{00000000-0005-0000-0000-00005D9C0000}"/>
    <cellStyle name="Note 18 5 3" xfId="40024" xr:uid="{00000000-0005-0000-0000-00005E9C0000}"/>
    <cellStyle name="Note 18 5 4" xfId="40025" xr:uid="{00000000-0005-0000-0000-00005F9C0000}"/>
    <cellStyle name="Note 18 5 5" xfId="40026" xr:uid="{00000000-0005-0000-0000-0000609C0000}"/>
    <cellStyle name="Note 18 6" xfId="40027" xr:uid="{00000000-0005-0000-0000-0000619C0000}"/>
    <cellStyle name="Note 18 6 2" xfId="40028" xr:uid="{00000000-0005-0000-0000-0000629C0000}"/>
    <cellStyle name="Note 18 7" xfId="40029" xr:uid="{00000000-0005-0000-0000-0000639C0000}"/>
    <cellStyle name="Note 18 8" xfId="40030" xr:uid="{00000000-0005-0000-0000-0000649C0000}"/>
    <cellStyle name="Note 18 9" xfId="40031" xr:uid="{00000000-0005-0000-0000-0000659C0000}"/>
    <cellStyle name="Note 19" xfId="40032" xr:uid="{00000000-0005-0000-0000-0000669C0000}"/>
    <cellStyle name="Note 19 10" xfId="40033" xr:uid="{00000000-0005-0000-0000-0000679C0000}"/>
    <cellStyle name="Note 19 2" xfId="40034" xr:uid="{00000000-0005-0000-0000-0000689C0000}"/>
    <cellStyle name="Note 19 2 2" xfId="40035" xr:uid="{00000000-0005-0000-0000-0000699C0000}"/>
    <cellStyle name="Note 19 2 2 2" xfId="40036" xr:uid="{00000000-0005-0000-0000-00006A9C0000}"/>
    <cellStyle name="Note 19 2 2 2 2" xfId="40037" xr:uid="{00000000-0005-0000-0000-00006B9C0000}"/>
    <cellStyle name="Note 19 2 2 2 3" xfId="40038" xr:uid="{00000000-0005-0000-0000-00006C9C0000}"/>
    <cellStyle name="Note 19 2 2 3" xfId="40039" xr:uid="{00000000-0005-0000-0000-00006D9C0000}"/>
    <cellStyle name="Note 19 2 2 4" xfId="40040" xr:uid="{00000000-0005-0000-0000-00006E9C0000}"/>
    <cellStyle name="Note 19 2 2 5" xfId="40041" xr:uid="{00000000-0005-0000-0000-00006F9C0000}"/>
    <cellStyle name="Note 19 2 2 6" xfId="40042" xr:uid="{00000000-0005-0000-0000-0000709C0000}"/>
    <cellStyle name="Note 19 2 3" xfId="40043" xr:uid="{00000000-0005-0000-0000-0000719C0000}"/>
    <cellStyle name="Note 19 2 3 2" xfId="40044" xr:uid="{00000000-0005-0000-0000-0000729C0000}"/>
    <cellStyle name="Note 19 2 3 2 2" xfId="40045" xr:uid="{00000000-0005-0000-0000-0000739C0000}"/>
    <cellStyle name="Note 19 2 3 3" xfId="40046" xr:uid="{00000000-0005-0000-0000-0000749C0000}"/>
    <cellStyle name="Note 19 2 3 4" xfId="40047" xr:uid="{00000000-0005-0000-0000-0000759C0000}"/>
    <cellStyle name="Note 19 2 3 5" xfId="40048" xr:uid="{00000000-0005-0000-0000-0000769C0000}"/>
    <cellStyle name="Note 19 2 4" xfId="40049" xr:uid="{00000000-0005-0000-0000-0000779C0000}"/>
    <cellStyle name="Note 19 2 4 2" xfId="40050" xr:uid="{00000000-0005-0000-0000-0000789C0000}"/>
    <cellStyle name="Note 19 2 4 3" xfId="40051" xr:uid="{00000000-0005-0000-0000-0000799C0000}"/>
    <cellStyle name="Note 19 2 4 4" xfId="40052" xr:uid="{00000000-0005-0000-0000-00007A9C0000}"/>
    <cellStyle name="Note 19 2 5" xfId="40053" xr:uid="{00000000-0005-0000-0000-00007B9C0000}"/>
    <cellStyle name="Note 19 2 5 2" xfId="40054" xr:uid="{00000000-0005-0000-0000-00007C9C0000}"/>
    <cellStyle name="Note 19 2 6" xfId="40055" xr:uid="{00000000-0005-0000-0000-00007D9C0000}"/>
    <cellStyle name="Note 19 2 7" xfId="40056" xr:uid="{00000000-0005-0000-0000-00007E9C0000}"/>
    <cellStyle name="Note 19 2 8" xfId="40057" xr:uid="{00000000-0005-0000-0000-00007F9C0000}"/>
    <cellStyle name="Note 19 2 9" xfId="40058" xr:uid="{00000000-0005-0000-0000-0000809C0000}"/>
    <cellStyle name="Note 19 3" xfId="40059" xr:uid="{00000000-0005-0000-0000-0000819C0000}"/>
    <cellStyle name="Note 19 3 2" xfId="40060" xr:uid="{00000000-0005-0000-0000-0000829C0000}"/>
    <cellStyle name="Note 19 3 2 2" xfId="40061" xr:uid="{00000000-0005-0000-0000-0000839C0000}"/>
    <cellStyle name="Note 19 3 2 3" xfId="40062" xr:uid="{00000000-0005-0000-0000-0000849C0000}"/>
    <cellStyle name="Note 19 3 3" xfId="40063" xr:uid="{00000000-0005-0000-0000-0000859C0000}"/>
    <cellStyle name="Note 19 3 4" xfId="40064" xr:uid="{00000000-0005-0000-0000-0000869C0000}"/>
    <cellStyle name="Note 19 3 5" xfId="40065" xr:uid="{00000000-0005-0000-0000-0000879C0000}"/>
    <cellStyle name="Note 19 3 6" xfId="40066" xr:uid="{00000000-0005-0000-0000-0000889C0000}"/>
    <cellStyle name="Note 19 4" xfId="40067" xr:uid="{00000000-0005-0000-0000-0000899C0000}"/>
    <cellStyle name="Note 19 4 2" xfId="40068" xr:uid="{00000000-0005-0000-0000-00008A9C0000}"/>
    <cellStyle name="Note 19 4 2 2" xfId="40069" xr:uid="{00000000-0005-0000-0000-00008B9C0000}"/>
    <cellStyle name="Note 19 4 3" xfId="40070" xr:uid="{00000000-0005-0000-0000-00008C9C0000}"/>
    <cellStyle name="Note 19 4 4" xfId="40071" xr:uid="{00000000-0005-0000-0000-00008D9C0000}"/>
    <cellStyle name="Note 19 4 5" xfId="40072" xr:uid="{00000000-0005-0000-0000-00008E9C0000}"/>
    <cellStyle name="Note 19 5" xfId="40073" xr:uid="{00000000-0005-0000-0000-00008F9C0000}"/>
    <cellStyle name="Note 19 5 2" xfId="40074" xr:uid="{00000000-0005-0000-0000-0000909C0000}"/>
    <cellStyle name="Note 19 5 2 2" xfId="40075" xr:uid="{00000000-0005-0000-0000-0000919C0000}"/>
    <cellStyle name="Note 19 5 3" xfId="40076" xr:uid="{00000000-0005-0000-0000-0000929C0000}"/>
    <cellStyle name="Note 19 5 4" xfId="40077" xr:uid="{00000000-0005-0000-0000-0000939C0000}"/>
    <cellStyle name="Note 19 5 5" xfId="40078" xr:uid="{00000000-0005-0000-0000-0000949C0000}"/>
    <cellStyle name="Note 19 6" xfId="40079" xr:uid="{00000000-0005-0000-0000-0000959C0000}"/>
    <cellStyle name="Note 19 6 2" xfId="40080" xr:uid="{00000000-0005-0000-0000-0000969C0000}"/>
    <cellStyle name="Note 19 7" xfId="40081" xr:uid="{00000000-0005-0000-0000-0000979C0000}"/>
    <cellStyle name="Note 19 8" xfId="40082" xr:uid="{00000000-0005-0000-0000-0000989C0000}"/>
    <cellStyle name="Note 19 9" xfId="40083" xr:uid="{00000000-0005-0000-0000-0000999C0000}"/>
    <cellStyle name="Note 2" xfId="40084" xr:uid="{00000000-0005-0000-0000-00009A9C0000}"/>
    <cellStyle name="Note 2 10" xfId="40085" xr:uid="{00000000-0005-0000-0000-00009B9C0000}"/>
    <cellStyle name="Note 2 10 2" xfId="40086" xr:uid="{00000000-0005-0000-0000-00009C9C0000}"/>
    <cellStyle name="Note 2 10 2 2" xfId="40087" xr:uid="{00000000-0005-0000-0000-00009D9C0000}"/>
    <cellStyle name="Note 2 10 2 2 2" xfId="40088" xr:uid="{00000000-0005-0000-0000-00009E9C0000}"/>
    <cellStyle name="Note 2 10 2 2 3" xfId="40089" xr:uid="{00000000-0005-0000-0000-00009F9C0000}"/>
    <cellStyle name="Note 2 10 2 3" xfId="40090" xr:uid="{00000000-0005-0000-0000-0000A09C0000}"/>
    <cellStyle name="Note 2 10 2 4" xfId="40091" xr:uid="{00000000-0005-0000-0000-0000A19C0000}"/>
    <cellStyle name="Note 2 10 2 5" xfId="40092" xr:uid="{00000000-0005-0000-0000-0000A29C0000}"/>
    <cellStyle name="Note 2 10 2 6" xfId="40093" xr:uid="{00000000-0005-0000-0000-0000A39C0000}"/>
    <cellStyle name="Note 2 10 3" xfId="40094" xr:uid="{00000000-0005-0000-0000-0000A49C0000}"/>
    <cellStyle name="Note 2 10 3 2" xfId="40095" xr:uid="{00000000-0005-0000-0000-0000A59C0000}"/>
    <cellStyle name="Note 2 10 3 2 2" xfId="40096" xr:uid="{00000000-0005-0000-0000-0000A69C0000}"/>
    <cellStyle name="Note 2 10 3 3" xfId="40097" xr:uid="{00000000-0005-0000-0000-0000A79C0000}"/>
    <cellStyle name="Note 2 10 3 4" xfId="40098" xr:uid="{00000000-0005-0000-0000-0000A89C0000}"/>
    <cellStyle name="Note 2 10 3 5" xfId="40099" xr:uid="{00000000-0005-0000-0000-0000A99C0000}"/>
    <cellStyle name="Note 2 10 4" xfId="40100" xr:uid="{00000000-0005-0000-0000-0000AA9C0000}"/>
    <cellStyle name="Note 2 10 4 2" xfId="40101" xr:uid="{00000000-0005-0000-0000-0000AB9C0000}"/>
    <cellStyle name="Note 2 10 4 3" xfId="40102" xr:uid="{00000000-0005-0000-0000-0000AC9C0000}"/>
    <cellStyle name="Note 2 10 4 4" xfId="40103" xr:uid="{00000000-0005-0000-0000-0000AD9C0000}"/>
    <cellStyle name="Note 2 10 5" xfId="40104" xr:uid="{00000000-0005-0000-0000-0000AE9C0000}"/>
    <cellStyle name="Note 2 10 5 2" xfId="40105" xr:uid="{00000000-0005-0000-0000-0000AF9C0000}"/>
    <cellStyle name="Note 2 10 6" xfId="40106" xr:uid="{00000000-0005-0000-0000-0000B09C0000}"/>
    <cellStyle name="Note 2 10 7" xfId="40107" xr:uid="{00000000-0005-0000-0000-0000B19C0000}"/>
    <cellStyle name="Note 2 10 8" xfId="40108" xr:uid="{00000000-0005-0000-0000-0000B29C0000}"/>
    <cellStyle name="Note 2 10 9" xfId="40109" xr:uid="{00000000-0005-0000-0000-0000B39C0000}"/>
    <cellStyle name="Note 2 11" xfId="40110" xr:uid="{00000000-0005-0000-0000-0000B49C0000}"/>
    <cellStyle name="Note 2 11 2" xfId="40111" xr:uid="{00000000-0005-0000-0000-0000B59C0000}"/>
    <cellStyle name="Note 2 11 2 2" xfId="40112" xr:uid="{00000000-0005-0000-0000-0000B69C0000}"/>
    <cellStyle name="Note 2 11 2 2 2" xfId="40113" xr:uid="{00000000-0005-0000-0000-0000B79C0000}"/>
    <cellStyle name="Note 2 11 2 3" xfId="40114" xr:uid="{00000000-0005-0000-0000-0000B89C0000}"/>
    <cellStyle name="Note 2 11 2 4" xfId="40115" xr:uid="{00000000-0005-0000-0000-0000B99C0000}"/>
    <cellStyle name="Note 2 11 2 5" xfId="40116" xr:uid="{00000000-0005-0000-0000-0000BA9C0000}"/>
    <cellStyle name="Note 2 11 3" xfId="40117" xr:uid="{00000000-0005-0000-0000-0000BB9C0000}"/>
    <cellStyle name="Note 2 11 3 2" xfId="40118" xr:uid="{00000000-0005-0000-0000-0000BC9C0000}"/>
    <cellStyle name="Note 2 11 3 3" xfId="40119" xr:uid="{00000000-0005-0000-0000-0000BD9C0000}"/>
    <cellStyle name="Note 2 11 3 4" xfId="40120" xr:uid="{00000000-0005-0000-0000-0000BE9C0000}"/>
    <cellStyle name="Note 2 11 4" xfId="40121" xr:uid="{00000000-0005-0000-0000-0000BF9C0000}"/>
    <cellStyle name="Note 2 11 4 2" xfId="40122" xr:uid="{00000000-0005-0000-0000-0000C09C0000}"/>
    <cellStyle name="Note 2 11 5" xfId="40123" xr:uid="{00000000-0005-0000-0000-0000C19C0000}"/>
    <cellStyle name="Note 2 11 6" xfId="40124" xr:uid="{00000000-0005-0000-0000-0000C29C0000}"/>
    <cellStyle name="Note 2 11 7" xfId="40125" xr:uid="{00000000-0005-0000-0000-0000C39C0000}"/>
    <cellStyle name="Note 2 11 8" xfId="40126" xr:uid="{00000000-0005-0000-0000-0000C49C0000}"/>
    <cellStyle name="Note 2 12" xfId="40127" xr:uid="{00000000-0005-0000-0000-0000C59C0000}"/>
    <cellStyle name="Note 2 12 2" xfId="40128" xr:uid="{00000000-0005-0000-0000-0000C69C0000}"/>
    <cellStyle name="Note 2 12 2 2" xfId="40129" xr:uid="{00000000-0005-0000-0000-0000C79C0000}"/>
    <cellStyle name="Note 2 12 2 3" xfId="40130" xr:uid="{00000000-0005-0000-0000-0000C89C0000}"/>
    <cellStyle name="Note 2 12 3" xfId="40131" xr:uid="{00000000-0005-0000-0000-0000C99C0000}"/>
    <cellStyle name="Note 2 12 4" xfId="40132" xr:uid="{00000000-0005-0000-0000-0000CA9C0000}"/>
    <cellStyle name="Note 2 12 5" xfId="40133" xr:uid="{00000000-0005-0000-0000-0000CB9C0000}"/>
    <cellStyle name="Note 2 12 6" xfId="40134" xr:uid="{00000000-0005-0000-0000-0000CC9C0000}"/>
    <cellStyle name="Note 2 13" xfId="40135" xr:uid="{00000000-0005-0000-0000-0000CD9C0000}"/>
    <cellStyle name="Note 2 13 2" xfId="40136" xr:uid="{00000000-0005-0000-0000-0000CE9C0000}"/>
    <cellStyle name="Note 2 13 2 2" xfId="40137" xr:uid="{00000000-0005-0000-0000-0000CF9C0000}"/>
    <cellStyle name="Note 2 13 3" xfId="40138" xr:uid="{00000000-0005-0000-0000-0000D09C0000}"/>
    <cellStyle name="Note 2 13 4" xfId="40139" xr:uid="{00000000-0005-0000-0000-0000D19C0000}"/>
    <cellStyle name="Note 2 13 5" xfId="40140" xr:uid="{00000000-0005-0000-0000-0000D29C0000}"/>
    <cellStyle name="Note 2 14" xfId="40141" xr:uid="{00000000-0005-0000-0000-0000D39C0000}"/>
    <cellStyle name="Note 2 14 2" xfId="40142" xr:uid="{00000000-0005-0000-0000-0000D49C0000}"/>
    <cellStyle name="Note 2 14 2 2" xfId="40143" xr:uid="{00000000-0005-0000-0000-0000D59C0000}"/>
    <cellStyle name="Note 2 14 3" xfId="40144" xr:uid="{00000000-0005-0000-0000-0000D69C0000}"/>
    <cellStyle name="Note 2 14 4" xfId="40145" xr:uid="{00000000-0005-0000-0000-0000D79C0000}"/>
    <cellStyle name="Note 2 14 5" xfId="40146" xr:uid="{00000000-0005-0000-0000-0000D89C0000}"/>
    <cellStyle name="Note 2 15" xfId="40147" xr:uid="{00000000-0005-0000-0000-0000D99C0000}"/>
    <cellStyle name="Note 2 15 2" xfId="40148" xr:uid="{00000000-0005-0000-0000-0000DA9C0000}"/>
    <cellStyle name="Note 2 16" xfId="40149" xr:uid="{00000000-0005-0000-0000-0000DB9C0000}"/>
    <cellStyle name="Note 2 17" xfId="40150" xr:uid="{00000000-0005-0000-0000-0000DC9C0000}"/>
    <cellStyle name="Note 2 18" xfId="40151" xr:uid="{00000000-0005-0000-0000-0000DD9C0000}"/>
    <cellStyle name="Note 2 19" xfId="40152" xr:uid="{00000000-0005-0000-0000-0000DE9C0000}"/>
    <cellStyle name="Note 2 2" xfId="40153" xr:uid="{00000000-0005-0000-0000-0000DF9C0000}"/>
    <cellStyle name="Note 2 2 10" xfId="40154" xr:uid="{00000000-0005-0000-0000-0000E09C0000}"/>
    <cellStyle name="Note 2 2 2" xfId="40155" xr:uid="{00000000-0005-0000-0000-0000E19C0000}"/>
    <cellStyle name="Note 2 2 2 2" xfId="40156" xr:uid="{00000000-0005-0000-0000-0000E29C0000}"/>
    <cellStyle name="Note 2 2 2 2 2" xfId="40157" xr:uid="{00000000-0005-0000-0000-0000E39C0000}"/>
    <cellStyle name="Note 2 2 2 2 2 2" xfId="40158" xr:uid="{00000000-0005-0000-0000-0000E49C0000}"/>
    <cellStyle name="Note 2 2 2 2 2 3" xfId="40159" xr:uid="{00000000-0005-0000-0000-0000E59C0000}"/>
    <cellStyle name="Note 2 2 2 2 3" xfId="40160" xr:uid="{00000000-0005-0000-0000-0000E69C0000}"/>
    <cellStyle name="Note 2 2 2 2 4" xfId="40161" xr:uid="{00000000-0005-0000-0000-0000E79C0000}"/>
    <cellStyle name="Note 2 2 2 2 5" xfId="40162" xr:uid="{00000000-0005-0000-0000-0000E89C0000}"/>
    <cellStyle name="Note 2 2 2 2 6" xfId="40163" xr:uid="{00000000-0005-0000-0000-0000E99C0000}"/>
    <cellStyle name="Note 2 2 2 3" xfId="40164" xr:uid="{00000000-0005-0000-0000-0000EA9C0000}"/>
    <cellStyle name="Note 2 2 2 3 2" xfId="40165" xr:uid="{00000000-0005-0000-0000-0000EB9C0000}"/>
    <cellStyle name="Note 2 2 2 3 2 2" xfId="40166" xr:uid="{00000000-0005-0000-0000-0000EC9C0000}"/>
    <cellStyle name="Note 2 2 2 3 3" xfId="40167" xr:uid="{00000000-0005-0000-0000-0000ED9C0000}"/>
    <cellStyle name="Note 2 2 2 3 4" xfId="40168" xr:uid="{00000000-0005-0000-0000-0000EE9C0000}"/>
    <cellStyle name="Note 2 2 2 3 5" xfId="40169" xr:uid="{00000000-0005-0000-0000-0000EF9C0000}"/>
    <cellStyle name="Note 2 2 2 4" xfId="40170" xr:uid="{00000000-0005-0000-0000-0000F09C0000}"/>
    <cellStyle name="Note 2 2 2 4 2" xfId="40171" xr:uid="{00000000-0005-0000-0000-0000F19C0000}"/>
    <cellStyle name="Note 2 2 2 4 3" xfId="40172" xr:uid="{00000000-0005-0000-0000-0000F29C0000}"/>
    <cellStyle name="Note 2 2 2 4 4" xfId="40173" xr:uid="{00000000-0005-0000-0000-0000F39C0000}"/>
    <cellStyle name="Note 2 2 2 5" xfId="40174" xr:uid="{00000000-0005-0000-0000-0000F49C0000}"/>
    <cellStyle name="Note 2 2 2 5 2" xfId="40175" xr:uid="{00000000-0005-0000-0000-0000F59C0000}"/>
    <cellStyle name="Note 2 2 2 6" xfId="40176" xr:uid="{00000000-0005-0000-0000-0000F69C0000}"/>
    <cellStyle name="Note 2 2 2 7" xfId="40177" xr:uid="{00000000-0005-0000-0000-0000F79C0000}"/>
    <cellStyle name="Note 2 2 2 8" xfId="40178" xr:uid="{00000000-0005-0000-0000-0000F89C0000}"/>
    <cellStyle name="Note 2 2 2 9" xfId="40179" xr:uid="{00000000-0005-0000-0000-0000F99C0000}"/>
    <cellStyle name="Note 2 2 3" xfId="40180" xr:uid="{00000000-0005-0000-0000-0000FA9C0000}"/>
    <cellStyle name="Note 2 2 3 2" xfId="40181" xr:uid="{00000000-0005-0000-0000-0000FB9C0000}"/>
    <cellStyle name="Note 2 2 3 2 2" xfId="40182" xr:uid="{00000000-0005-0000-0000-0000FC9C0000}"/>
    <cellStyle name="Note 2 2 3 2 3" xfId="40183" xr:uid="{00000000-0005-0000-0000-0000FD9C0000}"/>
    <cellStyle name="Note 2 2 3 3" xfId="40184" xr:uid="{00000000-0005-0000-0000-0000FE9C0000}"/>
    <cellStyle name="Note 2 2 3 4" xfId="40185" xr:uid="{00000000-0005-0000-0000-0000FF9C0000}"/>
    <cellStyle name="Note 2 2 3 5" xfId="40186" xr:uid="{00000000-0005-0000-0000-0000009D0000}"/>
    <cellStyle name="Note 2 2 3 6" xfId="40187" xr:uid="{00000000-0005-0000-0000-0000019D0000}"/>
    <cellStyle name="Note 2 2 4" xfId="40188" xr:uid="{00000000-0005-0000-0000-0000029D0000}"/>
    <cellStyle name="Note 2 2 4 2" xfId="40189" xr:uid="{00000000-0005-0000-0000-0000039D0000}"/>
    <cellStyle name="Note 2 2 4 2 2" xfId="40190" xr:uid="{00000000-0005-0000-0000-0000049D0000}"/>
    <cellStyle name="Note 2 2 4 3" xfId="40191" xr:uid="{00000000-0005-0000-0000-0000059D0000}"/>
    <cellStyle name="Note 2 2 4 4" xfId="40192" xr:uid="{00000000-0005-0000-0000-0000069D0000}"/>
    <cellStyle name="Note 2 2 4 5" xfId="40193" xr:uid="{00000000-0005-0000-0000-0000079D0000}"/>
    <cellStyle name="Note 2 2 5" xfId="40194" xr:uid="{00000000-0005-0000-0000-0000089D0000}"/>
    <cellStyle name="Note 2 2 5 2" xfId="40195" xr:uid="{00000000-0005-0000-0000-0000099D0000}"/>
    <cellStyle name="Note 2 2 5 2 2" xfId="40196" xr:uid="{00000000-0005-0000-0000-00000A9D0000}"/>
    <cellStyle name="Note 2 2 5 3" xfId="40197" xr:uid="{00000000-0005-0000-0000-00000B9D0000}"/>
    <cellStyle name="Note 2 2 5 4" xfId="40198" xr:uid="{00000000-0005-0000-0000-00000C9D0000}"/>
    <cellStyle name="Note 2 2 5 5" xfId="40199" xr:uid="{00000000-0005-0000-0000-00000D9D0000}"/>
    <cellStyle name="Note 2 2 6" xfId="40200" xr:uid="{00000000-0005-0000-0000-00000E9D0000}"/>
    <cellStyle name="Note 2 2 6 2" xfId="40201" xr:uid="{00000000-0005-0000-0000-00000F9D0000}"/>
    <cellStyle name="Note 2 2 7" xfId="40202" xr:uid="{00000000-0005-0000-0000-0000109D0000}"/>
    <cellStyle name="Note 2 2 8" xfId="40203" xr:uid="{00000000-0005-0000-0000-0000119D0000}"/>
    <cellStyle name="Note 2 2 9" xfId="40204" xr:uid="{00000000-0005-0000-0000-0000129D0000}"/>
    <cellStyle name="Note 2 3" xfId="40205" xr:uid="{00000000-0005-0000-0000-0000139D0000}"/>
    <cellStyle name="Note 2 3 10" xfId="40206" xr:uid="{00000000-0005-0000-0000-0000149D0000}"/>
    <cellStyle name="Note 2 3 2" xfId="40207" xr:uid="{00000000-0005-0000-0000-0000159D0000}"/>
    <cellStyle name="Note 2 3 2 2" xfId="40208" xr:uid="{00000000-0005-0000-0000-0000169D0000}"/>
    <cellStyle name="Note 2 3 2 2 2" xfId="40209" xr:uid="{00000000-0005-0000-0000-0000179D0000}"/>
    <cellStyle name="Note 2 3 2 2 2 2" xfId="40210" xr:uid="{00000000-0005-0000-0000-0000189D0000}"/>
    <cellStyle name="Note 2 3 2 2 2 3" xfId="40211" xr:uid="{00000000-0005-0000-0000-0000199D0000}"/>
    <cellStyle name="Note 2 3 2 2 3" xfId="40212" xr:uid="{00000000-0005-0000-0000-00001A9D0000}"/>
    <cellStyle name="Note 2 3 2 2 4" xfId="40213" xr:uid="{00000000-0005-0000-0000-00001B9D0000}"/>
    <cellStyle name="Note 2 3 2 2 5" xfId="40214" xr:uid="{00000000-0005-0000-0000-00001C9D0000}"/>
    <cellStyle name="Note 2 3 2 2 6" xfId="40215" xr:uid="{00000000-0005-0000-0000-00001D9D0000}"/>
    <cellStyle name="Note 2 3 2 3" xfId="40216" xr:uid="{00000000-0005-0000-0000-00001E9D0000}"/>
    <cellStyle name="Note 2 3 2 3 2" xfId="40217" xr:uid="{00000000-0005-0000-0000-00001F9D0000}"/>
    <cellStyle name="Note 2 3 2 3 2 2" xfId="40218" xr:uid="{00000000-0005-0000-0000-0000209D0000}"/>
    <cellStyle name="Note 2 3 2 3 3" xfId="40219" xr:uid="{00000000-0005-0000-0000-0000219D0000}"/>
    <cellStyle name="Note 2 3 2 3 4" xfId="40220" xr:uid="{00000000-0005-0000-0000-0000229D0000}"/>
    <cellStyle name="Note 2 3 2 3 5" xfId="40221" xr:uid="{00000000-0005-0000-0000-0000239D0000}"/>
    <cellStyle name="Note 2 3 2 4" xfId="40222" xr:uid="{00000000-0005-0000-0000-0000249D0000}"/>
    <cellStyle name="Note 2 3 2 4 2" xfId="40223" xr:uid="{00000000-0005-0000-0000-0000259D0000}"/>
    <cellStyle name="Note 2 3 2 4 3" xfId="40224" xr:uid="{00000000-0005-0000-0000-0000269D0000}"/>
    <cellStyle name="Note 2 3 2 4 4" xfId="40225" xr:uid="{00000000-0005-0000-0000-0000279D0000}"/>
    <cellStyle name="Note 2 3 2 5" xfId="40226" xr:uid="{00000000-0005-0000-0000-0000289D0000}"/>
    <cellStyle name="Note 2 3 2 5 2" xfId="40227" xr:uid="{00000000-0005-0000-0000-0000299D0000}"/>
    <cellStyle name="Note 2 3 2 6" xfId="40228" xr:uid="{00000000-0005-0000-0000-00002A9D0000}"/>
    <cellStyle name="Note 2 3 2 7" xfId="40229" xr:uid="{00000000-0005-0000-0000-00002B9D0000}"/>
    <cellStyle name="Note 2 3 2 8" xfId="40230" xr:uid="{00000000-0005-0000-0000-00002C9D0000}"/>
    <cellStyle name="Note 2 3 2 9" xfId="40231" xr:uid="{00000000-0005-0000-0000-00002D9D0000}"/>
    <cellStyle name="Note 2 3 3" xfId="40232" xr:uid="{00000000-0005-0000-0000-00002E9D0000}"/>
    <cellStyle name="Note 2 3 3 2" xfId="40233" xr:uid="{00000000-0005-0000-0000-00002F9D0000}"/>
    <cellStyle name="Note 2 3 3 2 2" xfId="40234" xr:uid="{00000000-0005-0000-0000-0000309D0000}"/>
    <cellStyle name="Note 2 3 3 2 3" xfId="40235" xr:uid="{00000000-0005-0000-0000-0000319D0000}"/>
    <cellStyle name="Note 2 3 3 3" xfId="40236" xr:uid="{00000000-0005-0000-0000-0000329D0000}"/>
    <cellStyle name="Note 2 3 3 4" xfId="40237" xr:uid="{00000000-0005-0000-0000-0000339D0000}"/>
    <cellStyle name="Note 2 3 3 5" xfId="40238" xr:uid="{00000000-0005-0000-0000-0000349D0000}"/>
    <cellStyle name="Note 2 3 3 6" xfId="40239" xr:uid="{00000000-0005-0000-0000-0000359D0000}"/>
    <cellStyle name="Note 2 3 4" xfId="40240" xr:uid="{00000000-0005-0000-0000-0000369D0000}"/>
    <cellStyle name="Note 2 3 4 2" xfId="40241" xr:uid="{00000000-0005-0000-0000-0000379D0000}"/>
    <cellStyle name="Note 2 3 4 2 2" xfId="40242" xr:uid="{00000000-0005-0000-0000-0000389D0000}"/>
    <cellStyle name="Note 2 3 4 3" xfId="40243" xr:uid="{00000000-0005-0000-0000-0000399D0000}"/>
    <cellStyle name="Note 2 3 4 4" xfId="40244" xr:uid="{00000000-0005-0000-0000-00003A9D0000}"/>
    <cellStyle name="Note 2 3 4 5" xfId="40245" xr:uid="{00000000-0005-0000-0000-00003B9D0000}"/>
    <cellStyle name="Note 2 3 5" xfId="40246" xr:uid="{00000000-0005-0000-0000-00003C9D0000}"/>
    <cellStyle name="Note 2 3 5 2" xfId="40247" xr:uid="{00000000-0005-0000-0000-00003D9D0000}"/>
    <cellStyle name="Note 2 3 5 2 2" xfId="40248" xr:uid="{00000000-0005-0000-0000-00003E9D0000}"/>
    <cellStyle name="Note 2 3 5 3" xfId="40249" xr:uid="{00000000-0005-0000-0000-00003F9D0000}"/>
    <cellStyle name="Note 2 3 5 4" xfId="40250" xr:uid="{00000000-0005-0000-0000-0000409D0000}"/>
    <cellStyle name="Note 2 3 5 5" xfId="40251" xr:uid="{00000000-0005-0000-0000-0000419D0000}"/>
    <cellStyle name="Note 2 3 6" xfId="40252" xr:uid="{00000000-0005-0000-0000-0000429D0000}"/>
    <cellStyle name="Note 2 3 6 2" xfId="40253" xr:uid="{00000000-0005-0000-0000-0000439D0000}"/>
    <cellStyle name="Note 2 3 7" xfId="40254" xr:uid="{00000000-0005-0000-0000-0000449D0000}"/>
    <cellStyle name="Note 2 3 8" xfId="40255" xr:uid="{00000000-0005-0000-0000-0000459D0000}"/>
    <cellStyle name="Note 2 3 9" xfId="40256" xr:uid="{00000000-0005-0000-0000-0000469D0000}"/>
    <cellStyle name="Note 2 4" xfId="40257" xr:uid="{00000000-0005-0000-0000-0000479D0000}"/>
    <cellStyle name="Note 2 4 10" xfId="40258" xr:uid="{00000000-0005-0000-0000-0000489D0000}"/>
    <cellStyle name="Note 2 4 2" xfId="40259" xr:uid="{00000000-0005-0000-0000-0000499D0000}"/>
    <cellStyle name="Note 2 4 2 2" xfId="40260" xr:uid="{00000000-0005-0000-0000-00004A9D0000}"/>
    <cellStyle name="Note 2 4 2 2 2" xfId="40261" xr:uid="{00000000-0005-0000-0000-00004B9D0000}"/>
    <cellStyle name="Note 2 4 2 2 2 2" xfId="40262" xr:uid="{00000000-0005-0000-0000-00004C9D0000}"/>
    <cellStyle name="Note 2 4 2 2 2 3" xfId="40263" xr:uid="{00000000-0005-0000-0000-00004D9D0000}"/>
    <cellStyle name="Note 2 4 2 2 3" xfId="40264" xr:uid="{00000000-0005-0000-0000-00004E9D0000}"/>
    <cellStyle name="Note 2 4 2 2 4" xfId="40265" xr:uid="{00000000-0005-0000-0000-00004F9D0000}"/>
    <cellStyle name="Note 2 4 2 2 5" xfId="40266" xr:uid="{00000000-0005-0000-0000-0000509D0000}"/>
    <cellStyle name="Note 2 4 2 2 6" xfId="40267" xr:uid="{00000000-0005-0000-0000-0000519D0000}"/>
    <cellStyle name="Note 2 4 2 3" xfId="40268" xr:uid="{00000000-0005-0000-0000-0000529D0000}"/>
    <cellStyle name="Note 2 4 2 3 2" xfId="40269" xr:uid="{00000000-0005-0000-0000-0000539D0000}"/>
    <cellStyle name="Note 2 4 2 3 2 2" xfId="40270" xr:uid="{00000000-0005-0000-0000-0000549D0000}"/>
    <cellStyle name="Note 2 4 2 3 3" xfId="40271" xr:uid="{00000000-0005-0000-0000-0000559D0000}"/>
    <cellStyle name="Note 2 4 2 3 4" xfId="40272" xr:uid="{00000000-0005-0000-0000-0000569D0000}"/>
    <cellStyle name="Note 2 4 2 3 5" xfId="40273" xr:uid="{00000000-0005-0000-0000-0000579D0000}"/>
    <cellStyle name="Note 2 4 2 4" xfId="40274" xr:uid="{00000000-0005-0000-0000-0000589D0000}"/>
    <cellStyle name="Note 2 4 2 4 2" xfId="40275" xr:uid="{00000000-0005-0000-0000-0000599D0000}"/>
    <cellStyle name="Note 2 4 2 4 3" xfId="40276" xr:uid="{00000000-0005-0000-0000-00005A9D0000}"/>
    <cellStyle name="Note 2 4 2 4 4" xfId="40277" xr:uid="{00000000-0005-0000-0000-00005B9D0000}"/>
    <cellStyle name="Note 2 4 2 5" xfId="40278" xr:uid="{00000000-0005-0000-0000-00005C9D0000}"/>
    <cellStyle name="Note 2 4 2 5 2" xfId="40279" xr:uid="{00000000-0005-0000-0000-00005D9D0000}"/>
    <cellStyle name="Note 2 4 2 6" xfId="40280" xr:uid="{00000000-0005-0000-0000-00005E9D0000}"/>
    <cellStyle name="Note 2 4 2 7" xfId="40281" xr:uid="{00000000-0005-0000-0000-00005F9D0000}"/>
    <cellStyle name="Note 2 4 2 8" xfId="40282" xr:uid="{00000000-0005-0000-0000-0000609D0000}"/>
    <cellStyle name="Note 2 4 2 9" xfId="40283" xr:uid="{00000000-0005-0000-0000-0000619D0000}"/>
    <cellStyle name="Note 2 4 3" xfId="40284" xr:uid="{00000000-0005-0000-0000-0000629D0000}"/>
    <cellStyle name="Note 2 4 3 2" xfId="40285" xr:uid="{00000000-0005-0000-0000-0000639D0000}"/>
    <cellStyle name="Note 2 4 3 2 2" xfId="40286" xr:uid="{00000000-0005-0000-0000-0000649D0000}"/>
    <cellStyle name="Note 2 4 3 2 3" xfId="40287" xr:uid="{00000000-0005-0000-0000-0000659D0000}"/>
    <cellStyle name="Note 2 4 3 3" xfId="40288" xr:uid="{00000000-0005-0000-0000-0000669D0000}"/>
    <cellStyle name="Note 2 4 3 4" xfId="40289" xr:uid="{00000000-0005-0000-0000-0000679D0000}"/>
    <cellStyle name="Note 2 4 3 5" xfId="40290" xr:uid="{00000000-0005-0000-0000-0000689D0000}"/>
    <cellStyle name="Note 2 4 3 6" xfId="40291" xr:uid="{00000000-0005-0000-0000-0000699D0000}"/>
    <cellStyle name="Note 2 4 4" xfId="40292" xr:uid="{00000000-0005-0000-0000-00006A9D0000}"/>
    <cellStyle name="Note 2 4 4 2" xfId="40293" xr:uid="{00000000-0005-0000-0000-00006B9D0000}"/>
    <cellStyle name="Note 2 4 4 2 2" xfId="40294" xr:uid="{00000000-0005-0000-0000-00006C9D0000}"/>
    <cellStyle name="Note 2 4 4 3" xfId="40295" xr:uid="{00000000-0005-0000-0000-00006D9D0000}"/>
    <cellStyle name="Note 2 4 4 4" xfId="40296" xr:uid="{00000000-0005-0000-0000-00006E9D0000}"/>
    <cellStyle name="Note 2 4 4 5" xfId="40297" xr:uid="{00000000-0005-0000-0000-00006F9D0000}"/>
    <cellStyle name="Note 2 4 5" xfId="40298" xr:uid="{00000000-0005-0000-0000-0000709D0000}"/>
    <cellStyle name="Note 2 4 5 2" xfId="40299" xr:uid="{00000000-0005-0000-0000-0000719D0000}"/>
    <cellStyle name="Note 2 4 5 2 2" xfId="40300" xr:uid="{00000000-0005-0000-0000-0000729D0000}"/>
    <cellStyle name="Note 2 4 5 3" xfId="40301" xr:uid="{00000000-0005-0000-0000-0000739D0000}"/>
    <cellStyle name="Note 2 4 5 4" xfId="40302" xr:uid="{00000000-0005-0000-0000-0000749D0000}"/>
    <cellStyle name="Note 2 4 5 5" xfId="40303" xr:uid="{00000000-0005-0000-0000-0000759D0000}"/>
    <cellStyle name="Note 2 4 6" xfId="40304" xr:uid="{00000000-0005-0000-0000-0000769D0000}"/>
    <cellStyle name="Note 2 4 6 2" xfId="40305" xr:uid="{00000000-0005-0000-0000-0000779D0000}"/>
    <cellStyle name="Note 2 4 7" xfId="40306" xr:uid="{00000000-0005-0000-0000-0000789D0000}"/>
    <cellStyle name="Note 2 4 8" xfId="40307" xr:uid="{00000000-0005-0000-0000-0000799D0000}"/>
    <cellStyle name="Note 2 4 9" xfId="40308" xr:uid="{00000000-0005-0000-0000-00007A9D0000}"/>
    <cellStyle name="Note 2 5" xfId="40309" xr:uid="{00000000-0005-0000-0000-00007B9D0000}"/>
    <cellStyle name="Note 2 5 10" xfId="40310" xr:uid="{00000000-0005-0000-0000-00007C9D0000}"/>
    <cellStyle name="Note 2 5 2" xfId="40311" xr:uid="{00000000-0005-0000-0000-00007D9D0000}"/>
    <cellStyle name="Note 2 5 2 2" xfId="40312" xr:uid="{00000000-0005-0000-0000-00007E9D0000}"/>
    <cellStyle name="Note 2 5 2 2 2" xfId="40313" xr:uid="{00000000-0005-0000-0000-00007F9D0000}"/>
    <cellStyle name="Note 2 5 2 2 2 2" xfId="40314" xr:uid="{00000000-0005-0000-0000-0000809D0000}"/>
    <cellStyle name="Note 2 5 2 2 2 3" xfId="40315" xr:uid="{00000000-0005-0000-0000-0000819D0000}"/>
    <cellStyle name="Note 2 5 2 2 3" xfId="40316" xr:uid="{00000000-0005-0000-0000-0000829D0000}"/>
    <cellStyle name="Note 2 5 2 2 4" xfId="40317" xr:uid="{00000000-0005-0000-0000-0000839D0000}"/>
    <cellStyle name="Note 2 5 2 2 5" xfId="40318" xr:uid="{00000000-0005-0000-0000-0000849D0000}"/>
    <cellStyle name="Note 2 5 2 2 6" xfId="40319" xr:uid="{00000000-0005-0000-0000-0000859D0000}"/>
    <cellStyle name="Note 2 5 2 3" xfId="40320" xr:uid="{00000000-0005-0000-0000-0000869D0000}"/>
    <cellStyle name="Note 2 5 2 3 2" xfId="40321" xr:uid="{00000000-0005-0000-0000-0000879D0000}"/>
    <cellStyle name="Note 2 5 2 3 2 2" xfId="40322" xr:uid="{00000000-0005-0000-0000-0000889D0000}"/>
    <cellStyle name="Note 2 5 2 3 3" xfId="40323" xr:uid="{00000000-0005-0000-0000-0000899D0000}"/>
    <cellStyle name="Note 2 5 2 3 4" xfId="40324" xr:uid="{00000000-0005-0000-0000-00008A9D0000}"/>
    <cellStyle name="Note 2 5 2 3 5" xfId="40325" xr:uid="{00000000-0005-0000-0000-00008B9D0000}"/>
    <cellStyle name="Note 2 5 2 4" xfId="40326" xr:uid="{00000000-0005-0000-0000-00008C9D0000}"/>
    <cellStyle name="Note 2 5 2 4 2" xfId="40327" xr:uid="{00000000-0005-0000-0000-00008D9D0000}"/>
    <cellStyle name="Note 2 5 2 4 3" xfId="40328" xr:uid="{00000000-0005-0000-0000-00008E9D0000}"/>
    <cellStyle name="Note 2 5 2 4 4" xfId="40329" xr:uid="{00000000-0005-0000-0000-00008F9D0000}"/>
    <cellStyle name="Note 2 5 2 5" xfId="40330" xr:uid="{00000000-0005-0000-0000-0000909D0000}"/>
    <cellStyle name="Note 2 5 2 5 2" xfId="40331" xr:uid="{00000000-0005-0000-0000-0000919D0000}"/>
    <cellStyle name="Note 2 5 2 6" xfId="40332" xr:uid="{00000000-0005-0000-0000-0000929D0000}"/>
    <cellStyle name="Note 2 5 2 7" xfId="40333" xr:uid="{00000000-0005-0000-0000-0000939D0000}"/>
    <cellStyle name="Note 2 5 2 8" xfId="40334" xr:uid="{00000000-0005-0000-0000-0000949D0000}"/>
    <cellStyle name="Note 2 5 2 9" xfId="40335" xr:uid="{00000000-0005-0000-0000-0000959D0000}"/>
    <cellStyle name="Note 2 5 3" xfId="40336" xr:uid="{00000000-0005-0000-0000-0000969D0000}"/>
    <cellStyle name="Note 2 5 3 2" xfId="40337" xr:uid="{00000000-0005-0000-0000-0000979D0000}"/>
    <cellStyle name="Note 2 5 3 2 2" xfId="40338" xr:uid="{00000000-0005-0000-0000-0000989D0000}"/>
    <cellStyle name="Note 2 5 3 2 3" xfId="40339" xr:uid="{00000000-0005-0000-0000-0000999D0000}"/>
    <cellStyle name="Note 2 5 3 3" xfId="40340" xr:uid="{00000000-0005-0000-0000-00009A9D0000}"/>
    <cellStyle name="Note 2 5 3 4" xfId="40341" xr:uid="{00000000-0005-0000-0000-00009B9D0000}"/>
    <cellStyle name="Note 2 5 3 5" xfId="40342" xr:uid="{00000000-0005-0000-0000-00009C9D0000}"/>
    <cellStyle name="Note 2 5 3 6" xfId="40343" xr:uid="{00000000-0005-0000-0000-00009D9D0000}"/>
    <cellStyle name="Note 2 5 4" xfId="40344" xr:uid="{00000000-0005-0000-0000-00009E9D0000}"/>
    <cellStyle name="Note 2 5 4 2" xfId="40345" xr:uid="{00000000-0005-0000-0000-00009F9D0000}"/>
    <cellStyle name="Note 2 5 4 2 2" xfId="40346" xr:uid="{00000000-0005-0000-0000-0000A09D0000}"/>
    <cellStyle name="Note 2 5 4 3" xfId="40347" xr:uid="{00000000-0005-0000-0000-0000A19D0000}"/>
    <cellStyle name="Note 2 5 4 4" xfId="40348" xr:uid="{00000000-0005-0000-0000-0000A29D0000}"/>
    <cellStyle name="Note 2 5 4 5" xfId="40349" xr:uid="{00000000-0005-0000-0000-0000A39D0000}"/>
    <cellStyle name="Note 2 5 5" xfId="40350" xr:uid="{00000000-0005-0000-0000-0000A49D0000}"/>
    <cellStyle name="Note 2 5 5 2" xfId="40351" xr:uid="{00000000-0005-0000-0000-0000A59D0000}"/>
    <cellStyle name="Note 2 5 5 2 2" xfId="40352" xr:uid="{00000000-0005-0000-0000-0000A69D0000}"/>
    <cellStyle name="Note 2 5 5 3" xfId="40353" xr:uid="{00000000-0005-0000-0000-0000A79D0000}"/>
    <cellStyle name="Note 2 5 5 4" xfId="40354" xr:uid="{00000000-0005-0000-0000-0000A89D0000}"/>
    <cellStyle name="Note 2 5 5 5" xfId="40355" xr:uid="{00000000-0005-0000-0000-0000A99D0000}"/>
    <cellStyle name="Note 2 5 6" xfId="40356" xr:uid="{00000000-0005-0000-0000-0000AA9D0000}"/>
    <cellStyle name="Note 2 5 6 2" xfId="40357" xr:uid="{00000000-0005-0000-0000-0000AB9D0000}"/>
    <cellStyle name="Note 2 5 7" xfId="40358" xr:uid="{00000000-0005-0000-0000-0000AC9D0000}"/>
    <cellStyle name="Note 2 5 8" xfId="40359" xr:uid="{00000000-0005-0000-0000-0000AD9D0000}"/>
    <cellStyle name="Note 2 5 9" xfId="40360" xr:uid="{00000000-0005-0000-0000-0000AE9D0000}"/>
    <cellStyle name="Note 2 6" xfId="40361" xr:uid="{00000000-0005-0000-0000-0000AF9D0000}"/>
    <cellStyle name="Note 2 6 10" xfId="40362" xr:uid="{00000000-0005-0000-0000-0000B09D0000}"/>
    <cellStyle name="Note 2 6 2" xfId="40363" xr:uid="{00000000-0005-0000-0000-0000B19D0000}"/>
    <cellStyle name="Note 2 6 2 2" xfId="40364" xr:uid="{00000000-0005-0000-0000-0000B29D0000}"/>
    <cellStyle name="Note 2 6 2 2 2" xfId="40365" xr:uid="{00000000-0005-0000-0000-0000B39D0000}"/>
    <cellStyle name="Note 2 6 2 2 2 2" xfId="40366" xr:uid="{00000000-0005-0000-0000-0000B49D0000}"/>
    <cellStyle name="Note 2 6 2 2 2 3" xfId="40367" xr:uid="{00000000-0005-0000-0000-0000B59D0000}"/>
    <cellStyle name="Note 2 6 2 2 3" xfId="40368" xr:uid="{00000000-0005-0000-0000-0000B69D0000}"/>
    <cellStyle name="Note 2 6 2 2 4" xfId="40369" xr:uid="{00000000-0005-0000-0000-0000B79D0000}"/>
    <cellStyle name="Note 2 6 2 2 5" xfId="40370" xr:uid="{00000000-0005-0000-0000-0000B89D0000}"/>
    <cellStyle name="Note 2 6 2 2 6" xfId="40371" xr:uid="{00000000-0005-0000-0000-0000B99D0000}"/>
    <cellStyle name="Note 2 6 2 3" xfId="40372" xr:uid="{00000000-0005-0000-0000-0000BA9D0000}"/>
    <cellStyle name="Note 2 6 2 3 2" xfId="40373" xr:uid="{00000000-0005-0000-0000-0000BB9D0000}"/>
    <cellStyle name="Note 2 6 2 3 2 2" xfId="40374" xr:uid="{00000000-0005-0000-0000-0000BC9D0000}"/>
    <cellStyle name="Note 2 6 2 3 3" xfId="40375" xr:uid="{00000000-0005-0000-0000-0000BD9D0000}"/>
    <cellStyle name="Note 2 6 2 3 4" xfId="40376" xr:uid="{00000000-0005-0000-0000-0000BE9D0000}"/>
    <cellStyle name="Note 2 6 2 3 5" xfId="40377" xr:uid="{00000000-0005-0000-0000-0000BF9D0000}"/>
    <cellStyle name="Note 2 6 2 4" xfId="40378" xr:uid="{00000000-0005-0000-0000-0000C09D0000}"/>
    <cellStyle name="Note 2 6 2 4 2" xfId="40379" xr:uid="{00000000-0005-0000-0000-0000C19D0000}"/>
    <cellStyle name="Note 2 6 2 4 3" xfId="40380" xr:uid="{00000000-0005-0000-0000-0000C29D0000}"/>
    <cellStyle name="Note 2 6 2 4 4" xfId="40381" xr:uid="{00000000-0005-0000-0000-0000C39D0000}"/>
    <cellStyle name="Note 2 6 2 5" xfId="40382" xr:uid="{00000000-0005-0000-0000-0000C49D0000}"/>
    <cellStyle name="Note 2 6 2 5 2" xfId="40383" xr:uid="{00000000-0005-0000-0000-0000C59D0000}"/>
    <cellStyle name="Note 2 6 2 6" xfId="40384" xr:uid="{00000000-0005-0000-0000-0000C69D0000}"/>
    <cellStyle name="Note 2 6 2 7" xfId="40385" xr:uid="{00000000-0005-0000-0000-0000C79D0000}"/>
    <cellStyle name="Note 2 6 2 8" xfId="40386" xr:uid="{00000000-0005-0000-0000-0000C89D0000}"/>
    <cellStyle name="Note 2 6 2 9" xfId="40387" xr:uid="{00000000-0005-0000-0000-0000C99D0000}"/>
    <cellStyle name="Note 2 6 3" xfId="40388" xr:uid="{00000000-0005-0000-0000-0000CA9D0000}"/>
    <cellStyle name="Note 2 6 3 2" xfId="40389" xr:uid="{00000000-0005-0000-0000-0000CB9D0000}"/>
    <cellStyle name="Note 2 6 3 2 2" xfId="40390" xr:uid="{00000000-0005-0000-0000-0000CC9D0000}"/>
    <cellStyle name="Note 2 6 3 2 3" xfId="40391" xr:uid="{00000000-0005-0000-0000-0000CD9D0000}"/>
    <cellStyle name="Note 2 6 3 3" xfId="40392" xr:uid="{00000000-0005-0000-0000-0000CE9D0000}"/>
    <cellStyle name="Note 2 6 3 4" xfId="40393" xr:uid="{00000000-0005-0000-0000-0000CF9D0000}"/>
    <cellStyle name="Note 2 6 3 5" xfId="40394" xr:uid="{00000000-0005-0000-0000-0000D09D0000}"/>
    <cellStyle name="Note 2 6 3 6" xfId="40395" xr:uid="{00000000-0005-0000-0000-0000D19D0000}"/>
    <cellStyle name="Note 2 6 4" xfId="40396" xr:uid="{00000000-0005-0000-0000-0000D29D0000}"/>
    <cellStyle name="Note 2 6 4 2" xfId="40397" xr:uid="{00000000-0005-0000-0000-0000D39D0000}"/>
    <cellStyle name="Note 2 6 4 2 2" xfId="40398" xr:uid="{00000000-0005-0000-0000-0000D49D0000}"/>
    <cellStyle name="Note 2 6 4 3" xfId="40399" xr:uid="{00000000-0005-0000-0000-0000D59D0000}"/>
    <cellStyle name="Note 2 6 4 4" xfId="40400" xr:uid="{00000000-0005-0000-0000-0000D69D0000}"/>
    <cellStyle name="Note 2 6 4 5" xfId="40401" xr:uid="{00000000-0005-0000-0000-0000D79D0000}"/>
    <cellStyle name="Note 2 6 5" xfId="40402" xr:uid="{00000000-0005-0000-0000-0000D89D0000}"/>
    <cellStyle name="Note 2 6 5 2" xfId="40403" xr:uid="{00000000-0005-0000-0000-0000D99D0000}"/>
    <cellStyle name="Note 2 6 5 2 2" xfId="40404" xr:uid="{00000000-0005-0000-0000-0000DA9D0000}"/>
    <cellStyle name="Note 2 6 5 3" xfId="40405" xr:uid="{00000000-0005-0000-0000-0000DB9D0000}"/>
    <cellStyle name="Note 2 6 5 4" xfId="40406" xr:uid="{00000000-0005-0000-0000-0000DC9D0000}"/>
    <cellStyle name="Note 2 6 5 5" xfId="40407" xr:uid="{00000000-0005-0000-0000-0000DD9D0000}"/>
    <cellStyle name="Note 2 6 6" xfId="40408" xr:uid="{00000000-0005-0000-0000-0000DE9D0000}"/>
    <cellStyle name="Note 2 6 6 2" xfId="40409" xr:uid="{00000000-0005-0000-0000-0000DF9D0000}"/>
    <cellStyle name="Note 2 6 7" xfId="40410" xr:uid="{00000000-0005-0000-0000-0000E09D0000}"/>
    <cellStyle name="Note 2 6 8" xfId="40411" xr:uid="{00000000-0005-0000-0000-0000E19D0000}"/>
    <cellStyle name="Note 2 6 9" xfId="40412" xr:uid="{00000000-0005-0000-0000-0000E29D0000}"/>
    <cellStyle name="Note 2 7" xfId="40413" xr:uid="{00000000-0005-0000-0000-0000E39D0000}"/>
    <cellStyle name="Note 2 7 10" xfId="40414" xr:uid="{00000000-0005-0000-0000-0000E49D0000}"/>
    <cellStyle name="Note 2 7 2" xfId="40415" xr:uid="{00000000-0005-0000-0000-0000E59D0000}"/>
    <cellStyle name="Note 2 7 2 2" xfId="40416" xr:uid="{00000000-0005-0000-0000-0000E69D0000}"/>
    <cellStyle name="Note 2 7 2 2 2" xfId="40417" xr:uid="{00000000-0005-0000-0000-0000E79D0000}"/>
    <cellStyle name="Note 2 7 2 2 2 2" xfId="40418" xr:uid="{00000000-0005-0000-0000-0000E89D0000}"/>
    <cellStyle name="Note 2 7 2 2 2 3" xfId="40419" xr:uid="{00000000-0005-0000-0000-0000E99D0000}"/>
    <cellStyle name="Note 2 7 2 2 3" xfId="40420" xr:uid="{00000000-0005-0000-0000-0000EA9D0000}"/>
    <cellStyle name="Note 2 7 2 2 4" xfId="40421" xr:uid="{00000000-0005-0000-0000-0000EB9D0000}"/>
    <cellStyle name="Note 2 7 2 2 5" xfId="40422" xr:uid="{00000000-0005-0000-0000-0000EC9D0000}"/>
    <cellStyle name="Note 2 7 2 2 6" xfId="40423" xr:uid="{00000000-0005-0000-0000-0000ED9D0000}"/>
    <cellStyle name="Note 2 7 2 3" xfId="40424" xr:uid="{00000000-0005-0000-0000-0000EE9D0000}"/>
    <cellStyle name="Note 2 7 2 3 2" xfId="40425" xr:uid="{00000000-0005-0000-0000-0000EF9D0000}"/>
    <cellStyle name="Note 2 7 2 3 2 2" xfId="40426" xr:uid="{00000000-0005-0000-0000-0000F09D0000}"/>
    <cellStyle name="Note 2 7 2 3 3" xfId="40427" xr:uid="{00000000-0005-0000-0000-0000F19D0000}"/>
    <cellStyle name="Note 2 7 2 3 4" xfId="40428" xr:uid="{00000000-0005-0000-0000-0000F29D0000}"/>
    <cellStyle name="Note 2 7 2 3 5" xfId="40429" xr:uid="{00000000-0005-0000-0000-0000F39D0000}"/>
    <cellStyle name="Note 2 7 2 4" xfId="40430" xr:uid="{00000000-0005-0000-0000-0000F49D0000}"/>
    <cellStyle name="Note 2 7 2 4 2" xfId="40431" xr:uid="{00000000-0005-0000-0000-0000F59D0000}"/>
    <cellStyle name="Note 2 7 2 4 3" xfId="40432" xr:uid="{00000000-0005-0000-0000-0000F69D0000}"/>
    <cellStyle name="Note 2 7 2 4 4" xfId="40433" xr:uid="{00000000-0005-0000-0000-0000F79D0000}"/>
    <cellStyle name="Note 2 7 2 5" xfId="40434" xr:uid="{00000000-0005-0000-0000-0000F89D0000}"/>
    <cellStyle name="Note 2 7 2 5 2" xfId="40435" xr:uid="{00000000-0005-0000-0000-0000F99D0000}"/>
    <cellStyle name="Note 2 7 2 6" xfId="40436" xr:uid="{00000000-0005-0000-0000-0000FA9D0000}"/>
    <cellStyle name="Note 2 7 2 7" xfId="40437" xr:uid="{00000000-0005-0000-0000-0000FB9D0000}"/>
    <cellStyle name="Note 2 7 2 8" xfId="40438" xr:uid="{00000000-0005-0000-0000-0000FC9D0000}"/>
    <cellStyle name="Note 2 7 2 9" xfId="40439" xr:uid="{00000000-0005-0000-0000-0000FD9D0000}"/>
    <cellStyle name="Note 2 7 3" xfId="40440" xr:uid="{00000000-0005-0000-0000-0000FE9D0000}"/>
    <cellStyle name="Note 2 7 3 2" xfId="40441" xr:uid="{00000000-0005-0000-0000-0000FF9D0000}"/>
    <cellStyle name="Note 2 7 3 2 2" xfId="40442" xr:uid="{00000000-0005-0000-0000-0000009E0000}"/>
    <cellStyle name="Note 2 7 3 2 3" xfId="40443" xr:uid="{00000000-0005-0000-0000-0000019E0000}"/>
    <cellStyle name="Note 2 7 3 3" xfId="40444" xr:uid="{00000000-0005-0000-0000-0000029E0000}"/>
    <cellStyle name="Note 2 7 3 4" xfId="40445" xr:uid="{00000000-0005-0000-0000-0000039E0000}"/>
    <cellStyle name="Note 2 7 3 5" xfId="40446" xr:uid="{00000000-0005-0000-0000-0000049E0000}"/>
    <cellStyle name="Note 2 7 3 6" xfId="40447" xr:uid="{00000000-0005-0000-0000-0000059E0000}"/>
    <cellStyle name="Note 2 7 4" xfId="40448" xr:uid="{00000000-0005-0000-0000-0000069E0000}"/>
    <cellStyle name="Note 2 7 4 2" xfId="40449" xr:uid="{00000000-0005-0000-0000-0000079E0000}"/>
    <cellStyle name="Note 2 7 4 2 2" xfId="40450" xr:uid="{00000000-0005-0000-0000-0000089E0000}"/>
    <cellStyle name="Note 2 7 4 3" xfId="40451" xr:uid="{00000000-0005-0000-0000-0000099E0000}"/>
    <cellStyle name="Note 2 7 4 4" xfId="40452" xr:uid="{00000000-0005-0000-0000-00000A9E0000}"/>
    <cellStyle name="Note 2 7 4 5" xfId="40453" xr:uid="{00000000-0005-0000-0000-00000B9E0000}"/>
    <cellStyle name="Note 2 7 5" xfId="40454" xr:uid="{00000000-0005-0000-0000-00000C9E0000}"/>
    <cellStyle name="Note 2 7 5 2" xfId="40455" xr:uid="{00000000-0005-0000-0000-00000D9E0000}"/>
    <cellStyle name="Note 2 7 5 2 2" xfId="40456" xr:uid="{00000000-0005-0000-0000-00000E9E0000}"/>
    <cellStyle name="Note 2 7 5 3" xfId="40457" xr:uid="{00000000-0005-0000-0000-00000F9E0000}"/>
    <cellStyle name="Note 2 7 5 4" xfId="40458" xr:uid="{00000000-0005-0000-0000-0000109E0000}"/>
    <cellStyle name="Note 2 7 5 5" xfId="40459" xr:uid="{00000000-0005-0000-0000-0000119E0000}"/>
    <cellStyle name="Note 2 7 6" xfId="40460" xr:uid="{00000000-0005-0000-0000-0000129E0000}"/>
    <cellStyle name="Note 2 7 6 2" xfId="40461" xr:uid="{00000000-0005-0000-0000-0000139E0000}"/>
    <cellStyle name="Note 2 7 7" xfId="40462" xr:uid="{00000000-0005-0000-0000-0000149E0000}"/>
    <cellStyle name="Note 2 7 8" xfId="40463" xr:uid="{00000000-0005-0000-0000-0000159E0000}"/>
    <cellStyle name="Note 2 7 9" xfId="40464" xr:uid="{00000000-0005-0000-0000-0000169E0000}"/>
    <cellStyle name="Note 2 8" xfId="40465" xr:uid="{00000000-0005-0000-0000-0000179E0000}"/>
    <cellStyle name="Note 2 8 10" xfId="40466" xr:uid="{00000000-0005-0000-0000-0000189E0000}"/>
    <cellStyle name="Note 2 8 2" xfId="40467" xr:uid="{00000000-0005-0000-0000-0000199E0000}"/>
    <cellStyle name="Note 2 8 2 2" xfId="40468" xr:uid="{00000000-0005-0000-0000-00001A9E0000}"/>
    <cellStyle name="Note 2 8 2 2 2" xfId="40469" xr:uid="{00000000-0005-0000-0000-00001B9E0000}"/>
    <cellStyle name="Note 2 8 2 2 2 2" xfId="40470" xr:uid="{00000000-0005-0000-0000-00001C9E0000}"/>
    <cellStyle name="Note 2 8 2 2 2 3" xfId="40471" xr:uid="{00000000-0005-0000-0000-00001D9E0000}"/>
    <cellStyle name="Note 2 8 2 2 3" xfId="40472" xr:uid="{00000000-0005-0000-0000-00001E9E0000}"/>
    <cellStyle name="Note 2 8 2 2 4" xfId="40473" xr:uid="{00000000-0005-0000-0000-00001F9E0000}"/>
    <cellStyle name="Note 2 8 2 2 5" xfId="40474" xr:uid="{00000000-0005-0000-0000-0000209E0000}"/>
    <cellStyle name="Note 2 8 2 2 6" xfId="40475" xr:uid="{00000000-0005-0000-0000-0000219E0000}"/>
    <cellStyle name="Note 2 8 2 3" xfId="40476" xr:uid="{00000000-0005-0000-0000-0000229E0000}"/>
    <cellStyle name="Note 2 8 2 3 2" xfId="40477" xr:uid="{00000000-0005-0000-0000-0000239E0000}"/>
    <cellStyle name="Note 2 8 2 3 2 2" xfId="40478" xr:uid="{00000000-0005-0000-0000-0000249E0000}"/>
    <cellStyle name="Note 2 8 2 3 3" xfId="40479" xr:uid="{00000000-0005-0000-0000-0000259E0000}"/>
    <cellStyle name="Note 2 8 2 3 4" xfId="40480" xr:uid="{00000000-0005-0000-0000-0000269E0000}"/>
    <cellStyle name="Note 2 8 2 3 5" xfId="40481" xr:uid="{00000000-0005-0000-0000-0000279E0000}"/>
    <cellStyle name="Note 2 8 2 4" xfId="40482" xr:uid="{00000000-0005-0000-0000-0000289E0000}"/>
    <cellStyle name="Note 2 8 2 4 2" xfId="40483" xr:uid="{00000000-0005-0000-0000-0000299E0000}"/>
    <cellStyle name="Note 2 8 2 4 3" xfId="40484" xr:uid="{00000000-0005-0000-0000-00002A9E0000}"/>
    <cellStyle name="Note 2 8 2 4 4" xfId="40485" xr:uid="{00000000-0005-0000-0000-00002B9E0000}"/>
    <cellStyle name="Note 2 8 2 5" xfId="40486" xr:uid="{00000000-0005-0000-0000-00002C9E0000}"/>
    <cellStyle name="Note 2 8 2 5 2" xfId="40487" xr:uid="{00000000-0005-0000-0000-00002D9E0000}"/>
    <cellStyle name="Note 2 8 2 6" xfId="40488" xr:uid="{00000000-0005-0000-0000-00002E9E0000}"/>
    <cellStyle name="Note 2 8 2 7" xfId="40489" xr:uid="{00000000-0005-0000-0000-00002F9E0000}"/>
    <cellStyle name="Note 2 8 2 8" xfId="40490" xr:uid="{00000000-0005-0000-0000-0000309E0000}"/>
    <cellStyle name="Note 2 8 2 9" xfId="40491" xr:uid="{00000000-0005-0000-0000-0000319E0000}"/>
    <cellStyle name="Note 2 8 3" xfId="40492" xr:uid="{00000000-0005-0000-0000-0000329E0000}"/>
    <cellStyle name="Note 2 8 3 2" xfId="40493" xr:uid="{00000000-0005-0000-0000-0000339E0000}"/>
    <cellStyle name="Note 2 8 3 2 2" xfId="40494" xr:uid="{00000000-0005-0000-0000-0000349E0000}"/>
    <cellStyle name="Note 2 8 3 2 3" xfId="40495" xr:uid="{00000000-0005-0000-0000-0000359E0000}"/>
    <cellStyle name="Note 2 8 3 3" xfId="40496" xr:uid="{00000000-0005-0000-0000-0000369E0000}"/>
    <cellStyle name="Note 2 8 3 4" xfId="40497" xr:uid="{00000000-0005-0000-0000-0000379E0000}"/>
    <cellStyle name="Note 2 8 3 5" xfId="40498" xr:uid="{00000000-0005-0000-0000-0000389E0000}"/>
    <cellStyle name="Note 2 8 3 6" xfId="40499" xr:uid="{00000000-0005-0000-0000-0000399E0000}"/>
    <cellStyle name="Note 2 8 4" xfId="40500" xr:uid="{00000000-0005-0000-0000-00003A9E0000}"/>
    <cellStyle name="Note 2 8 4 2" xfId="40501" xr:uid="{00000000-0005-0000-0000-00003B9E0000}"/>
    <cellStyle name="Note 2 8 4 2 2" xfId="40502" xr:uid="{00000000-0005-0000-0000-00003C9E0000}"/>
    <cellStyle name="Note 2 8 4 3" xfId="40503" xr:uid="{00000000-0005-0000-0000-00003D9E0000}"/>
    <cellStyle name="Note 2 8 4 4" xfId="40504" xr:uid="{00000000-0005-0000-0000-00003E9E0000}"/>
    <cellStyle name="Note 2 8 4 5" xfId="40505" xr:uid="{00000000-0005-0000-0000-00003F9E0000}"/>
    <cellStyle name="Note 2 8 5" xfId="40506" xr:uid="{00000000-0005-0000-0000-0000409E0000}"/>
    <cellStyle name="Note 2 8 5 2" xfId="40507" xr:uid="{00000000-0005-0000-0000-0000419E0000}"/>
    <cellStyle name="Note 2 8 5 2 2" xfId="40508" xr:uid="{00000000-0005-0000-0000-0000429E0000}"/>
    <cellStyle name="Note 2 8 5 3" xfId="40509" xr:uid="{00000000-0005-0000-0000-0000439E0000}"/>
    <cellStyle name="Note 2 8 5 4" xfId="40510" xr:uid="{00000000-0005-0000-0000-0000449E0000}"/>
    <cellStyle name="Note 2 8 5 5" xfId="40511" xr:uid="{00000000-0005-0000-0000-0000459E0000}"/>
    <cellStyle name="Note 2 8 6" xfId="40512" xr:uid="{00000000-0005-0000-0000-0000469E0000}"/>
    <cellStyle name="Note 2 8 6 2" xfId="40513" xr:uid="{00000000-0005-0000-0000-0000479E0000}"/>
    <cellStyle name="Note 2 8 7" xfId="40514" xr:uid="{00000000-0005-0000-0000-0000489E0000}"/>
    <cellStyle name="Note 2 8 8" xfId="40515" xr:uid="{00000000-0005-0000-0000-0000499E0000}"/>
    <cellStyle name="Note 2 8 9" xfId="40516" xr:uid="{00000000-0005-0000-0000-00004A9E0000}"/>
    <cellStyle name="Note 2 9" xfId="40517" xr:uid="{00000000-0005-0000-0000-00004B9E0000}"/>
    <cellStyle name="Note 2 9 10" xfId="40518" xr:uid="{00000000-0005-0000-0000-00004C9E0000}"/>
    <cellStyle name="Note 2 9 2" xfId="40519" xr:uid="{00000000-0005-0000-0000-00004D9E0000}"/>
    <cellStyle name="Note 2 9 2 2" xfId="40520" xr:uid="{00000000-0005-0000-0000-00004E9E0000}"/>
    <cellStyle name="Note 2 9 2 2 2" xfId="40521" xr:uid="{00000000-0005-0000-0000-00004F9E0000}"/>
    <cellStyle name="Note 2 9 2 2 2 2" xfId="40522" xr:uid="{00000000-0005-0000-0000-0000509E0000}"/>
    <cellStyle name="Note 2 9 2 2 2 3" xfId="40523" xr:uid="{00000000-0005-0000-0000-0000519E0000}"/>
    <cellStyle name="Note 2 9 2 2 3" xfId="40524" xr:uid="{00000000-0005-0000-0000-0000529E0000}"/>
    <cellStyle name="Note 2 9 2 2 4" xfId="40525" xr:uid="{00000000-0005-0000-0000-0000539E0000}"/>
    <cellStyle name="Note 2 9 2 2 5" xfId="40526" xr:uid="{00000000-0005-0000-0000-0000549E0000}"/>
    <cellStyle name="Note 2 9 2 2 6" xfId="40527" xr:uid="{00000000-0005-0000-0000-0000559E0000}"/>
    <cellStyle name="Note 2 9 2 3" xfId="40528" xr:uid="{00000000-0005-0000-0000-0000569E0000}"/>
    <cellStyle name="Note 2 9 2 3 2" xfId="40529" xr:uid="{00000000-0005-0000-0000-0000579E0000}"/>
    <cellStyle name="Note 2 9 2 3 2 2" xfId="40530" xr:uid="{00000000-0005-0000-0000-0000589E0000}"/>
    <cellStyle name="Note 2 9 2 3 3" xfId="40531" xr:uid="{00000000-0005-0000-0000-0000599E0000}"/>
    <cellStyle name="Note 2 9 2 3 4" xfId="40532" xr:uid="{00000000-0005-0000-0000-00005A9E0000}"/>
    <cellStyle name="Note 2 9 2 3 5" xfId="40533" xr:uid="{00000000-0005-0000-0000-00005B9E0000}"/>
    <cellStyle name="Note 2 9 2 4" xfId="40534" xr:uid="{00000000-0005-0000-0000-00005C9E0000}"/>
    <cellStyle name="Note 2 9 2 4 2" xfId="40535" xr:uid="{00000000-0005-0000-0000-00005D9E0000}"/>
    <cellStyle name="Note 2 9 2 4 3" xfId="40536" xr:uid="{00000000-0005-0000-0000-00005E9E0000}"/>
    <cellStyle name="Note 2 9 2 4 4" xfId="40537" xr:uid="{00000000-0005-0000-0000-00005F9E0000}"/>
    <cellStyle name="Note 2 9 2 5" xfId="40538" xr:uid="{00000000-0005-0000-0000-0000609E0000}"/>
    <cellStyle name="Note 2 9 2 5 2" xfId="40539" xr:uid="{00000000-0005-0000-0000-0000619E0000}"/>
    <cellStyle name="Note 2 9 2 6" xfId="40540" xr:uid="{00000000-0005-0000-0000-0000629E0000}"/>
    <cellStyle name="Note 2 9 2 7" xfId="40541" xr:uid="{00000000-0005-0000-0000-0000639E0000}"/>
    <cellStyle name="Note 2 9 2 8" xfId="40542" xr:uid="{00000000-0005-0000-0000-0000649E0000}"/>
    <cellStyle name="Note 2 9 2 9" xfId="40543" xr:uid="{00000000-0005-0000-0000-0000659E0000}"/>
    <cellStyle name="Note 2 9 3" xfId="40544" xr:uid="{00000000-0005-0000-0000-0000669E0000}"/>
    <cellStyle name="Note 2 9 3 2" xfId="40545" xr:uid="{00000000-0005-0000-0000-0000679E0000}"/>
    <cellStyle name="Note 2 9 3 2 2" xfId="40546" xr:uid="{00000000-0005-0000-0000-0000689E0000}"/>
    <cellStyle name="Note 2 9 3 2 3" xfId="40547" xr:uid="{00000000-0005-0000-0000-0000699E0000}"/>
    <cellStyle name="Note 2 9 3 3" xfId="40548" xr:uid="{00000000-0005-0000-0000-00006A9E0000}"/>
    <cellStyle name="Note 2 9 3 4" xfId="40549" xr:uid="{00000000-0005-0000-0000-00006B9E0000}"/>
    <cellStyle name="Note 2 9 3 5" xfId="40550" xr:uid="{00000000-0005-0000-0000-00006C9E0000}"/>
    <cellStyle name="Note 2 9 3 6" xfId="40551" xr:uid="{00000000-0005-0000-0000-00006D9E0000}"/>
    <cellStyle name="Note 2 9 4" xfId="40552" xr:uid="{00000000-0005-0000-0000-00006E9E0000}"/>
    <cellStyle name="Note 2 9 4 2" xfId="40553" xr:uid="{00000000-0005-0000-0000-00006F9E0000}"/>
    <cellStyle name="Note 2 9 4 2 2" xfId="40554" xr:uid="{00000000-0005-0000-0000-0000709E0000}"/>
    <cellStyle name="Note 2 9 4 3" xfId="40555" xr:uid="{00000000-0005-0000-0000-0000719E0000}"/>
    <cellStyle name="Note 2 9 4 4" xfId="40556" xr:uid="{00000000-0005-0000-0000-0000729E0000}"/>
    <cellStyle name="Note 2 9 4 5" xfId="40557" xr:uid="{00000000-0005-0000-0000-0000739E0000}"/>
    <cellStyle name="Note 2 9 5" xfId="40558" xr:uid="{00000000-0005-0000-0000-0000749E0000}"/>
    <cellStyle name="Note 2 9 5 2" xfId="40559" xr:uid="{00000000-0005-0000-0000-0000759E0000}"/>
    <cellStyle name="Note 2 9 5 3" xfId="40560" xr:uid="{00000000-0005-0000-0000-0000769E0000}"/>
    <cellStyle name="Note 2 9 5 4" xfId="40561" xr:uid="{00000000-0005-0000-0000-0000779E0000}"/>
    <cellStyle name="Note 2 9 6" xfId="40562" xr:uid="{00000000-0005-0000-0000-0000789E0000}"/>
    <cellStyle name="Note 2 9 6 2" xfId="40563" xr:uid="{00000000-0005-0000-0000-0000799E0000}"/>
    <cellStyle name="Note 2 9 7" xfId="40564" xr:uid="{00000000-0005-0000-0000-00007A9E0000}"/>
    <cellStyle name="Note 2 9 8" xfId="40565" xr:uid="{00000000-0005-0000-0000-00007B9E0000}"/>
    <cellStyle name="Note 2 9 9" xfId="40566" xr:uid="{00000000-0005-0000-0000-00007C9E0000}"/>
    <cellStyle name="Note 20" xfId="40567" xr:uid="{00000000-0005-0000-0000-00007D9E0000}"/>
    <cellStyle name="Note 20 10" xfId="40568" xr:uid="{00000000-0005-0000-0000-00007E9E0000}"/>
    <cellStyle name="Note 20 2" xfId="40569" xr:uid="{00000000-0005-0000-0000-00007F9E0000}"/>
    <cellStyle name="Note 20 2 2" xfId="40570" xr:uid="{00000000-0005-0000-0000-0000809E0000}"/>
    <cellStyle name="Note 20 2 2 2" xfId="40571" xr:uid="{00000000-0005-0000-0000-0000819E0000}"/>
    <cellStyle name="Note 20 2 2 2 2" xfId="40572" xr:uid="{00000000-0005-0000-0000-0000829E0000}"/>
    <cellStyle name="Note 20 2 2 2 3" xfId="40573" xr:uid="{00000000-0005-0000-0000-0000839E0000}"/>
    <cellStyle name="Note 20 2 2 3" xfId="40574" xr:uid="{00000000-0005-0000-0000-0000849E0000}"/>
    <cellStyle name="Note 20 2 2 4" xfId="40575" xr:uid="{00000000-0005-0000-0000-0000859E0000}"/>
    <cellStyle name="Note 20 2 2 5" xfId="40576" xr:uid="{00000000-0005-0000-0000-0000869E0000}"/>
    <cellStyle name="Note 20 2 2 6" xfId="40577" xr:uid="{00000000-0005-0000-0000-0000879E0000}"/>
    <cellStyle name="Note 20 2 3" xfId="40578" xr:uid="{00000000-0005-0000-0000-0000889E0000}"/>
    <cellStyle name="Note 20 2 3 2" xfId="40579" xr:uid="{00000000-0005-0000-0000-0000899E0000}"/>
    <cellStyle name="Note 20 2 3 2 2" xfId="40580" xr:uid="{00000000-0005-0000-0000-00008A9E0000}"/>
    <cellStyle name="Note 20 2 3 3" xfId="40581" xr:uid="{00000000-0005-0000-0000-00008B9E0000}"/>
    <cellStyle name="Note 20 2 3 4" xfId="40582" xr:uid="{00000000-0005-0000-0000-00008C9E0000}"/>
    <cellStyle name="Note 20 2 3 5" xfId="40583" xr:uid="{00000000-0005-0000-0000-00008D9E0000}"/>
    <cellStyle name="Note 20 2 4" xfId="40584" xr:uid="{00000000-0005-0000-0000-00008E9E0000}"/>
    <cellStyle name="Note 20 2 4 2" xfId="40585" xr:uid="{00000000-0005-0000-0000-00008F9E0000}"/>
    <cellStyle name="Note 20 2 4 3" xfId="40586" xr:uid="{00000000-0005-0000-0000-0000909E0000}"/>
    <cellStyle name="Note 20 2 4 4" xfId="40587" xr:uid="{00000000-0005-0000-0000-0000919E0000}"/>
    <cellStyle name="Note 20 2 5" xfId="40588" xr:uid="{00000000-0005-0000-0000-0000929E0000}"/>
    <cellStyle name="Note 20 2 5 2" xfId="40589" xr:uid="{00000000-0005-0000-0000-0000939E0000}"/>
    <cellStyle name="Note 20 2 6" xfId="40590" xr:uid="{00000000-0005-0000-0000-0000949E0000}"/>
    <cellStyle name="Note 20 2 7" xfId="40591" xr:uid="{00000000-0005-0000-0000-0000959E0000}"/>
    <cellStyle name="Note 20 2 8" xfId="40592" xr:uid="{00000000-0005-0000-0000-0000969E0000}"/>
    <cellStyle name="Note 20 2 9" xfId="40593" xr:uid="{00000000-0005-0000-0000-0000979E0000}"/>
    <cellStyle name="Note 20 3" xfId="40594" xr:uid="{00000000-0005-0000-0000-0000989E0000}"/>
    <cellStyle name="Note 20 3 2" xfId="40595" xr:uid="{00000000-0005-0000-0000-0000999E0000}"/>
    <cellStyle name="Note 20 3 2 2" xfId="40596" xr:uid="{00000000-0005-0000-0000-00009A9E0000}"/>
    <cellStyle name="Note 20 3 2 3" xfId="40597" xr:uid="{00000000-0005-0000-0000-00009B9E0000}"/>
    <cellStyle name="Note 20 3 3" xfId="40598" xr:uid="{00000000-0005-0000-0000-00009C9E0000}"/>
    <cellStyle name="Note 20 3 4" xfId="40599" xr:uid="{00000000-0005-0000-0000-00009D9E0000}"/>
    <cellStyle name="Note 20 3 5" xfId="40600" xr:uid="{00000000-0005-0000-0000-00009E9E0000}"/>
    <cellStyle name="Note 20 3 6" xfId="40601" xr:uid="{00000000-0005-0000-0000-00009F9E0000}"/>
    <cellStyle name="Note 20 4" xfId="40602" xr:uid="{00000000-0005-0000-0000-0000A09E0000}"/>
    <cellStyle name="Note 20 4 2" xfId="40603" xr:uid="{00000000-0005-0000-0000-0000A19E0000}"/>
    <cellStyle name="Note 20 4 2 2" xfId="40604" xr:uid="{00000000-0005-0000-0000-0000A29E0000}"/>
    <cellStyle name="Note 20 4 3" xfId="40605" xr:uid="{00000000-0005-0000-0000-0000A39E0000}"/>
    <cellStyle name="Note 20 4 4" xfId="40606" xr:uid="{00000000-0005-0000-0000-0000A49E0000}"/>
    <cellStyle name="Note 20 4 5" xfId="40607" xr:uid="{00000000-0005-0000-0000-0000A59E0000}"/>
    <cellStyle name="Note 20 5" xfId="40608" xr:uid="{00000000-0005-0000-0000-0000A69E0000}"/>
    <cellStyle name="Note 20 5 2" xfId="40609" xr:uid="{00000000-0005-0000-0000-0000A79E0000}"/>
    <cellStyle name="Note 20 5 2 2" xfId="40610" xr:uid="{00000000-0005-0000-0000-0000A89E0000}"/>
    <cellStyle name="Note 20 5 3" xfId="40611" xr:uid="{00000000-0005-0000-0000-0000A99E0000}"/>
    <cellStyle name="Note 20 5 4" xfId="40612" xr:uid="{00000000-0005-0000-0000-0000AA9E0000}"/>
    <cellStyle name="Note 20 5 5" xfId="40613" xr:uid="{00000000-0005-0000-0000-0000AB9E0000}"/>
    <cellStyle name="Note 20 6" xfId="40614" xr:uid="{00000000-0005-0000-0000-0000AC9E0000}"/>
    <cellStyle name="Note 20 6 2" xfId="40615" xr:uid="{00000000-0005-0000-0000-0000AD9E0000}"/>
    <cellStyle name="Note 20 7" xfId="40616" xr:uid="{00000000-0005-0000-0000-0000AE9E0000}"/>
    <cellStyle name="Note 20 8" xfId="40617" xr:uid="{00000000-0005-0000-0000-0000AF9E0000}"/>
    <cellStyle name="Note 20 9" xfId="40618" xr:uid="{00000000-0005-0000-0000-0000B09E0000}"/>
    <cellStyle name="Note 21" xfId="40619" xr:uid="{00000000-0005-0000-0000-0000B19E0000}"/>
    <cellStyle name="Note 22" xfId="40620" xr:uid="{00000000-0005-0000-0000-0000B29E0000}"/>
    <cellStyle name="Note 23" xfId="40621" xr:uid="{00000000-0005-0000-0000-0000B39E0000}"/>
    <cellStyle name="Note 24" xfId="40622" xr:uid="{00000000-0005-0000-0000-0000B49E0000}"/>
    <cellStyle name="Note 24 10" xfId="40623" xr:uid="{00000000-0005-0000-0000-0000B59E0000}"/>
    <cellStyle name="Note 24 2" xfId="40624" xr:uid="{00000000-0005-0000-0000-0000B69E0000}"/>
    <cellStyle name="Note 24 2 2" xfId="40625" xr:uid="{00000000-0005-0000-0000-0000B79E0000}"/>
    <cellStyle name="Note 24 2 2 2" xfId="40626" xr:uid="{00000000-0005-0000-0000-0000B89E0000}"/>
    <cellStyle name="Note 24 2 2 2 2" xfId="40627" xr:uid="{00000000-0005-0000-0000-0000B99E0000}"/>
    <cellStyle name="Note 24 2 2 2 3" xfId="40628" xr:uid="{00000000-0005-0000-0000-0000BA9E0000}"/>
    <cellStyle name="Note 24 2 2 3" xfId="40629" xr:uid="{00000000-0005-0000-0000-0000BB9E0000}"/>
    <cellStyle name="Note 24 2 2 4" xfId="40630" xr:uid="{00000000-0005-0000-0000-0000BC9E0000}"/>
    <cellStyle name="Note 24 2 2 5" xfId="40631" xr:uid="{00000000-0005-0000-0000-0000BD9E0000}"/>
    <cellStyle name="Note 24 2 2 6" xfId="40632" xr:uid="{00000000-0005-0000-0000-0000BE9E0000}"/>
    <cellStyle name="Note 24 2 3" xfId="40633" xr:uid="{00000000-0005-0000-0000-0000BF9E0000}"/>
    <cellStyle name="Note 24 2 3 2" xfId="40634" xr:uid="{00000000-0005-0000-0000-0000C09E0000}"/>
    <cellStyle name="Note 24 2 3 2 2" xfId="40635" xr:uid="{00000000-0005-0000-0000-0000C19E0000}"/>
    <cellStyle name="Note 24 2 3 3" xfId="40636" xr:uid="{00000000-0005-0000-0000-0000C29E0000}"/>
    <cellStyle name="Note 24 2 3 4" xfId="40637" xr:uid="{00000000-0005-0000-0000-0000C39E0000}"/>
    <cellStyle name="Note 24 2 3 5" xfId="40638" xr:uid="{00000000-0005-0000-0000-0000C49E0000}"/>
    <cellStyle name="Note 24 2 4" xfId="40639" xr:uid="{00000000-0005-0000-0000-0000C59E0000}"/>
    <cellStyle name="Note 24 2 4 2" xfId="40640" xr:uid="{00000000-0005-0000-0000-0000C69E0000}"/>
    <cellStyle name="Note 24 2 4 3" xfId="40641" xr:uid="{00000000-0005-0000-0000-0000C79E0000}"/>
    <cellStyle name="Note 24 2 4 4" xfId="40642" xr:uid="{00000000-0005-0000-0000-0000C89E0000}"/>
    <cellStyle name="Note 24 2 5" xfId="40643" xr:uid="{00000000-0005-0000-0000-0000C99E0000}"/>
    <cellStyle name="Note 24 2 5 2" xfId="40644" xr:uid="{00000000-0005-0000-0000-0000CA9E0000}"/>
    <cellStyle name="Note 24 2 6" xfId="40645" xr:uid="{00000000-0005-0000-0000-0000CB9E0000}"/>
    <cellStyle name="Note 24 2 7" xfId="40646" xr:uid="{00000000-0005-0000-0000-0000CC9E0000}"/>
    <cellStyle name="Note 24 2 8" xfId="40647" xr:uid="{00000000-0005-0000-0000-0000CD9E0000}"/>
    <cellStyle name="Note 24 2 9" xfId="40648" xr:uid="{00000000-0005-0000-0000-0000CE9E0000}"/>
    <cellStyle name="Note 24 3" xfId="40649" xr:uid="{00000000-0005-0000-0000-0000CF9E0000}"/>
    <cellStyle name="Note 24 3 2" xfId="40650" xr:uid="{00000000-0005-0000-0000-0000D09E0000}"/>
    <cellStyle name="Note 24 3 2 2" xfId="40651" xr:uid="{00000000-0005-0000-0000-0000D19E0000}"/>
    <cellStyle name="Note 24 3 2 3" xfId="40652" xr:uid="{00000000-0005-0000-0000-0000D29E0000}"/>
    <cellStyle name="Note 24 3 3" xfId="40653" xr:uid="{00000000-0005-0000-0000-0000D39E0000}"/>
    <cellStyle name="Note 24 3 4" xfId="40654" xr:uid="{00000000-0005-0000-0000-0000D49E0000}"/>
    <cellStyle name="Note 24 3 5" xfId="40655" xr:uid="{00000000-0005-0000-0000-0000D59E0000}"/>
    <cellStyle name="Note 24 3 6" xfId="40656" xr:uid="{00000000-0005-0000-0000-0000D69E0000}"/>
    <cellStyle name="Note 24 4" xfId="40657" xr:uid="{00000000-0005-0000-0000-0000D79E0000}"/>
    <cellStyle name="Note 24 4 2" xfId="40658" xr:uid="{00000000-0005-0000-0000-0000D89E0000}"/>
    <cellStyle name="Note 24 4 2 2" xfId="40659" xr:uid="{00000000-0005-0000-0000-0000D99E0000}"/>
    <cellStyle name="Note 24 4 3" xfId="40660" xr:uid="{00000000-0005-0000-0000-0000DA9E0000}"/>
    <cellStyle name="Note 24 4 4" xfId="40661" xr:uid="{00000000-0005-0000-0000-0000DB9E0000}"/>
    <cellStyle name="Note 24 4 5" xfId="40662" xr:uid="{00000000-0005-0000-0000-0000DC9E0000}"/>
    <cellStyle name="Note 24 5" xfId="40663" xr:uid="{00000000-0005-0000-0000-0000DD9E0000}"/>
    <cellStyle name="Note 24 5 2" xfId="40664" xr:uid="{00000000-0005-0000-0000-0000DE9E0000}"/>
    <cellStyle name="Note 24 5 3" xfId="40665" xr:uid="{00000000-0005-0000-0000-0000DF9E0000}"/>
    <cellStyle name="Note 24 5 4" xfId="40666" xr:uid="{00000000-0005-0000-0000-0000E09E0000}"/>
    <cellStyle name="Note 24 6" xfId="40667" xr:uid="{00000000-0005-0000-0000-0000E19E0000}"/>
    <cellStyle name="Note 24 6 2" xfId="40668" xr:uid="{00000000-0005-0000-0000-0000E29E0000}"/>
    <cellStyle name="Note 24 7" xfId="40669" xr:uid="{00000000-0005-0000-0000-0000E39E0000}"/>
    <cellStyle name="Note 24 8" xfId="40670" xr:uid="{00000000-0005-0000-0000-0000E49E0000}"/>
    <cellStyle name="Note 24 9" xfId="40671" xr:uid="{00000000-0005-0000-0000-0000E59E0000}"/>
    <cellStyle name="Note 25" xfId="40672" xr:uid="{00000000-0005-0000-0000-0000E69E0000}"/>
    <cellStyle name="Note 25 2" xfId="40673" xr:uid="{00000000-0005-0000-0000-0000E79E0000}"/>
    <cellStyle name="Note 25 2 2" xfId="40674" xr:uid="{00000000-0005-0000-0000-0000E89E0000}"/>
    <cellStyle name="Note 25 2 2 2" xfId="40675" xr:uid="{00000000-0005-0000-0000-0000E99E0000}"/>
    <cellStyle name="Note 25 2 2 3" xfId="40676" xr:uid="{00000000-0005-0000-0000-0000EA9E0000}"/>
    <cellStyle name="Note 25 2 3" xfId="40677" xr:uid="{00000000-0005-0000-0000-0000EB9E0000}"/>
    <cellStyle name="Note 25 2 4" xfId="40678" xr:uid="{00000000-0005-0000-0000-0000EC9E0000}"/>
    <cellStyle name="Note 25 2 5" xfId="40679" xr:uid="{00000000-0005-0000-0000-0000ED9E0000}"/>
    <cellStyle name="Note 25 2 6" xfId="40680" xr:uid="{00000000-0005-0000-0000-0000EE9E0000}"/>
    <cellStyle name="Note 25 3" xfId="40681" xr:uid="{00000000-0005-0000-0000-0000EF9E0000}"/>
    <cellStyle name="Note 25 3 2" xfId="40682" xr:uid="{00000000-0005-0000-0000-0000F09E0000}"/>
    <cellStyle name="Note 25 3 2 2" xfId="40683" xr:uid="{00000000-0005-0000-0000-0000F19E0000}"/>
    <cellStyle name="Note 25 3 3" xfId="40684" xr:uid="{00000000-0005-0000-0000-0000F29E0000}"/>
    <cellStyle name="Note 25 3 4" xfId="40685" xr:uid="{00000000-0005-0000-0000-0000F39E0000}"/>
    <cellStyle name="Note 25 3 5" xfId="40686" xr:uid="{00000000-0005-0000-0000-0000F49E0000}"/>
    <cellStyle name="Note 25 4" xfId="40687" xr:uid="{00000000-0005-0000-0000-0000F59E0000}"/>
    <cellStyle name="Note 25 4 2" xfId="40688" xr:uid="{00000000-0005-0000-0000-0000F69E0000}"/>
    <cellStyle name="Note 25 4 3" xfId="40689" xr:uid="{00000000-0005-0000-0000-0000F79E0000}"/>
    <cellStyle name="Note 25 4 4" xfId="40690" xr:uid="{00000000-0005-0000-0000-0000F89E0000}"/>
    <cellStyle name="Note 25 5" xfId="40691" xr:uid="{00000000-0005-0000-0000-0000F99E0000}"/>
    <cellStyle name="Note 25 5 2" xfId="40692" xr:uid="{00000000-0005-0000-0000-0000FA9E0000}"/>
    <cellStyle name="Note 25 6" xfId="40693" xr:uid="{00000000-0005-0000-0000-0000FB9E0000}"/>
    <cellStyle name="Note 25 7" xfId="40694" xr:uid="{00000000-0005-0000-0000-0000FC9E0000}"/>
    <cellStyle name="Note 25 8" xfId="40695" xr:uid="{00000000-0005-0000-0000-0000FD9E0000}"/>
    <cellStyle name="Note 25 9" xfId="40696" xr:uid="{00000000-0005-0000-0000-0000FE9E0000}"/>
    <cellStyle name="Note 26" xfId="40697" xr:uid="{00000000-0005-0000-0000-0000FF9E0000}"/>
    <cellStyle name="Note 26 2" xfId="40698" xr:uid="{00000000-0005-0000-0000-0000009F0000}"/>
    <cellStyle name="Note 26 2 2" xfId="40699" xr:uid="{00000000-0005-0000-0000-0000019F0000}"/>
    <cellStyle name="Note 26 2 2 2" xfId="40700" xr:uid="{00000000-0005-0000-0000-0000029F0000}"/>
    <cellStyle name="Note 26 2 3" xfId="40701" xr:uid="{00000000-0005-0000-0000-0000039F0000}"/>
    <cellStyle name="Note 26 2 4" xfId="40702" xr:uid="{00000000-0005-0000-0000-0000049F0000}"/>
    <cellStyle name="Note 26 2 5" xfId="40703" xr:uid="{00000000-0005-0000-0000-0000059F0000}"/>
    <cellStyle name="Note 26 3" xfId="40704" xr:uid="{00000000-0005-0000-0000-0000069F0000}"/>
    <cellStyle name="Note 26 3 2" xfId="40705" xr:uid="{00000000-0005-0000-0000-0000079F0000}"/>
    <cellStyle name="Note 26 3 3" xfId="40706" xr:uid="{00000000-0005-0000-0000-0000089F0000}"/>
    <cellStyle name="Note 26 3 4" xfId="40707" xr:uid="{00000000-0005-0000-0000-0000099F0000}"/>
    <cellStyle name="Note 26 4" xfId="40708" xr:uid="{00000000-0005-0000-0000-00000A9F0000}"/>
    <cellStyle name="Note 26 4 2" xfId="40709" xr:uid="{00000000-0005-0000-0000-00000B9F0000}"/>
    <cellStyle name="Note 26 5" xfId="40710" xr:uid="{00000000-0005-0000-0000-00000C9F0000}"/>
    <cellStyle name="Note 26 6" xfId="40711" xr:uid="{00000000-0005-0000-0000-00000D9F0000}"/>
    <cellStyle name="Note 26 7" xfId="40712" xr:uid="{00000000-0005-0000-0000-00000E9F0000}"/>
    <cellStyle name="Note 26 8" xfId="40713" xr:uid="{00000000-0005-0000-0000-00000F9F0000}"/>
    <cellStyle name="Note 27" xfId="40714" xr:uid="{00000000-0005-0000-0000-0000109F0000}"/>
    <cellStyle name="Note 27 2" xfId="40715" xr:uid="{00000000-0005-0000-0000-0000119F0000}"/>
    <cellStyle name="Note 27 2 2" xfId="40716" xr:uid="{00000000-0005-0000-0000-0000129F0000}"/>
    <cellStyle name="Note 27 2 2 2" xfId="40717" xr:uid="{00000000-0005-0000-0000-0000139F0000}"/>
    <cellStyle name="Note 27 2 3" xfId="40718" xr:uid="{00000000-0005-0000-0000-0000149F0000}"/>
    <cellStyle name="Note 27 2 4" xfId="40719" xr:uid="{00000000-0005-0000-0000-0000159F0000}"/>
    <cellStyle name="Note 27 2 5" xfId="40720" xr:uid="{00000000-0005-0000-0000-0000169F0000}"/>
    <cellStyle name="Note 27 3" xfId="40721" xr:uid="{00000000-0005-0000-0000-0000179F0000}"/>
    <cellStyle name="Note 27 3 2" xfId="40722" xr:uid="{00000000-0005-0000-0000-0000189F0000}"/>
    <cellStyle name="Note 27 3 3" xfId="40723" xr:uid="{00000000-0005-0000-0000-0000199F0000}"/>
    <cellStyle name="Note 27 3 4" xfId="40724" xr:uid="{00000000-0005-0000-0000-00001A9F0000}"/>
    <cellStyle name="Note 27 4" xfId="40725" xr:uid="{00000000-0005-0000-0000-00001B9F0000}"/>
    <cellStyle name="Note 27 4 2" xfId="40726" xr:uid="{00000000-0005-0000-0000-00001C9F0000}"/>
    <cellStyle name="Note 27 5" xfId="40727" xr:uid="{00000000-0005-0000-0000-00001D9F0000}"/>
    <cellStyle name="Note 27 6" xfId="40728" xr:uid="{00000000-0005-0000-0000-00001E9F0000}"/>
    <cellStyle name="Note 27 7" xfId="40729" xr:uid="{00000000-0005-0000-0000-00001F9F0000}"/>
    <cellStyle name="Note 27 8" xfId="40730" xr:uid="{00000000-0005-0000-0000-0000209F0000}"/>
    <cellStyle name="Note 28" xfId="40731" xr:uid="{00000000-0005-0000-0000-0000219F0000}"/>
    <cellStyle name="Note 28 2" xfId="40732" xr:uid="{00000000-0005-0000-0000-0000229F0000}"/>
    <cellStyle name="Note 28 2 2" xfId="40733" xr:uid="{00000000-0005-0000-0000-0000239F0000}"/>
    <cellStyle name="Note 28 2 3" xfId="40734" xr:uid="{00000000-0005-0000-0000-0000249F0000}"/>
    <cellStyle name="Note 28 2 4" xfId="40735" xr:uid="{00000000-0005-0000-0000-0000259F0000}"/>
    <cellStyle name="Note 28 3" xfId="40736" xr:uid="{00000000-0005-0000-0000-0000269F0000}"/>
    <cellStyle name="Note 28 3 2" xfId="40737" xr:uid="{00000000-0005-0000-0000-0000279F0000}"/>
    <cellStyle name="Note 28 4" xfId="40738" xr:uid="{00000000-0005-0000-0000-0000289F0000}"/>
    <cellStyle name="Note 28 5" xfId="40739" xr:uid="{00000000-0005-0000-0000-0000299F0000}"/>
    <cellStyle name="Note 28 6" xfId="40740" xr:uid="{00000000-0005-0000-0000-00002A9F0000}"/>
    <cellStyle name="Note 29" xfId="40741" xr:uid="{00000000-0005-0000-0000-00002B9F0000}"/>
    <cellStyle name="Note 29 2" xfId="40742" xr:uid="{00000000-0005-0000-0000-00002C9F0000}"/>
    <cellStyle name="Note 29 2 2" xfId="40743" xr:uid="{00000000-0005-0000-0000-00002D9F0000}"/>
    <cellStyle name="Note 29 2 3" xfId="40744" xr:uid="{00000000-0005-0000-0000-00002E9F0000}"/>
    <cellStyle name="Note 29 2 4" xfId="40745" xr:uid="{00000000-0005-0000-0000-00002F9F0000}"/>
    <cellStyle name="Note 29 3" xfId="40746" xr:uid="{00000000-0005-0000-0000-0000309F0000}"/>
    <cellStyle name="Note 29 3 2" xfId="40747" xr:uid="{00000000-0005-0000-0000-0000319F0000}"/>
    <cellStyle name="Note 29 4" xfId="40748" xr:uid="{00000000-0005-0000-0000-0000329F0000}"/>
    <cellStyle name="Note 29 5" xfId="40749" xr:uid="{00000000-0005-0000-0000-0000339F0000}"/>
    <cellStyle name="Note 29 6" xfId="40750" xr:uid="{00000000-0005-0000-0000-0000349F0000}"/>
    <cellStyle name="Note 3" xfId="40751" xr:uid="{00000000-0005-0000-0000-0000359F0000}"/>
    <cellStyle name="Note 3 10" xfId="40752" xr:uid="{00000000-0005-0000-0000-0000369F0000}"/>
    <cellStyle name="Note 3 10 2" xfId="40753" xr:uid="{00000000-0005-0000-0000-0000379F0000}"/>
    <cellStyle name="Note 3 10 2 2" xfId="40754" xr:uid="{00000000-0005-0000-0000-0000389F0000}"/>
    <cellStyle name="Note 3 10 2 2 2" xfId="40755" xr:uid="{00000000-0005-0000-0000-0000399F0000}"/>
    <cellStyle name="Note 3 10 2 2 3" xfId="40756" xr:uid="{00000000-0005-0000-0000-00003A9F0000}"/>
    <cellStyle name="Note 3 10 2 3" xfId="40757" xr:uid="{00000000-0005-0000-0000-00003B9F0000}"/>
    <cellStyle name="Note 3 10 2 4" xfId="40758" xr:uid="{00000000-0005-0000-0000-00003C9F0000}"/>
    <cellStyle name="Note 3 10 2 5" xfId="40759" xr:uid="{00000000-0005-0000-0000-00003D9F0000}"/>
    <cellStyle name="Note 3 10 2 6" xfId="40760" xr:uid="{00000000-0005-0000-0000-00003E9F0000}"/>
    <cellStyle name="Note 3 10 3" xfId="40761" xr:uid="{00000000-0005-0000-0000-00003F9F0000}"/>
    <cellStyle name="Note 3 10 3 2" xfId="40762" xr:uid="{00000000-0005-0000-0000-0000409F0000}"/>
    <cellStyle name="Note 3 10 3 2 2" xfId="40763" xr:uid="{00000000-0005-0000-0000-0000419F0000}"/>
    <cellStyle name="Note 3 10 3 3" xfId="40764" xr:uid="{00000000-0005-0000-0000-0000429F0000}"/>
    <cellStyle name="Note 3 10 3 4" xfId="40765" xr:uid="{00000000-0005-0000-0000-0000439F0000}"/>
    <cellStyle name="Note 3 10 3 5" xfId="40766" xr:uid="{00000000-0005-0000-0000-0000449F0000}"/>
    <cellStyle name="Note 3 10 4" xfId="40767" xr:uid="{00000000-0005-0000-0000-0000459F0000}"/>
    <cellStyle name="Note 3 10 4 2" xfId="40768" xr:uid="{00000000-0005-0000-0000-0000469F0000}"/>
    <cellStyle name="Note 3 10 4 3" xfId="40769" xr:uid="{00000000-0005-0000-0000-0000479F0000}"/>
    <cellStyle name="Note 3 10 4 4" xfId="40770" xr:uid="{00000000-0005-0000-0000-0000489F0000}"/>
    <cellStyle name="Note 3 10 5" xfId="40771" xr:uid="{00000000-0005-0000-0000-0000499F0000}"/>
    <cellStyle name="Note 3 10 5 2" xfId="40772" xr:uid="{00000000-0005-0000-0000-00004A9F0000}"/>
    <cellStyle name="Note 3 10 6" xfId="40773" xr:uid="{00000000-0005-0000-0000-00004B9F0000}"/>
    <cellStyle name="Note 3 10 7" xfId="40774" xr:uid="{00000000-0005-0000-0000-00004C9F0000}"/>
    <cellStyle name="Note 3 10 8" xfId="40775" xr:uid="{00000000-0005-0000-0000-00004D9F0000}"/>
    <cellStyle name="Note 3 10 9" xfId="40776" xr:uid="{00000000-0005-0000-0000-00004E9F0000}"/>
    <cellStyle name="Note 3 11" xfId="40777" xr:uid="{00000000-0005-0000-0000-00004F9F0000}"/>
    <cellStyle name="Note 3 11 2" xfId="40778" xr:uid="{00000000-0005-0000-0000-0000509F0000}"/>
    <cellStyle name="Note 3 11 2 2" xfId="40779" xr:uid="{00000000-0005-0000-0000-0000519F0000}"/>
    <cellStyle name="Note 3 11 2 3" xfId="40780" xr:uid="{00000000-0005-0000-0000-0000529F0000}"/>
    <cellStyle name="Note 3 11 3" xfId="40781" xr:uid="{00000000-0005-0000-0000-0000539F0000}"/>
    <cellStyle name="Note 3 11 4" xfId="40782" xr:uid="{00000000-0005-0000-0000-0000549F0000}"/>
    <cellStyle name="Note 3 11 5" xfId="40783" xr:uid="{00000000-0005-0000-0000-0000559F0000}"/>
    <cellStyle name="Note 3 11 6" xfId="40784" xr:uid="{00000000-0005-0000-0000-0000569F0000}"/>
    <cellStyle name="Note 3 12" xfId="40785" xr:uid="{00000000-0005-0000-0000-0000579F0000}"/>
    <cellStyle name="Note 3 12 2" xfId="40786" xr:uid="{00000000-0005-0000-0000-0000589F0000}"/>
    <cellStyle name="Note 3 12 2 2" xfId="40787" xr:uid="{00000000-0005-0000-0000-0000599F0000}"/>
    <cellStyle name="Note 3 12 3" xfId="40788" xr:uid="{00000000-0005-0000-0000-00005A9F0000}"/>
    <cellStyle name="Note 3 12 4" xfId="40789" xr:uid="{00000000-0005-0000-0000-00005B9F0000}"/>
    <cellStyle name="Note 3 12 5" xfId="40790" xr:uid="{00000000-0005-0000-0000-00005C9F0000}"/>
    <cellStyle name="Note 3 13" xfId="40791" xr:uid="{00000000-0005-0000-0000-00005D9F0000}"/>
    <cellStyle name="Note 3 13 2" xfId="40792" xr:uid="{00000000-0005-0000-0000-00005E9F0000}"/>
    <cellStyle name="Note 3 13 2 2" xfId="40793" xr:uid="{00000000-0005-0000-0000-00005F9F0000}"/>
    <cellStyle name="Note 3 13 3" xfId="40794" xr:uid="{00000000-0005-0000-0000-0000609F0000}"/>
    <cellStyle name="Note 3 13 4" xfId="40795" xr:uid="{00000000-0005-0000-0000-0000619F0000}"/>
    <cellStyle name="Note 3 13 5" xfId="40796" xr:uid="{00000000-0005-0000-0000-0000629F0000}"/>
    <cellStyle name="Note 3 14" xfId="40797" xr:uid="{00000000-0005-0000-0000-0000639F0000}"/>
    <cellStyle name="Note 3 14 2" xfId="40798" xr:uid="{00000000-0005-0000-0000-0000649F0000}"/>
    <cellStyle name="Note 3 15" xfId="40799" xr:uid="{00000000-0005-0000-0000-0000659F0000}"/>
    <cellStyle name="Note 3 16" xfId="40800" xr:uid="{00000000-0005-0000-0000-0000669F0000}"/>
    <cellStyle name="Note 3 17" xfId="40801" xr:uid="{00000000-0005-0000-0000-0000679F0000}"/>
    <cellStyle name="Note 3 18" xfId="40802" xr:uid="{00000000-0005-0000-0000-0000689F0000}"/>
    <cellStyle name="Note 3 2" xfId="40803" xr:uid="{00000000-0005-0000-0000-0000699F0000}"/>
    <cellStyle name="Note 3 2 10" xfId="40804" xr:uid="{00000000-0005-0000-0000-00006A9F0000}"/>
    <cellStyle name="Note 3 2 2" xfId="40805" xr:uid="{00000000-0005-0000-0000-00006B9F0000}"/>
    <cellStyle name="Note 3 2 2 2" xfId="40806" xr:uid="{00000000-0005-0000-0000-00006C9F0000}"/>
    <cellStyle name="Note 3 2 2 2 2" xfId="40807" xr:uid="{00000000-0005-0000-0000-00006D9F0000}"/>
    <cellStyle name="Note 3 2 2 2 2 2" xfId="40808" xr:uid="{00000000-0005-0000-0000-00006E9F0000}"/>
    <cellStyle name="Note 3 2 2 2 2 3" xfId="40809" xr:uid="{00000000-0005-0000-0000-00006F9F0000}"/>
    <cellStyle name="Note 3 2 2 2 3" xfId="40810" xr:uid="{00000000-0005-0000-0000-0000709F0000}"/>
    <cellStyle name="Note 3 2 2 2 4" xfId="40811" xr:uid="{00000000-0005-0000-0000-0000719F0000}"/>
    <cellStyle name="Note 3 2 2 2 5" xfId="40812" xr:uid="{00000000-0005-0000-0000-0000729F0000}"/>
    <cellStyle name="Note 3 2 2 2 6" xfId="40813" xr:uid="{00000000-0005-0000-0000-0000739F0000}"/>
    <cellStyle name="Note 3 2 2 3" xfId="40814" xr:uid="{00000000-0005-0000-0000-0000749F0000}"/>
    <cellStyle name="Note 3 2 2 3 2" xfId="40815" xr:uid="{00000000-0005-0000-0000-0000759F0000}"/>
    <cellStyle name="Note 3 2 2 3 2 2" xfId="40816" xr:uid="{00000000-0005-0000-0000-0000769F0000}"/>
    <cellStyle name="Note 3 2 2 3 3" xfId="40817" xr:uid="{00000000-0005-0000-0000-0000779F0000}"/>
    <cellStyle name="Note 3 2 2 3 4" xfId="40818" xr:uid="{00000000-0005-0000-0000-0000789F0000}"/>
    <cellStyle name="Note 3 2 2 3 5" xfId="40819" xr:uid="{00000000-0005-0000-0000-0000799F0000}"/>
    <cellStyle name="Note 3 2 2 4" xfId="40820" xr:uid="{00000000-0005-0000-0000-00007A9F0000}"/>
    <cellStyle name="Note 3 2 2 4 2" xfId="40821" xr:uid="{00000000-0005-0000-0000-00007B9F0000}"/>
    <cellStyle name="Note 3 2 2 4 3" xfId="40822" xr:uid="{00000000-0005-0000-0000-00007C9F0000}"/>
    <cellStyle name="Note 3 2 2 4 4" xfId="40823" xr:uid="{00000000-0005-0000-0000-00007D9F0000}"/>
    <cellStyle name="Note 3 2 2 5" xfId="40824" xr:uid="{00000000-0005-0000-0000-00007E9F0000}"/>
    <cellStyle name="Note 3 2 2 5 2" xfId="40825" xr:uid="{00000000-0005-0000-0000-00007F9F0000}"/>
    <cellStyle name="Note 3 2 2 6" xfId="40826" xr:uid="{00000000-0005-0000-0000-0000809F0000}"/>
    <cellStyle name="Note 3 2 2 7" xfId="40827" xr:uid="{00000000-0005-0000-0000-0000819F0000}"/>
    <cellStyle name="Note 3 2 2 8" xfId="40828" xr:uid="{00000000-0005-0000-0000-0000829F0000}"/>
    <cellStyle name="Note 3 2 2 9" xfId="40829" xr:uid="{00000000-0005-0000-0000-0000839F0000}"/>
    <cellStyle name="Note 3 2 3" xfId="40830" xr:uid="{00000000-0005-0000-0000-0000849F0000}"/>
    <cellStyle name="Note 3 2 3 2" xfId="40831" xr:uid="{00000000-0005-0000-0000-0000859F0000}"/>
    <cellStyle name="Note 3 2 3 2 2" xfId="40832" xr:uid="{00000000-0005-0000-0000-0000869F0000}"/>
    <cellStyle name="Note 3 2 3 2 3" xfId="40833" xr:uid="{00000000-0005-0000-0000-0000879F0000}"/>
    <cellStyle name="Note 3 2 3 3" xfId="40834" xr:uid="{00000000-0005-0000-0000-0000889F0000}"/>
    <cellStyle name="Note 3 2 3 4" xfId="40835" xr:uid="{00000000-0005-0000-0000-0000899F0000}"/>
    <cellStyle name="Note 3 2 3 5" xfId="40836" xr:uid="{00000000-0005-0000-0000-00008A9F0000}"/>
    <cellStyle name="Note 3 2 3 6" xfId="40837" xr:uid="{00000000-0005-0000-0000-00008B9F0000}"/>
    <cellStyle name="Note 3 2 4" xfId="40838" xr:uid="{00000000-0005-0000-0000-00008C9F0000}"/>
    <cellStyle name="Note 3 2 4 2" xfId="40839" xr:uid="{00000000-0005-0000-0000-00008D9F0000}"/>
    <cellStyle name="Note 3 2 4 2 2" xfId="40840" xr:uid="{00000000-0005-0000-0000-00008E9F0000}"/>
    <cellStyle name="Note 3 2 4 3" xfId="40841" xr:uid="{00000000-0005-0000-0000-00008F9F0000}"/>
    <cellStyle name="Note 3 2 4 4" xfId="40842" xr:uid="{00000000-0005-0000-0000-0000909F0000}"/>
    <cellStyle name="Note 3 2 4 5" xfId="40843" xr:uid="{00000000-0005-0000-0000-0000919F0000}"/>
    <cellStyle name="Note 3 2 5" xfId="40844" xr:uid="{00000000-0005-0000-0000-0000929F0000}"/>
    <cellStyle name="Note 3 2 5 2" xfId="40845" xr:uid="{00000000-0005-0000-0000-0000939F0000}"/>
    <cellStyle name="Note 3 2 5 2 2" xfId="40846" xr:uid="{00000000-0005-0000-0000-0000949F0000}"/>
    <cellStyle name="Note 3 2 5 3" xfId="40847" xr:uid="{00000000-0005-0000-0000-0000959F0000}"/>
    <cellStyle name="Note 3 2 5 4" xfId="40848" xr:uid="{00000000-0005-0000-0000-0000969F0000}"/>
    <cellStyle name="Note 3 2 5 5" xfId="40849" xr:uid="{00000000-0005-0000-0000-0000979F0000}"/>
    <cellStyle name="Note 3 2 6" xfId="40850" xr:uid="{00000000-0005-0000-0000-0000989F0000}"/>
    <cellStyle name="Note 3 2 6 2" xfId="40851" xr:uid="{00000000-0005-0000-0000-0000999F0000}"/>
    <cellStyle name="Note 3 2 7" xfId="40852" xr:uid="{00000000-0005-0000-0000-00009A9F0000}"/>
    <cellStyle name="Note 3 2 8" xfId="40853" xr:uid="{00000000-0005-0000-0000-00009B9F0000}"/>
    <cellStyle name="Note 3 2 9" xfId="40854" xr:uid="{00000000-0005-0000-0000-00009C9F0000}"/>
    <cellStyle name="Note 3 3" xfId="40855" xr:uid="{00000000-0005-0000-0000-00009D9F0000}"/>
    <cellStyle name="Note 3 3 10" xfId="40856" xr:uid="{00000000-0005-0000-0000-00009E9F0000}"/>
    <cellStyle name="Note 3 3 2" xfId="40857" xr:uid="{00000000-0005-0000-0000-00009F9F0000}"/>
    <cellStyle name="Note 3 3 2 2" xfId="40858" xr:uid="{00000000-0005-0000-0000-0000A09F0000}"/>
    <cellStyle name="Note 3 3 2 2 2" xfId="40859" xr:uid="{00000000-0005-0000-0000-0000A19F0000}"/>
    <cellStyle name="Note 3 3 2 2 2 2" xfId="40860" xr:uid="{00000000-0005-0000-0000-0000A29F0000}"/>
    <cellStyle name="Note 3 3 2 2 2 3" xfId="40861" xr:uid="{00000000-0005-0000-0000-0000A39F0000}"/>
    <cellStyle name="Note 3 3 2 2 3" xfId="40862" xr:uid="{00000000-0005-0000-0000-0000A49F0000}"/>
    <cellStyle name="Note 3 3 2 2 4" xfId="40863" xr:uid="{00000000-0005-0000-0000-0000A59F0000}"/>
    <cellStyle name="Note 3 3 2 2 5" xfId="40864" xr:uid="{00000000-0005-0000-0000-0000A69F0000}"/>
    <cellStyle name="Note 3 3 2 2 6" xfId="40865" xr:uid="{00000000-0005-0000-0000-0000A79F0000}"/>
    <cellStyle name="Note 3 3 2 3" xfId="40866" xr:uid="{00000000-0005-0000-0000-0000A89F0000}"/>
    <cellStyle name="Note 3 3 2 3 2" xfId="40867" xr:uid="{00000000-0005-0000-0000-0000A99F0000}"/>
    <cellStyle name="Note 3 3 2 3 2 2" xfId="40868" xr:uid="{00000000-0005-0000-0000-0000AA9F0000}"/>
    <cellStyle name="Note 3 3 2 3 3" xfId="40869" xr:uid="{00000000-0005-0000-0000-0000AB9F0000}"/>
    <cellStyle name="Note 3 3 2 3 4" xfId="40870" xr:uid="{00000000-0005-0000-0000-0000AC9F0000}"/>
    <cellStyle name="Note 3 3 2 3 5" xfId="40871" xr:uid="{00000000-0005-0000-0000-0000AD9F0000}"/>
    <cellStyle name="Note 3 3 2 4" xfId="40872" xr:uid="{00000000-0005-0000-0000-0000AE9F0000}"/>
    <cellStyle name="Note 3 3 2 4 2" xfId="40873" xr:uid="{00000000-0005-0000-0000-0000AF9F0000}"/>
    <cellStyle name="Note 3 3 2 4 3" xfId="40874" xr:uid="{00000000-0005-0000-0000-0000B09F0000}"/>
    <cellStyle name="Note 3 3 2 4 4" xfId="40875" xr:uid="{00000000-0005-0000-0000-0000B19F0000}"/>
    <cellStyle name="Note 3 3 2 5" xfId="40876" xr:uid="{00000000-0005-0000-0000-0000B29F0000}"/>
    <cellStyle name="Note 3 3 2 5 2" xfId="40877" xr:uid="{00000000-0005-0000-0000-0000B39F0000}"/>
    <cellStyle name="Note 3 3 2 6" xfId="40878" xr:uid="{00000000-0005-0000-0000-0000B49F0000}"/>
    <cellStyle name="Note 3 3 2 7" xfId="40879" xr:uid="{00000000-0005-0000-0000-0000B59F0000}"/>
    <cellStyle name="Note 3 3 2 8" xfId="40880" xr:uid="{00000000-0005-0000-0000-0000B69F0000}"/>
    <cellStyle name="Note 3 3 2 9" xfId="40881" xr:uid="{00000000-0005-0000-0000-0000B79F0000}"/>
    <cellStyle name="Note 3 3 3" xfId="40882" xr:uid="{00000000-0005-0000-0000-0000B89F0000}"/>
    <cellStyle name="Note 3 3 3 2" xfId="40883" xr:uid="{00000000-0005-0000-0000-0000B99F0000}"/>
    <cellStyle name="Note 3 3 3 2 2" xfId="40884" xr:uid="{00000000-0005-0000-0000-0000BA9F0000}"/>
    <cellStyle name="Note 3 3 3 2 3" xfId="40885" xr:uid="{00000000-0005-0000-0000-0000BB9F0000}"/>
    <cellStyle name="Note 3 3 3 3" xfId="40886" xr:uid="{00000000-0005-0000-0000-0000BC9F0000}"/>
    <cellStyle name="Note 3 3 3 4" xfId="40887" xr:uid="{00000000-0005-0000-0000-0000BD9F0000}"/>
    <cellStyle name="Note 3 3 3 5" xfId="40888" xr:uid="{00000000-0005-0000-0000-0000BE9F0000}"/>
    <cellStyle name="Note 3 3 3 6" xfId="40889" xr:uid="{00000000-0005-0000-0000-0000BF9F0000}"/>
    <cellStyle name="Note 3 3 4" xfId="40890" xr:uid="{00000000-0005-0000-0000-0000C09F0000}"/>
    <cellStyle name="Note 3 3 4 2" xfId="40891" xr:uid="{00000000-0005-0000-0000-0000C19F0000}"/>
    <cellStyle name="Note 3 3 4 2 2" xfId="40892" xr:uid="{00000000-0005-0000-0000-0000C29F0000}"/>
    <cellStyle name="Note 3 3 4 3" xfId="40893" xr:uid="{00000000-0005-0000-0000-0000C39F0000}"/>
    <cellStyle name="Note 3 3 4 4" xfId="40894" xr:uid="{00000000-0005-0000-0000-0000C49F0000}"/>
    <cellStyle name="Note 3 3 4 5" xfId="40895" xr:uid="{00000000-0005-0000-0000-0000C59F0000}"/>
    <cellStyle name="Note 3 3 5" xfId="40896" xr:uid="{00000000-0005-0000-0000-0000C69F0000}"/>
    <cellStyle name="Note 3 3 5 2" xfId="40897" xr:uid="{00000000-0005-0000-0000-0000C79F0000}"/>
    <cellStyle name="Note 3 3 5 2 2" xfId="40898" xr:uid="{00000000-0005-0000-0000-0000C89F0000}"/>
    <cellStyle name="Note 3 3 5 3" xfId="40899" xr:uid="{00000000-0005-0000-0000-0000C99F0000}"/>
    <cellStyle name="Note 3 3 5 4" xfId="40900" xr:uid="{00000000-0005-0000-0000-0000CA9F0000}"/>
    <cellStyle name="Note 3 3 5 5" xfId="40901" xr:uid="{00000000-0005-0000-0000-0000CB9F0000}"/>
    <cellStyle name="Note 3 3 6" xfId="40902" xr:uid="{00000000-0005-0000-0000-0000CC9F0000}"/>
    <cellStyle name="Note 3 3 6 2" xfId="40903" xr:uid="{00000000-0005-0000-0000-0000CD9F0000}"/>
    <cellStyle name="Note 3 3 7" xfId="40904" xr:uid="{00000000-0005-0000-0000-0000CE9F0000}"/>
    <cellStyle name="Note 3 3 8" xfId="40905" xr:uid="{00000000-0005-0000-0000-0000CF9F0000}"/>
    <cellStyle name="Note 3 3 9" xfId="40906" xr:uid="{00000000-0005-0000-0000-0000D09F0000}"/>
    <cellStyle name="Note 3 4" xfId="40907" xr:uid="{00000000-0005-0000-0000-0000D19F0000}"/>
    <cellStyle name="Note 3 4 10" xfId="40908" xr:uid="{00000000-0005-0000-0000-0000D29F0000}"/>
    <cellStyle name="Note 3 4 2" xfId="40909" xr:uid="{00000000-0005-0000-0000-0000D39F0000}"/>
    <cellStyle name="Note 3 4 2 2" xfId="40910" xr:uid="{00000000-0005-0000-0000-0000D49F0000}"/>
    <cellStyle name="Note 3 4 2 2 2" xfId="40911" xr:uid="{00000000-0005-0000-0000-0000D59F0000}"/>
    <cellStyle name="Note 3 4 2 2 2 2" xfId="40912" xr:uid="{00000000-0005-0000-0000-0000D69F0000}"/>
    <cellStyle name="Note 3 4 2 2 2 3" xfId="40913" xr:uid="{00000000-0005-0000-0000-0000D79F0000}"/>
    <cellStyle name="Note 3 4 2 2 3" xfId="40914" xr:uid="{00000000-0005-0000-0000-0000D89F0000}"/>
    <cellStyle name="Note 3 4 2 2 4" xfId="40915" xr:uid="{00000000-0005-0000-0000-0000D99F0000}"/>
    <cellStyle name="Note 3 4 2 2 5" xfId="40916" xr:uid="{00000000-0005-0000-0000-0000DA9F0000}"/>
    <cellStyle name="Note 3 4 2 2 6" xfId="40917" xr:uid="{00000000-0005-0000-0000-0000DB9F0000}"/>
    <cellStyle name="Note 3 4 2 3" xfId="40918" xr:uid="{00000000-0005-0000-0000-0000DC9F0000}"/>
    <cellStyle name="Note 3 4 2 3 2" xfId="40919" xr:uid="{00000000-0005-0000-0000-0000DD9F0000}"/>
    <cellStyle name="Note 3 4 2 3 2 2" xfId="40920" xr:uid="{00000000-0005-0000-0000-0000DE9F0000}"/>
    <cellStyle name="Note 3 4 2 3 3" xfId="40921" xr:uid="{00000000-0005-0000-0000-0000DF9F0000}"/>
    <cellStyle name="Note 3 4 2 3 4" xfId="40922" xr:uid="{00000000-0005-0000-0000-0000E09F0000}"/>
    <cellStyle name="Note 3 4 2 3 5" xfId="40923" xr:uid="{00000000-0005-0000-0000-0000E19F0000}"/>
    <cellStyle name="Note 3 4 2 4" xfId="40924" xr:uid="{00000000-0005-0000-0000-0000E29F0000}"/>
    <cellStyle name="Note 3 4 2 4 2" xfId="40925" xr:uid="{00000000-0005-0000-0000-0000E39F0000}"/>
    <cellStyle name="Note 3 4 2 4 3" xfId="40926" xr:uid="{00000000-0005-0000-0000-0000E49F0000}"/>
    <cellStyle name="Note 3 4 2 4 4" xfId="40927" xr:uid="{00000000-0005-0000-0000-0000E59F0000}"/>
    <cellStyle name="Note 3 4 2 5" xfId="40928" xr:uid="{00000000-0005-0000-0000-0000E69F0000}"/>
    <cellStyle name="Note 3 4 2 5 2" xfId="40929" xr:uid="{00000000-0005-0000-0000-0000E79F0000}"/>
    <cellStyle name="Note 3 4 2 6" xfId="40930" xr:uid="{00000000-0005-0000-0000-0000E89F0000}"/>
    <cellStyle name="Note 3 4 2 7" xfId="40931" xr:uid="{00000000-0005-0000-0000-0000E99F0000}"/>
    <cellStyle name="Note 3 4 2 8" xfId="40932" xr:uid="{00000000-0005-0000-0000-0000EA9F0000}"/>
    <cellStyle name="Note 3 4 2 9" xfId="40933" xr:uid="{00000000-0005-0000-0000-0000EB9F0000}"/>
    <cellStyle name="Note 3 4 3" xfId="40934" xr:uid="{00000000-0005-0000-0000-0000EC9F0000}"/>
    <cellStyle name="Note 3 4 3 2" xfId="40935" xr:uid="{00000000-0005-0000-0000-0000ED9F0000}"/>
    <cellStyle name="Note 3 4 3 2 2" xfId="40936" xr:uid="{00000000-0005-0000-0000-0000EE9F0000}"/>
    <cellStyle name="Note 3 4 3 2 3" xfId="40937" xr:uid="{00000000-0005-0000-0000-0000EF9F0000}"/>
    <cellStyle name="Note 3 4 3 3" xfId="40938" xr:uid="{00000000-0005-0000-0000-0000F09F0000}"/>
    <cellStyle name="Note 3 4 3 4" xfId="40939" xr:uid="{00000000-0005-0000-0000-0000F19F0000}"/>
    <cellStyle name="Note 3 4 3 5" xfId="40940" xr:uid="{00000000-0005-0000-0000-0000F29F0000}"/>
    <cellStyle name="Note 3 4 3 6" xfId="40941" xr:uid="{00000000-0005-0000-0000-0000F39F0000}"/>
    <cellStyle name="Note 3 4 4" xfId="40942" xr:uid="{00000000-0005-0000-0000-0000F49F0000}"/>
    <cellStyle name="Note 3 4 4 2" xfId="40943" xr:uid="{00000000-0005-0000-0000-0000F59F0000}"/>
    <cellStyle name="Note 3 4 4 2 2" xfId="40944" xr:uid="{00000000-0005-0000-0000-0000F69F0000}"/>
    <cellStyle name="Note 3 4 4 3" xfId="40945" xr:uid="{00000000-0005-0000-0000-0000F79F0000}"/>
    <cellStyle name="Note 3 4 4 4" xfId="40946" xr:uid="{00000000-0005-0000-0000-0000F89F0000}"/>
    <cellStyle name="Note 3 4 4 5" xfId="40947" xr:uid="{00000000-0005-0000-0000-0000F99F0000}"/>
    <cellStyle name="Note 3 4 5" xfId="40948" xr:uid="{00000000-0005-0000-0000-0000FA9F0000}"/>
    <cellStyle name="Note 3 4 5 2" xfId="40949" xr:uid="{00000000-0005-0000-0000-0000FB9F0000}"/>
    <cellStyle name="Note 3 4 5 2 2" xfId="40950" xr:uid="{00000000-0005-0000-0000-0000FC9F0000}"/>
    <cellStyle name="Note 3 4 5 3" xfId="40951" xr:uid="{00000000-0005-0000-0000-0000FD9F0000}"/>
    <cellStyle name="Note 3 4 5 4" xfId="40952" xr:uid="{00000000-0005-0000-0000-0000FE9F0000}"/>
    <cellStyle name="Note 3 4 5 5" xfId="40953" xr:uid="{00000000-0005-0000-0000-0000FF9F0000}"/>
    <cellStyle name="Note 3 4 6" xfId="40954" xr:uid="{00000000-0005-0000-0000-000000A00000}"/>
    <cellStyle name="Note 3 4 6 2" xfId="40955" xr:uid="{00000000-0005-0000-0000-000001A00000}"/>
    <cellStyle name="Note 3 4 7" xfId="40956" xr:uid="{00000000-0005-0000-0000-000002A00000}"/>
    <cellStyle name="Note 3 4 8" xfId="40957" xr:uid="{00000000-0005-0000-0000-000003A00000}"/>
    <cellStyle name="Note 3 4 9" xfId="40958" xr:uid="{00000000-0005-0000-0000-000004A00000}"/>
    <cellStyle name="Note 3 5" xfId="40959" xr:uid="{00000000-0005-0000-0000-000005A00000}"/>
    <cellStyle name="Note 3 5 10" xfId="40960" xr:uid="{00000000-0005-0000-0000-000006A00000}"/>
    <cellStyle name="Note 3 5 2" xfId="40961" xr:uid="{00000000-0005-0000-0000-000007A00000}"/>
    <cellStyle name="Note 3 5 2 2" xfId="40962" xr:uid="{00000000-0005-0000-0000-000008A00000}"/>
    <cellStyle name="Note 3 5 2 2 2" xfId="40963" xr:uid="{00000000-0005-0000-0000-000009A00000}"/>
    <cellStyle name="Note 3 5 2 2 2 2" xfId="40964" xr:uid="{00000000-0005-0000-0000-00000AA00000}"/>
    <cellStyle name="Note 3 5 2 2 2 3" xfId="40965" xr:uid="{00000000-0005-0000-0000-00000BA00000}"/>
    <cellStyle name="Note 3 5 2 2 3" xfId="40966" xr:uid="{00000000-0005-0000-0000-00000CA00000}"/>
    <cellStyle name="Note 3 5 2 2 4" xfId="40967" xr:uid="{00000000-0005-0000-0000-00000DA00000}"/>
    <cellStyle name="Note 3 5 2 2 5" xfId="40968" xr:uid="{00000000-0005-0000-0000-00000EA00000}"/>
    <cellStyle name="Note 3 5 2 2 6" xfId="40969" xr:uid="{00000000-0005-0000-0000-00000FA00000}"/>
    <cellStyle name="Note 3 5 2 3" xfId="40970" xr:uid="{00000000-0005-0000-0000-000010A00000}"/>
    <cellStyle name="Note 3 5 2 3 2" xfId="40971" xr:uid="{00000000-0005-0000-0000-000011A00000}"/>
    <cellStyle name="Note 3 5 2 3 2 2" xfId="40972" xr:uid="{00000000-0005-0000-0000-000012A00000}"/>
    <cellStyle name="Note 3 5 2 3 3" xfId="40973" xr:uid="{00000000-0005-0000-0000-000013A00000}"/>
    <cellStyle name="Note 3 5 2 3 4" xfId="40974" xr:uid="{00000000-0005-0000-0000-000014A00000}"/>
    <cellStyle name="Note 3 5 2 3 5" xfId="40975" xr:uid="{00000000-0005-0000-0000-000015A00000}"/>
    <cellStyle name="Note 3 5 2 4" xfId="40976" xr:uid="{00000000-0005-0000-0000-000016A00000}"/>
    <cellStyle name="Note 3 5 2 4 2" xfId="40977" xr:uid="{00000000-0005-0000-0000-000017A00000}"/>
    <cellStyle name="Note 3 5 2 4 3" xfId="40978" xr:uid="{00000000-0005-0000-0000-000018A00000}"/>
    <cellStyle name="Note 3 5 2 4 4" xfId="40979" xr:uid="{00000000-0005-0000-0000-000019A00000}"/>
    <cellStyle name="Note 3 5 2 5" xfId="40980" xr:uid="{00000000-0005-0000-0000-00001AA00000}"/>
    <cellStyle name="Note 3 5 2 5 2" xfId="40981" xr:uid="{00000000-0005-0000-0000-00001BA00000}"/>
    <cellStyle name="Note 3 5 2 6" xfId="40982" xr:uid="{00000000-0005-0000-0000-00001CA00000}"/>
    <cellStyle name="Note 3 5 2 7" xfId="40983" xr:uid="{00000000-0005-0000-0000-00001DA00000}"/>
    <cellStyle name="Note 3 5 2 8" xfId="40984" xr:uid="{00000000-0005-0000-0000-00001EA00000}"/>
    <cellStyle name="Note 3 5 2 9" xfId="40985" xr:uid="{00000000-0005-0000-0000-00001FA00000}"/>
    <cellStyle name="Note 3 5 3" xfId="40986" xr:uid="{00000000-0005-0000-0000-000020A00000}"/>
    <cellStyle name="Note 3 5 3 2" xfId="40987" xr:uid="{00000000-0005-0000-0000-000021A00000}"/>
    <cellStyle name="Note 3 5 3 2 2" xfId="40988" xr:uid="{00000000-0005-0000-0000-000022A00000}"/>
    <cellStyle name="Note 3 5 3 2 3" xfId="40989" xr:uid="{00000000-0005-0000-0000-000023A00000}"/>
    <cellStyle name="Note 3 5 3 3" xfId="40990" xr:uid="{00000000-0005-0000-0000-000024A00000}"/>
    <cellStyle name="Note 3 5 3 4" xfId="40991" xr:uid="{00000000-0005-0000-0000-000025A00000}"/>
    <cellStyle name="Note 3 5 3 5" xfId="40992" xr:uid="{00000000-0005-0000-0000-000026A00000}"/>
    <cellStyle name="Note 3 5 3 6" xfId="40993" xr:uid="{00000000-0005-0000-0000-000027A00000}"/>
    <cellStyle name="Note 3 5 4" xfId="40994" xr:uid="{00000000-0005-0000-0000-000028A00000}"/>
    <cellStyle name="Note 3 5 4 2" xfId="40995" xr:uid="{00000000-0005-0000-0000-000029A00000}"/>
    <cellStyle name="Note 3 5 4 2 2" xfId="40996" xr:uid="{00000000-0005-0000-0000-00002AA00000}"/>
    <cellStyle name="Note 3 5 4 3" xfId="40997" xr:uid="{00000000-0005-0000-0000-00002BA00000}"/>
    <cellStyle name="Note 3 5 4 4" xfId="40998" xr:uid="{00000000-0005-0000-0000-00002CA00000}"/>
    <cellStyle name="Note 3 5 4 5" xfId="40999" xr:uid="{00000000-0005-0000-0000-00002DA00000}"/>
    <cellStyle name="Note 3 5 5" xfId="41000" xr:uid="{00000000-0005-0000-0000-00002EA00000}"/>
    <cellStyle name="Note 3 5 5 2" xfId="41001" xr:uid="{00000000-0005-0000-0000-00002FA00000}"/>
    <cellStyle name="Note 3 5 5 2 2" xfId="41002" xr:uid="{00000000-0005-0000-0000-000030A00000}"/>
    <cellStyle name="Note 3 5 5 3" xfId="41003" xr:uid="{00000000-0005-0000-0000-000031A00000}"/>
    <cellStyle name="Note 3 5 5 4" xfId="41004" xr:uid="{00000000-0005-0000-0000-000032A00000}"/>
    <cellStyle name="Note 3 5 5 5" xfId="41005" xr:uid="{00000000-0005-0000-0000-000033A00000}"/>
    <cellStyle name="Note 3 5 6" xfId="41006" xr:uid="{00000000-0005-0000-0000-000034A00000}"/>
    <cellStyle name="Note 3 5 6 2" xfId="41007" xr:uid="{00000000-0005-0000-0000-000035A00000}"/>
    <cellStyle name="Note 3 5 7" xfId="41008" xr:uid="{00000000-0005-0000-0000-000036A00000}"/>
    <cellStyle name="Note 3 5 8" xfId="41009" xr:uid="{00000000-0005-0000-0000-000037A00000}"/>
    <cellStyle name="Note 3 5 9" xfId="41010" xr:uid="{00000000-0005-0000-0000-000038A00000}"/>
    <cellStyle name="Note 3 6" xfId="41011" xr:uid="{00000000-0005-0000-0000-000039A00000}"/>
    <cellStyle name="Note 3 6 10" xfId="41012" xr:uid="{00000000-0005-0000-0000-00003AA00000}"/>
    <cellStyle name="Note 3 6 2" xfId="41013" xr:uid="{00000000-0005-0000-0000-00003BA00000}"/>
    <cellStyle name="Note 3 6 2 2" xfId="41014" xr:uid="{00000000-0005-0000-0000-00003CA00000}"/>
    <cellStyle name="Note 3 6 2 2 2" xfId="41015" xr:uid="{00000000-0005-0000-0000-00003DA00000}"/>
    <cellStyle name="Note 3 6 2 2 2 2" xfId="41016" xr:uid="{00000000-0005-0000-0000-00003EA00000}"/>
    <cellStyle name="Note 3 6 2 2 2 3" xfId="41017" xr:uid="{00000000-0005-0000-0000-00003FA00000}"/>
    <cellStyle name="Note 3 6 2 2 3" xfId="41018" xr:uid="{00000000-0005-0000-0000-000040A00000}"/>
    <cellStyle name="Note 3 6 2 2 4" xfId="41019" xr:uid="{00000000-0005-0000-0000-000041A00000}"/>
    <cellStyle name="Note 3 6 2 2 5" xfId="41020" xr:uid="{00000000-0005-0000-0000-000042A00000}"/>
    <cellStyle name="Note 3 6 2 2 6" xfId="41021" xr:uid="{00000000-0005-0000-0000-000043A00000}"/>
    <cellStyle name="Note 3 6 2 3" xfId="41022" xr:uid="{00000000-0005-0000-0000-000044A00000}"/>
    <cellStyle name="Note 3 6 2 3 2" xfId="41023" xr:uid="{00000000-0005-0000-0000-000045A00000}"/>
    <cellStyle name="Note 3 6 2 3 2 2" xfId="41024" xr:uid="{00000000-0005-0000-0000-000046A00000}"/>
    <cellStyle name="Note 3 6 2 3 3" xfId="41025" xr:uid="{00000000-0005-0000-0000-000047A00000}"/>
    <cellStyle name="Note 3 6 2 3 4" xfId="41026" xr:uid="{00000000-0005-0000-0000-000048A00000}"/>
    <cellStyle name="Note 3 6 2 3 5" xfId="41027" xr:uid="{00000000-0005-0000-0000-000049A00000}"/>
    <cellStyle name="Note 3 6 2 4" xfId="41028" xr:uid="{00000000-0005-0000-0000-00004AA00000}"/>
    <cellStyle name="Note 3 6 2 4 2" xfId="41029" xr:uid="{00000000-0005-0000-0000-00004BA00000}"/>
    <cellStyle name="Note 3 6 2 4 3" xfId="41030" xr:uid="{00000000-0005-0000-0000-00004CA00000}"/>
    <cellStyle name="Note 3 6 2 4 4" xfId="41031" xr:uid="{00000000-0005-0000-0000-00004DA00000}"/>
    <cellStyle name="Note 3 6 2 5" xfId="41032" xr:uid="{00000000-0005-0000-0000-00004EA00000}"/>
    <cellStyle name="Note 3 6 2 5 2" xfId="41033" xr:uid="{00000000-0005-0000-0000-00004FA00000}"/>
    <cellStyle name="Note 3 6 2 6" xfId="41034" xr:uid="{00000000-0005-0000-0000-000050A00000}"/>
    <cellStyle name="Note 3 6 2 7" xfId="41035" xr:uid="{00000000-0005-0000-0000-000051A00000}"/>
    <cellStyle name="Note 3 6 2 8" xfId="41036" xr:uid="{00000000-0005-0000-0000-000052A00000}"/>
    <cellStyle name="Note 3 6 2 9" xfId="41037" xr:uid="{00000000-0005-0000-0000-000053A00000}"/>
    <cellStyle name="Note 3 6 3" xfId="41038" xr:uid="{00000000-0005-0000-0000-000054A00000}"/>
    <cellStyle name="Note 3 6 3 2" xfId="41039" xr:uid="{00000000-0005-0000-0000-000055A00000}"/>
    <cellStyle name="Note 3 6 3 2 2" xfId="41040" xr:uid="{00000000-0005-0000-0000-000056A00000}"/>
    <cellStyle name="Note 3 6 3 2 3" xfId="41041" xr:uid="{00000000-0005-0000-0000-000057A00000}"/>
    <cellStyle name="Note 3 6 3 3" xfId="41042" xr:uid="{00000000-0005-0000-0000-000058A00000}"/>
    <cellStyle name="Note 3 6 3 4" xfId="41043" xr:uid="{00000000-0005-0000-0000-000059A00000}"/>
    <cellStyle name="Note 3 6 3 5" xfId="41044" xr:uid="{00000000-0005-0000-0000-00005AA00000}"/>
    <cellStyle name="Note 3 6 3 6" xfId="41045" xr:uid="{00000000-0005-0000-0000-00005BA00000}"/>
    <cellStyle name="Note 3 6 4" xfId="41046" xr:uid="{00000000-0005-0000-0000-00005CA00000}"/>
    <cellStyle name="Note 3 6 4 2" xfId="41047" xr:uid="{00000000-0005-0000-0000-00005DA00000}"/>
    <cellStyle name="Note 3 6 4 2 2" xfId="41048" xr:uid="{00000000-0005-0000-0000-00005EA00000}"/>
    <cellStyle name="Note 3 6 4 3" xfId="41049" xr:uid="{00000000-0005-0000-0000-00005FA00000}"/>
    <cellStyle name="Note 3 6 4 4" xfId="41050" xr:uid="{00000000-0005-0000-0000-000060A00000}"/>
    <cellStyle name="Note 3 6 4 5" xfId="41051" xr:uid="{00000000-0005-0000-0000-000061A00000}"/>
    <cellStyle name="Note 3 6 5" xfId="41052" xr:uid="{00000000-0005-0000-0000-000062A00000}"/>
    <cellStyle name="Note 3 6 5 2" xfId="41053" xr:uid="{00000000-0005-0000-0000-000063A00000}"/>
    <cellStyle name="Note 3 6 5 2 2" xfId="41054" xr:uid="{00000000-0005-0000-0000-000064A00000}"/>
    <cellStyle name="Note 3 6 5 3" xfId="41055" xr:uid="{00000000-0005-0000-0000-000065A00000}"/>
    <cellStyle name="Note 3 6 5 4" xfId="41056" xr:uid="{00000000-0005-0000-0000-000066A00000}"/>
    <cellStyle name="Note 3 6 5 5" xfId="41057" xr:uid="{00000000-0005-0000-0000-000067A00000}"/>
    <cellStyle name="Note 3 6 6" xfId="41058" xr:uid="{00000000-0005-0000-0000-000068A00000}"/>
    <cellStyle name="Note 3 6 6 2" xfId="41059" xr:uid="{00000000-0005-0000-0000-000069A00000}"/>
    <cellStyle name="Note 3 6 7" xfId="41060" xr:uid="{00000000-0005-0000-0000-00006AA00000}"/>
    <cellStyle name="Note 3 6 8" xfId="41061" xr:uid="{00000000-0005-0000-0000-00006BA00000}"/>
    <cellStyle name="Note 3 6 9" xfId="41062" xr:uid="{00000000-0005-0000-0000-00006CA00000}"/>
    <cellStyle name="Note 3 7" xfId="41063" xr:uid="{00000000-0005-0000-0000-00006DA00000}"/>
    <cellStyle name="Note 3 7 10" xfId="41064" xr:uid="{00000000-0005-0000-0000-00006EA00000}"/>
    <cellStyle name="Note 3 7 2" xfId="41065" xr:uid="{00000000-0005-0000-0000-00006FA00000}"/>
    <cellStyle name="Note 3 7 2 2" xfId="41066" xr:uid="{00000000-0005-0000-0000-000070A00000}"/>
    <cellStyle name="Note 3 7 2 2 2" xfId="41067" xr:uid="{00000000-0005-0000-0000-000071A00000}"/>
    <cellStyle name="Note 3 7 2 2 2 2" xfId="41068" xr:uid="{00000000-0005-0000-0000-000072A00000}"/>
    <cellStyle name="Note 3 7 2 2 2 3" xfId="41069" xr:uid="{00000000-0005-0000-0000-000073A00000}"/>
    <cellStyle name="Note 3 7 2 2 3" xfId="41070" xr:uid="{00000000-0005-0000-0000-000074A00000}"/>
    <cellStyle name="Note 3 7 2 2 4" xfId="41071" xr:uid="{00000000-0005-0000-0000-000075A00000}"/>
    <cellStyle name="Note 3 7 2 2 5" xfId="41072" xr:uid="{00000000-0005-0000-0000-000076A00000}"/>
    <cellStyle name="Note 3 7 2 2 6" xfId="41073" xr:uid="{00000000-0005-0000-0000-000077A00000}"/>
    <cellStyle name="Note 3 7 2 3" xfId="41074" xr:uid="{00000000-0005-0000-0000-000078A00000}"/>
    <cellStyle name="Note 3 7 2 3 2" xfId="41075" xr:uid="{00000000-0005-0000-0000-000079A00000}"/>
    <cellStyle name="Note 3 7 2 3 2 2" xfId="41076" xr:uid="{00000000-0005-0000-0000-00007AA00000}"/>
    <cellStyle name="Note 3 7 2 3 3" xfId="41077" xr:uid="{00000000-0005-0000-0000-00007BA00000}"/>
    <cellStyle name="Note 3 7 2 3 4" xfId="41078" xr:uid="{00000000-0005-0000-0000-00007CA00000}"/>
    <cellStyle name="Note 3 7 2 3 5" xfId="41079" xr:uid="{00000000-0005-0000-0000-00007DA00000}"/>
    <cellStyle name="Note 3 7 2 4" xfId="41080" xr:uid="{00000000-0005-0000-0000-00007EA00000}"/>
    <cellStyle name="Note 3 7 2 4 2" xfId="41081" xr:uid="{00000000-0005-0000-0000-00007FA00000}"/>
    <cellStyle name="Note 3 7 2 4 3" xfId="41082" xr:uid="{00000000-0005-0000-0000-000080A00000}"/>
    <cellStyle name="Note 3 7 2 4 4" xfId="41083" xr:uid="{00000000-0005-0000-0000-000081A00000}"/>
    <cellStyle name="Note 3 7 2 5" xfId="41084" xr:uid="{00000000-0005-0000-0000-000082A00000}"/>
    <cellStyle name="Note 3 7 2 5 2" xfId="41085" xr:uid="{00000000-0005-0000-0000-000083A00000}"/>
    <cellStyle name="Note 3 7 2 6" xfId="41086" xr:uid="{00000000-0005-0000-0000-000084A00000}"/>
    <cellStyle name="Note 3 7 2 7" xfId="41087" xr:uid="{00000000-0005-0000-0000-000085A00000}"/>
    <cellStyle name="Note 3 7 2 8" xfId="41088" xr:uid="{00000000-0005-0000-0000-000086A00000}"/>
    <cellStyle name="Note 3 7 2 9" xfId="41089" xr:uid="{00000000-0005-0000-0000-000087A00000}"/>
    <cellStyle name="Note 3 7 3" xfId="41090" xr:uid="{00000000-0005-0000-0000-000088A00000}"/>
    <cellStyle name="Note 3 7 3 2" xfId="41091" xr:uid="{00000000-0005-0000-0000-000089A00000}"/>
    <cellStyle name="Note 3 7 3 2 2" xfId="41092" xr:uid="{00000000-0005-0000-0000-00008AA00000}"/>
    <cellStyle name="Note 3 7 3 2 3" xfId="41093" xr:uid="{00000000-0005-0000-0000-00008BA00000}"/>
    <cellStyle name="Note 3 7 3 3" xfId="41094" xr:uid="{00000000-0005-0000-0000-00008CA00000}"/>
    <cellStyle name="Note 3 7 3 4" xfId="41095" xr:uid="{00000000-0005-0000-0000-00008DA00000}"/>
    <cellStyle name="Note 3 7 3 5" xfId="41096" xr:uid="{00000000-0005-0000-0000-00008EA00000}"/>
    <cellStyle name="Note 3 7 3 6" xfId="41097" xr:uid="{00000000-0005-0000-0000-00008FA00000}"/>
    <cellStyle name="Note 3 7 4" xfId="41098" xr:uid="{00000000-0005-0000-0000-000090A00000}"/>
    <cellStyle name="Note 3 7 4 2" xfId="41099" xr:uid="{00000000-0005-0000-0000-000091A00000}"/>
    <cellStyle name="Note 3 7 4 2 2" xfId="41100" xr:uid="{00000000-0005-0000-0000-000092A00000}"/>
    <cellStyle name="Note 3 7 4 3" xfId="41101" xr:uid="{00000000-0005-0000-0000-000093A00000}"/>
    <cellStyle name="Note 3 7 4 4" xfId="41102" xr:uid="{00000000-0005-0000-0000-000094A00000}"/>
    <cellStyle name="Note 3 7 4 5" xfId="41103" xr:uid="{00000000-0005-0000-0000-000095A00000}"/>
    <cellStyle name="Note 3 7 5" xfId="41104" xr:uid="{00000000-0005-0000-0000-000096A00000}"/>
    <cellStyle name="Note 3 7 5 2" xfId="41105" xr:uid="{00000000-0005-0000-0000-000097A00000}"/>
    <cellStyle name="Note 3 7 5 2 2" xfId="41106" xr:uid="{00000000-0005-0000-0000-000098A00000}"/>
    <cellStyle name="Note 3 7 5 3" xfId="41107" xr:uid="{00000000-0005-0000-0000-000099A00000}"/>
    <cellStyle name="Note 3 7 5 4" xfId="41108" xr:uid="{00000000-0005-0000-0000-00009AA00000}"/>
    <cellStyle name="Note 3 7 5 5" xfId="41109" xr:uid="{00000000-0005-0000-0000-00009BA00000}"/>
    <cellStyle name="Note 3 7 6" xfId="41110" xr:uid="{00000000-0005-0000-0000-00009CA00000}"/>
    <cellStyle name="Note 3 7 6 2" xfId="41111" xr:uid="{00000000-0005-0000-0000-00009DA00000}"/>
    <cellStyle name="Note 3 7 7" xfId="41112" xr:uid="{00000000-0005-0000-0000-00009EA00000}"/>
    <cellStyle name="Note 3 7 8" xfId="41113" xr:uid="{00000000-0005-0000-0000-00009FA00000}"/>
    <cellStyle name="Note 3 7 9" xfId="41114" xr:uid="{00000000-0005-0000-0000-0000A0A00000}"/>
    <cellStyle name="Note 3 8" xfId="41115" xr:uid="{00000000-0005-0000-0000-0000A1A00000}"/>
    <cellStyle name="Note 3 8 10" xfId="41116" xr:uid="{00000000-0005-0000-0000-0000A2A00000}"/>
    <cellStyle name="Note 3 8 2" xfId="41117" xr:uid="{00000000-0005-0000-0000-0000A3A00000}"/>
    <cellStyle name="Note 3 8 2 2" xfId="41118" xr:uid="{00000000-0005-0000-0000-0000A4A00000}"/>
    <cellStyle name="Note 3 8 2 2 2" xfId="41119" xr:uid="{00000000-0005-0000-0000-0000A5A00000}"/>
    <cellStyle name="Note 3 8 2 2 2 2" xfId="41120" xr:uid="{00000000-0005-0000-0000-0000A6A00000}"/>
    <cellStyle name="Note 3 8 2 2 2 3" xfId="41121" xr:uid="{00000000-0005-0000-0000-0000A7A00000}"/>
    <cellStyle name="Note 3 8 2 2 3" xfId="41122" xr:uid="{00000000-0005-0000-0000-0000A8A00000}"/>
    <cellStyle name="Note 3 8 2 2 4" xfId="41123" xr:uid="{00000000-0005-0000-0000-0000A9A00000}"/>
    <cellStyle name="Note 3 8 2 2 5" xfId="41124" xr:uid="{00000000-0005-0000-0000-0000AAA00000}"/>
    <cellStyle name="Note 3 8 2 2 6" xfId="41125" xr:uid="{00000000-0005-0000-0000-0000ABA00000}"/>
    <cellStyle name="Note 3 8 2 3" xfId="41126" xr:uid="{00000000-0005-0000-0000-0000ACA00000}"/>
    <cellStyle name="Note 3 8 2 3 2" xfId="41127" xr:uid="{00000000-0005-0000-0000-0000ADA00000}"/>
    <cellStyle name="Note 3 8 2 3 2 2" xfId="41128" xr:uid="{00000000-0005-0000-0000-0000AEA00000}"/>
    <cellStyle name="Note 3 8 2 3 3" xfId="41129" xr:uid="{00000000-0005-0000-0000-0000AFA00000}"/>
    <cellStyle name="Note 3 8 2 3 4" xfId="41130" xr:uid="{00000000-0005-0000-0000-0000B0A00000}"/>
    <cellStyle name="Note 3 8 2 3 5" xfId="41131" xr:uid="{00000000-0005-0000-0000-0000B1A00000}"/>
    <cellStyle name="Note 3 8 2 4" xfId="41132" xr:uid="{00000000-0005-0000-0000-0000B2A00000}"/>
    <cellStyle name="Note 3 8 2 4 2" xfId="41133" xr:uid="{00000000-0005-0000-0000-0000B3A00000}"/>
    <cellStyle name="Note 3 8 2 4 3" xfId="41134" xr:uid="{00000000-0005-0000-0000-0000B4A00000}"/>
    <cellStyle name="Note 3 8 2 4 4" xfId="41135" xr:uid="{00000000-0005-0000-0000-0000B5A00000}"/>
    <cellStyle name="Note 3 8 2 5" xfId="41136" xr:uid="{00000000-0005-0000-0000-0000B6A00000}"/>
    <cellStyle name="Note 3 8 2 5 2" xfId="41137" xr:uid="{00000000-0005-0000-0000-0000B7A00000}"/>
    <cellStyle name="Note 3 8 2 6" xfId="41138" xr:uid="{00000000-0005-0000-0000-0000B8A00000}"/>
    <cellStyle name="Note 3 8 2 7" xfId="41139" xr:uid="{00000000-0005-0000-0000-0000B9A00000}"/>
    <cellStyle name="Note 3 8 2 8" xfId="41140" xr:uid="{00000000-0005-0000-0000-0000BAA00000}"/>
    <cellStyle name="Note 3 8 2 9" xfId="41141" xr:uid="{00000000-0005-0000-0000-0000BBA00000}"/>
    <cellStyle name="Note 3 8 3" xfId="41142" xr:uid="{00000000-0005-0000-0000-0000BCA00000}"/>
    <cellStyle name="Note 3 8 3 2" xfId="41143" xr:uid="{00000000-0005-0000-0000-0000BDA00000}"/>
    <cellStyle name="Note 3 8 3 2 2" xfId="41144" xr:uid="{00000000-0005-0000-0000-0000BEA00000}"/>
    <cellStyle name="Note 3 8 3 2 3" xfId="41145" xr:uid="{00000000-0005-0000-0000-0000BFA00000}"/>
    <cellStyle name="Note 3 8 3 3" xfId="41146" xr:uid="{00000000-0005-0000-0000-0000C0A00000}"/>
    <cellStyle name="Note 3 8 3 4" xfId="41147" xr:uid="{00000000-0005-0000-0000-0000C1A00000}"/>
    <cellStyle name="Note 3 8 3 5" xfId="41148" xr:uid="{00000000-0005-0000-0000-0000C2A00000}"/>
    <cellStyle name="Note 3 8 3 6" xfId="41149" xr:uid="{00000000-0005-0000-0000-0000C3A00000}"/>
    <cellStyle name="Note 3 8 4" xfId="41150" xr:uid="{00000000-0005-0000-0000-0000C4A00000}"/>
    <cellStyle name="Note 3 8 4 2" xfId="41151" xr:uid="{00000000-0005-0000-0000-0000C5A00000}"/>
    <cellStyle name="Note 3 8 4 2 2" xfId="41152" xr:uid="{00000000-0005-0000-0000-0000C6A00000}"/>
    <cellStyle name="Note 3 8 4 3" xfId="41153" xr:uid="{00000000-0005-0000-0000-0000C7A00000}"/>
    <cellStyle name="Note 3 8 4 4" xfId="41154" xr:uid="{00000000-0005-0000-0000-0000C8A00000}"/>
    <cellStyle name="Note 3 8 4 5" xfId="41155" xr:uid="{00000000-0005-0000-0000-0000C9A00000}"/>
    <cellStyle name="Note 3 8 5" xfId="41156" xr:uid="{00000000-0005-0000-0000-0000CAA00000}"/>
    <cellStyle name="Note 3 8 5 2" xfId="41157" xr:uid="{00000000-0005-0000-0000-0000CBA00000}"/>
    <cellStyle name="Note 3 8 5 2 2" xfId="41158" xr:uid="{00000000-0005-0000-0000-0000CCA00000}"/>
    <cellStyle name="Note 3 8 5 3" xfId="41159" xr:uid="{00000000-0005-0000-0000-0000CDA00000}"/>
    <cellStyle name="Note 3 8 5 4" xfId="41160" xr:uid="{00000000-0005-0000-0000-0000CEA00000}"/>
    <cellStyle name="Note 3 8 5 5" xfId="41161" xr:uid="{00000000-0005-0000-0000-0000CFA00000}"/>
    <cellStyle name="Note 3 8 6" xfId="41162" xr:uid="{00000000-0005-0000-0000-0000D0A00000}"/>
    <cellStyle name="Note 3 8 6 2" xfId="41163" xr:uid="{00000000-0005-0000-0000-0000D1A00000}"/>
    <cellStyle name="Note 3 8 7" xfId="41164" xr:uid="{00000000-0005-0000-0000-0000D2A00000}"/>
    <cellStyle name="Note 3 8 8" xfId="41165" xr:uid="{00000000-0005-0000-0000-0000D3A00000}"/>
    <cellStyle name="Note 3 8 9" xfId="41166" xr:uid="{00000000-0005-0000-0000-0000D4A00000}"/>
    <cellStyle name="Note 3 9" xfId="41167" xr:uid="{00000000-0005-0000-0000-0000D5A00000}"/>
    <cellStyle name="Note 3 9 10" xfId="41168" xr:uid="{00000000-0005-0000-0000-0000D6A00000}"/>
    <cellStyle name="Note 3 9 2" xfId="41169" xr:uid="{00000000-0005-0000-0000-0000D7A00000}"/>
    <cellStyle name="Note 3 9 2 2" xfId="41170" xr:uid="{00000000-0005-0000-0000-0000D8A00000}"/>
    <cellStyle name="Note 3 9 2 2 2" xfId="41171" xr:uid="{00000000-0005-0000-0000-0000D9A00000}"/>
    <cellStyle name="Note 3 9 2 2 2 2" xfId="41172" xr:uid="{00000000-0005-0000-0000-0000DAA00000}"/>
    <cellStyle name="Note 3 9 2 2 2 3" xfId="41173" xr:uid="{00000000-0005-0000-0000-0000DBA00000}"/>
    <cellStyle name="Note 3 9 2 2 3" xfId="41174" xr:uid="{00000000-0005-0000-0000-0000DCA00000}"/>
    <cellStyle name="Note 3 9 2 2 4" xfId="41175" xr:uid="{00000000-0005-0000-0000-0000DDA00000}"/>
    <cellStyle name="Note 3 9 2 2 5" xfId="41176" xr:uid="{00000000-0005-0000-0000-0000DEA00000}"/>
    <cellStyle name="Note 3 9 2 2 6" xfId="41177" xr:uid="{00000000-0005-0000-0000-0000DFA00000}"/>
    <cellStyle name="Note 3 9 2 3" xfId="41178" xr:uid="{00000000-0005-0000-0000-0000E0A00000}"/>
    <cellStyle name="Note 3 9 2 3 2" xfId="41179" xr:uid="{00000000-0005-0000-0000-0000E1A00000}"/>
    <cellStyle name="Note 3 9 2 3 2 2" xfId="41180" xr:uid="{00000000-0005-0000-0000-0000E2A00000}"/>
    <cellStyle name="Note 3 9 2 3 3" xfId="41181" xr:uid="{00000000-0005-0000-0000-0000E3A00000}"/>
    <cellStyle name="Note 3 9 2 3 4" xfId="41182" xr:uid="{00000000-0005-0000-0000-0000E4A00000}"/>
    <cellStyle name="Note 3 9 2 3 5" xfId="41183" xr:uid="{00000000-0005-0000-0000-0000E5A00000}"/>
    <cellStyle name="Note 3 9 2 4" xfId="41184" xr:uid="{00000000-0005-0000-0000-0000E6A00000}"/>
    <cellStyle name="Note 3 9 2 4 2" xfId="41185" xr:uid="{00000000-0005-0000-0000-0000E7A00000}"/>
    <cellStyle name="Note 3 9 2 4 3" xfId="41186" xr:uid="{00000000-0005-0000-0000-0000E8A00000}"/>
    <cellStyle name="Note 3 9 2 4 4" xfId="41187" xr:uid="{00000000-0005-0000-0000-0000E9A00000}"/>
    <cellStyle name="Note 3 9 2 5" xfId="41188" xr:uid="{00000000-0005-0000-0000-0000EAA00000}"/>
    <cellStyle name="Note 3 9 2 5 2" xfId="41189" xr:uid="{00000000-0005-0000-0000-0000EBA00000}"/>
    <cellStyle name="Note 3 9 2 6" xfId="41190" xr:uid="{00000000-0005-0000-0000-0000ECA00000}"/>
    <cellStyle name="Note 3 9 2 7" xfId="41191" xr:uid="{00000000-0005-0000-0000-0000EDA00000}"/>
    <cellStyle name="Note 3 9 2 8" xfId="41192" xr:uid="{00000000-0005-0000-0000-0000EEA00000}"/>
    <cellStyle name="Note 3 9 2 9" xfId="41193" xr:uid="{00000000-0005-0000-0000-0000EFA00000}"/>
    <cellStyle name="Note 3 9 3" xfId="41194" xr:uid="{00000000-0005-0000-0000-0000F0A00000}"/>
    <cellStyle name="Note 3 9 3 2" xfId="41195" xr:uid="{00000000-0005-0000-0000-0000F1A00000}"/>
    <cellStyle name="Note 3 9 3 2 2" xfId="41196" xr:uid="{00000000-0005-0000-0000-0000F2A00000}"/>
    <cellStyle name="Note 3 9 3 2 3" xfId="41197" xr:uid="{00000000-0005-0000-0000-0000F3A00000}"/>
    <cellStyle name="Note 3 9 3 3" xfId="41198" xr:uid="{00000000-0005-0000-0000-0000F4A00000}"/>
    <cellStyle name="Note 3 9 3 4" xfId="41199" xr:uid="{00000000-0005-0000-0000-0000F5A00000}"/>
    <cellStyle name="Note 3 9 3 5" xfId="41200" xr:uid="{00000000-0005-0000-0000-0000F6A00000}"/>
    <cellStyle name="Note 3 9 3 6" xfId="41201" xr:uid="{00000000-0005-0000-0000-0000F7A00000}"/>
    <cellStyle name="Note 3 9 4" xfId="41202" xr:uid="{00000000-0005-0000-0000-0000F8A00000}"/>
    <cellStyle name="Note 3 9 4 2" xfId="41203" xr:uid="{00000000-0005-0000-0000-0000F9A00000}"/>
    <cellStyle name="Note 3 9 4 2 2" xfId="41204" xr:uid="{00000000-0005-0000-0000-0000FAA00000}"/>
    <cellStyle name="Note 3 9 4 3" xfId="41205" xr:uid="{00000000-0005-0000-0000-0000FBA00000}"/>
    <cellStyle name="Note 3 9 4 4" xfId="41206" xr:uid="{00000000-0005-0000-0000-0000FCA00000}"/>
    <cellStyle name="Note 3 9 4 5" xfId="41207" xr:uid="{00000000-0005-0000-0000-0000FDA00000}"/>
    <cellStyle name="Note 3 9 5" xfId="41208" xr:uid="{00000000-0005-0000-0000-0000FEA00000}"/>
    <cellStyle name="Note 3 9 5 2" xfId="41209" xr:uid="{00000000-0005-0000-0000-0000FFA00000}"/>
    <cellStyle name="Note 3 9 5 3" xfId="41210" xr:uid="{00000000-0005-0000-0000-000000A10000}"/>
    <cellStyle name="Note 3 9 5 4" xfId="41211" xr:uid="{00000000-0005-0000-0000-000001A10000}"/>
    <cellStyle name="Note 3 9 6" xfId="41212" xr:uid="{00000000-0005-0000-0000-000002A10000}"/>
    <cellStyle name="Note 3 9 6 2" xfId="41213" xr:uid="{00000000-0005-0000-0000-000003A10000}"/>
    <cellStyle name="Note 3 9 7" xfId="41214" xr:uid="{00000000-0005-0000-0000-000004A10000}"/>
    <cellStyle name="Note 3 9 8" xfId="41215" xr:uid="{00000000-0005-0000-0000-000005A10000}"/>
    <cellStyle name="Note 3 9 9" xfId="41216" xr:uid="{00000000-0005-0000-0000-000006A10000}"/>
    <cellStyle name="Note 4" xfId="41217" xr:uid="{00000000-0005-0000-0000-000007A10000}"/>
    <cellStyle name="Note 4 10" xfId="41218" xr:uid="{00000000-0005-0000-0000-000008A10000}"/>
    <cellStyle name="Note 4 10 2" xfId="41219" xr:uid="{00000000-0005-0000-0000-000009A10000}"/>
    <cellStyle name="Note 4 10 2 2" xfId="41220" xr:uid="{00000000-0005-0000-0000-00000AA10000}"/>
    <cellStyle name="Note 4 10 2 2 2" xfId="41221" xr:uid="{00000000-0005-0000-0000-00000BA10000}"/>
    <cellStyle name="Note 4 10 2 2 3" xfId="41222" xr:uid="{00000000-0005-0000-0000-00000CA10000}"/>
    <cellStyle name="Note 4 10 2 3" xfId="41223" xr:uid="{00000000-0005-0000-0000-00000DA10000}"/>
    <cellStyle name="Note 4 10 2 4" xfId="41224" xr:uid="{00000000-0005-0000-0000-00000EA10000}"/>
    <cellStyle name="Note 4 10 2 5" xfId="41225" xr:uid="{00000000-0005-0000-0000-00000FA10000}"/>
    <cellStyle name="Note 4 10 2 6" xfId="41226" xr:uid="{00000000-0005-0000-0000-000010A10000}"/>
    <cellStyle name="Note 4 10 3" xfId="41227" xr:uid="{00000000-0005-0000-0000-000011A10000}"/>
    <cellStyle name="Note 4 10 3 2" xfId="41228" xr:uid="{00000000-0005-0000-0000-000012A10000}"/>
    <cellStyle name="Note 4 10 3 2 2" xfId="41229" xr:uid="{00000000-0005-0000-0000-000013A10000}"/>
    <cellStyle name="Note 4 10 3 3" xfId="41230" xr:uid="{00000000-0005-0000-0000-000014A10000}"/>
    <cellStyle name="Note 4 10 3 4" xfId="41231" xr:uid="{00000000-0005-0000-0000-000015A10000}"/>
    <cellStyle name="Note 4 10 3 5" xfId="41232" xr:uid="{00000000-0005-0000-0000-000016A10000}"/>
    <cellStyle name="Note 4 10 4" xfId="41233" xr:uid="{00000000-0005-0000-0000-000017A10000}"/>
    <cellStyle name="Note 4 10 4 2" xfId="41234" xr:uid="{00000000-0005-0000-0000-000018A10000}"/>
    <cellStyle name="Note 4 10 4 3" xfId="41235" xr:uid="{00000000-0005-0000-0000-000019A10000}"/>
    <cellStyle name="Note 4 10 4 4" xfId="41236" xr:uid="{00000000-0005-0000-0000-00001AA10000}"/>
    <cellStyle name="Note 4 10 5" xfId="41237" xr:uid="{00000000-0005-0000-0000-00001BA10000}"/>
    <cellStyle name="Note 4 10 5 2" xfId="41238" xr:uid="{00000000-0005-0000-0000-00001CA10000}"/>
    <cellStyle name="Note 4 10 6" xfId="41239" xr:uid="{00000000-0005-0000-0000-00001DA10000}"/>
    <cellStyle name="Note 4 10 7" xfId="41240" xr:uid="{00000000-0005-0000-0000-00001EA10000}"/>
    <cellStyle name="Note 4 10 8" xfId="41241" xr:uid="{00000000-0005-0000-0000-00001FA10000}"/>
    <cellStyle name="Note 4 10 9" xfId="41242" xr:uid="{00000000-0005-0000-0000-000020A10000}"/>
    <cellStyle name="Note 4 11" xfId="41243" xr:uid="{00000000-0005-0000-0000-000021A10000}"/>
    <cellStyle name="Note 4 11 2" xfId="41244" xr:uid="{00000000-0005-0000-0000-000022A10000}"/>
    <cellStyle name="Note 4 11 2 2" xfId="41245" xr:uid="{00000000-0005-0000-0000-000023A10000}"/>
    <cellStyle name="Note 4 11 2 3" xfId="41246" xr:uid="{00000000-0005-0000-0000-000024A10000}"/>
    <cellStyle name="Note 4 11 3" xfId="41247" xr:uid="{00000000-0005-0000-0000-000025A10000}"/>
    <cellStyle name="Note 4 11 4" xfId="41248" xr:uid="{00000000-0005-0000-0000-000026A10000}"/>
    <cellStyle name="Note 4 11 5" xfId="41249" xr:uid="{00000000-0005-0000-0000-000027A10000}"/>
    <cellStyle name="Note 4 11 6" xfId="41250" xr:uid="{00000000-0005-0000-0000-000028A10000}"/>
    <cellStyle name="Note 4 12" xfId="41251" xr:uid="{00000000-0005-0000-0000-000029A10000}"/>
    <cellStyle name="Note 4 12 2" xfId="41252" xr:uid="{00000000-0005-0000-0000-00002AA10000}"/>
    <cellStyle name="Note 4 12 2 2" xfId="41253" xr:uid="{00000000-0005-0000-0000-00002BA10000}"/>
    <cellStyle name="Note 4 12 3" xfId="41254" xr:uid="{00000000-0005-0000-0000-00002CA10000}"/>
    <cellStyle name="Note 4 12 4" xfId="41255" xr:uid="{00000000-0005-0000-0000-00002DA10000}"/>
    <cellStyle name="Note 4 12 5" xfId="41256" xr:uid="{00000000-0005-0000-0000-00002EA10000}"/>
    <cellStyle name="Note 4 13" xfId="41257" xr:uid="{00000000-0005-0000-0000-00002FA10000}"/>
    <cellStyle name="Note 4 13 2" xfId="41258" xr:uid="{00000000-0005-0000-0000-000030A10000}"/>
    <cellStyle name="Note 4 13 2 2" xfId="41259" xr:uid="{00000000-0005-0000-0000-000031A10000}"/>
    <cellStyle name="Note 4 13 3" xfId="41260" xr:uid="{00000000-0005-0000-0000-000032A10000}"/>
    <cellStyle name="Note 4 13 4" xfId="41261" xr:uid="{00000000-0005-0000-0000-000033A10000}"/>
    <cellStyle name="Note 4 13 5" xfId="41262" xr:uid="{00000000-0005-0000-0000-000034A10000}"/>
    <cellStyle name="Note 4 14" xfId="41263" xr:uid="{00000000-0005-0000-0000-000035A10000}"/>
    <cellStyle name="Note 4 14 2" xfId="41264" xr:uid="{00000000-0005-0000-0000-000036A10000}"/>
    <cellStyle name="Note 4 15" xfId="41265" xr:uid="{00000000-0005-0000-0000-000037A10000}"/>
    <cellStyle name="Note 4 16" xfId="41266" xr:uid="{00000000-0005-0000-0000-000038A10000}"/>
    <cellStyle name="Note 4 17" xfId="41267" xr:uid="{00000000-0005-0000-0000-000039A10000}"/>
    <cellStyle name="Note 4 18" xfId="41268" xr:uid="{00000000-0005-0000-0000-00003AA10000}"/>
    <cellStyle name="Note 4 2" xfId="41269" xr:uid="{00000000-0005-0000-0000-00003BA10000}"/>
    <cellStyle name="Note 4 2 10" xfId="41270" xr:uid="{00000000-0005-0000-0000-00003CA10000}"/>
    <cellStyle name="Note 4 2 2" xfId="41271" xr:uid="{00000000-0005-0000-0000-00003DA10000}"/>
    <cellStyle name="Note 4 2 2 2" xfId="41272" xr:uid="{00000000-0005-0000-0000-00003EA10000}"/>
    <cellStyle name="Note 4 2 2 2 2" xfId="41273" xr:uid="{00000000-0005-0000-0000-00003FA10000}"/>
    <cellStyle name="Note 4 2 2 2 2 2" xfId="41274" xr:uid="{00000000-0005-0000-0000-000040A10000}"/>
    <cellStyle name="Note 4 2 2 2 2 3" xfId="41275" xr:uid="{00000000-0005-0000-0000-000041A10000}"/>
    <cellStyle name="Note 4 2 2 2 3" xfId="41276" xr:uid="{00000000-0005-0000-0000-000042A10000}"/>
    <cellStyle name="Note 4 2 2 2 4" xfId="41277" xr:uid="{00000000-0005-0000-0000-000043A10000}"/>
    <cellStyle name="Note 4 2 2 2 5" xfId="41278" xr:uid="{00000000-0005-0000-0000-000044A10000}"/>
    <cellStyle name="Note 4 2 2 2 6" xfId="41279" xr:uid="{00000000-0005-0000-0000-000045A10000}"/>
    <cellStyle name="Note 4 2 2 3" xfId="41280" xr:uid="{00000000-0005-0000-0000-000046A10000}"/>
    <cellStyle name="Note 4 2 2 3 2" xfId="41281" xr:uid="{00000000-0005-0000-0000-000047A10000}"/>
    <cellStyle name="Note 4 2 2 3 2 2" xfId="41282" xr:uid="{00000000-0005-0000-0000-000048A10000}"/>
    <cellStyle name="Note 4 2 2 3 3" xfId="41283" xr:uid="{00000000-0005-0000-0000-000049A10000}"/>
    <cellStyle name="Note 4 2 2 3 4" xfId="41284" xr:uid="{00000000-0005-0000-0000-00004AA10000}"/>
    <cellStyle name="Note 4 2 2 3 5" xfId="41285" xr:uid="{00000000-0005-0000-0000-00004BA10000}"/>
    <cellStyle name="Note 4 2 2 4" xfId="41286" xr:uid="{00000000-0005-0000-0000-00004CA10000}"/>
    <cellStyle name="Note 4 2 2 4 2" xfId="41287" xr:uid="{00000000-0005-0000-0000-00004DA10000}"/>
    <cellStyle name="Note 4 2 2 4 3" xfId="41288" xr:uid="{00000000-0005-0000-0000-00004EA10000}"/>
    <cellStyle name="Note 4 2 2 4 4" xfId="41289" xr:uid="{00000000-0005-0000-0000-00004FA10000}"/>
    <cellStyle name="Note 4 2 2 5" xfId="41290" xr:uid="{00000000-0005-0000-0000-000050A10000}"/>
    <cellStyle name="Note 4 2 2 5 2" xfId="41291" xr:uid="{00000000-0005-0000-0000-000051A10000}"/>
    <cellStyle name="Note 4 2 2 6" xfId="41292" xr:uid="{00000000-0005-0000-0000-000052A10000}"/>
    <cellStyle name="Note 4 2 2 7" xfId="41293" xr:uid="{00000000-0005-0000-0000-000053A10000}"/>
    <cellStyle name="Note 4 2 2 8" xfId="41294" xr:uid="{00000000-0005-0000-0000-000054A10000}"/>
    <cellStyle name="Note 4 2 2 9" xfId="41295" xr:uid="{00000000-0005-0000-0000-000055A10000}"/>
    <cellStyle name="Note 4 2 3" xfId="41296" xr:uid="{00000000-0005-0000-0000-000056A10000}"/>
    <cellStyle name="Note 4 2 3 2" xfId="41297" xr:uid="{00000000-0005-0000-0000-000057A10000}"/>
    <cellStyle name="Note 4 2 3 2 2" xfId="41298" xr:uid="{00000000-0005-0000-0000-000058A10000}"/>
    <cellStyle name="Note 4 2 3 2 3" xfId="41299" xr:uid="{00000000-0005-0000-0000-000059A10000}"/>
    <cellStyle name="Note 4 2 3 3" xfId="41300" xr:uid="{00000000-0005-0000-0000-00005AA10000}"/>
    <cellStyle name="Note 4 2 3 4" xfId="41301" xr:uid="{00000000-0005-0000-0000-00005BA10000}"/>
    <cellStyle name="Note 4 2 3 5" xfId="41302" xr:uid="{00000000-0005-0000-0000-00005CA10000}"/>
    <cellStyle name="Note 4 2 3 6" xfId="41303" xr:uid="{00000000-0005-0000-0000-00005DA10000}"/>
    <cellStyle name="Note 4 2 4" xfId="41304" xr:uid="{00000000-0005-0000-0000-00005EA10000}"/>
    <cellStyle name="Note 4 2 4 2" xfId="41305" xr:uid="{00000000-0005-0000-0000-00005FA10000}"/>
    <cellStyle name="Note 4 2 4 2 2" xfId="41306" xr:uid="{00000000-0005-0000-0000-000060A10000}"/>
    <cellStyle name="Note 4 2 4 3" xfId="41307" xr:uid="{00000000-0005-0000-0000-000061A10000}"/>
    <cellStyle name="Note 4 2 4 4" xfId="41308" xr:uid="{00000000-0005-0000-0000-000062A10000}"/>
    <cellStyle name="Note 4 2 4 5" xfId="41309" xr:uid="{00000000-0005-0000-0000-000063A10000}"/>
    <cellStyle name="Note 4 2 5" xfId="41310" xr:uid="{00000000-0005-0000-0000-000064A10000}"/>
    <cellStyle name="Note 4 2 5 2" xfId="41311" xr:uid="{00000000-0005-0000-0000-000065A10000}"/>
    <cellStyle name="Note 4 2 5 2 2" xfId="41312" xr:uid="{00000000-0005-0000-0000-000066A10000}"/>
    <cellStyle name="Note 4 2 5 3" xfId="41313" xr:uid="{00000000-0005-0000-0000-000067A10000}"/>
    <cellStyle name="Note 4 2 5 4" xfId="41314" xr:uid="{00000000-0005-0000-0000-000068A10000}"/>
    <cellStyle name="Note 4 2 5 5" xfId="41315" xr:uid="{00000000-0005-0000-0000-000069A10000}"/>
    <cellStyle name="Note 4 2 6" xfId="41316" xr:uid="{00000000-0005-0000-0000-00006AA10000}"/>
    <cellStyle name="Note 4 2 6 2" xfId="41317" xr:uid="{00000000-0005-0000-0000-00006BA10000}"/>
    <cellStyle name="Note 4 2 7" xfId="41318" xr:uid="{00000000-0005-0000-0000-00006CA10000}"/>
    <cellStyle name="Note 4 2 8" xfId="41319" xr:uid="{00000000-0005-0000-0000-00006DA10000}"/>
    <cellStyle name="Note 4 2 9" xfId="41320" xr:uid="{00000000-0005-0000-0000-00006EA10000}"/>
    <cellStyle name="Note 4 3" xfId="41321" xr:uid="{00000000-0005-0000-0000-00006FA10000}"/>
    <cellStyle name="Note 4 3 10" xfId="41322" xr:uid="{00000000-0005-0000-0000-000070A10000}"/>
    <cellStyle name="Note 4 3 2" xfId="41323" xr:uid="{00000000-0005-0000-0000-000071A10000}"/>
    <cellStyle name="Note 4 3 2 2" xfId="41324" xr:uid="{00000000-0005-0000-0000-000072A10000}"/>
    <cellStyle name="Note 4 3 2 2 2" xfId="41325" xr:uid="{00000000-0005-0000-0000-000073A10000}"/>
    <cellStyle name="Note 4 3 2 2 2 2" xfId="41326" xr:uid="{00000000-0005-0000-0000-000074A10000}"/>
    <cellStyle name="Note 4 3 2 2 2 3" xfId="41327" xr:uid="{00000000-0005-0000-0000-000075A10000}"/>
    <cellStyle name="Note 4 3 2 2 3" xfId="41328" xr:uid="{00000000-0005-0000-0000-000076A10000}"/>
    <cellStyle name="Note 4 3 2 2 4" xfId="41329" xr:uid="{00000000-0005-0000-0000-000077A10000}"/>
    <cellStyle name="Note 4 3 2 2 5" xfId="41330" xr:uid="{00000000-0005-0000-0000-000078A10000}"/>
    <cellStyle name="Note 4 3 2 2 6" xfId="41331" xr:uid="{00000000-0005-0000-0000-000079A10000}"/>
    <cellStyle name="Note 4 3 2 3" xfId="41332" xr:uid="{00000000-0005-0000-0000-00007AA10000}"/>
    <cellStyle name="Note 4 3 2 3 2" xfId="41333" xr:uid="{00000000-0005-0000-0000-00007BA10000}"/>
    <cellStyle name="Note 4 3 2 3 2 2" xfId="41334" xr:uid="{00000000-0005-0000-0000-00007CA10000}"/>
    <cellStyle name="Note 4 3 2 3 3" xfId="41335" xr:uid="{00000000-0005-0000-0000-00007DA10000}"/>
    <cellStyle name="Note 4 3 2 3 4" xfId="41336" xr:uid="{00000000-0005-0000-0000-00007EA10000}"/>
    <cellStyle name="Note 4 3 2 3 5" xfId="41337" xr:uid="{00000000-0005-0000-0000-00007FA10000}"/>
    <cellStyle name="Note 4 3 2 4" xfId="41338" xr:uid="{00000000-0005-0000-0000-000080A10000}"/>
    <cellStyle name="Note 4 3 2 4 2" xfId="41339" xr:uid="{00000000-0005-0000-0000-000081A10000}"/>
    <cellStyle name="Note 4 3 2 4 3" xfId="41340" xr:uid="{00000000-0005-0000-0000-000082A10000}"/>
    <cellStyle name="Note 4 3 2 4 4" xfId="41341" xr:uid="{00000000-0005-0000-0000-000083A10000}"/>
    <cellStyle name="Note 4 3 2 5" xfId="41342" xr:uid="{00000000-0005-0000-0000-000084A10000}"/>
    <cellStyle name="Note 4 3 2 5 2" xfId="41343" xr:uid="{00000000-0005-0000-0000-000085A10000}"/>
    <cellStyle name="Note 4 3 2 6" xfId="41344" xr:uid="{00000000-0005-0000-0000-000086A10000}"/>
    <cellStyle name="Note 4 3 2 7" xfId="41345" xr:uid="{00000000-0005-0000-0000-000087A10000}"/>
    <cellStyle name="Note 4 3 2 8" xfId="41346" xr:uid="{00000000-0005-0000-0000-000088A10000}"/>
    <cellStyle name="Note 4 3 2 9" xfId="41347" xr:uid="{00000000-0005-0000-0000-000089A10000}"/>
    <cellStyle name="Note 4 3 3" xfId="41348" xr:uid="{00000000-0005-0000-0000-00008AA10000}"/>
    <cellStyle name="Note 4 3 3 2" xfId="41349" xr:uid="{00000000-0005-0000-0000-00008BA10000}"/>
    <cellStyle name="Note 4 3 3 2 2" xfId="41350" xr:uid="{00000000-0005-0000-0000-00008CA10000}"/>
    <cellStyle name="Note 4 3 3 2 3" xfId="41351" xr:uid="{00000000-0005-0000-0000-00008DA10000}"/>
    <cellStyle name="Note 4 3 3 3" xfId="41352" xr:uid="{00000000-0005-0000-0000-00008EA10000}"/>
    <cellStyle name="Note 4 3 3 4" xfId="41353" xr:uid="{00000000-0005-0000-0000-00008FA10000}"/>
    <cellStyle name="Note 4 3 3 5" xfId="41354" xr:uid="{00000000-0005-0000-0000-000090A10000}"/>
    <cellStyle name="Note 4 3 3 6" xfId="41355" xr:uid="{00000000-0005-0000-0000-000091A10000}"/>
    <cellStyle name="Note 4 3 4" xfId="41356" xr:uid="{00000000-0005-0000-0000-000092A10000}"/>
    <cellStyle name="Note 4 3 4 2" xfId="41357" xr:uid="{00000000-0005-0000-0000-000093A10000}"/>
    <cellStyle name="Note 4 3 4 2 2" xfId="41358" xr:uid="{00000000-0005-0000-0000-000094A10000}"/>
    <cellStyle name="Note 4 3 4 3" xfId="41359" xr:uid="{00000000-0005-0000-0000-000095A10000}"/>
    <cellStyle name="Note 4 3 4 4" xfId="41360" xr:uid="{00000000-0005-0000-0000-000096A10000}"/>
    <cellStyle name="Note 4 3 4 5" xfId="41361" xr:uid="{00000000-0005-0000-0000-000097A10000}"/>
    <cellStyle name="Note 4 3 5" xfId="41362" xr:uid="{00000000-0005-0000-0000-000098A10000}"/>
    <cellStyle name="Note 4 3 5 2" xfId="41363" xr:uid="{00000000-0005-0000-0000-000099A10000}"/>
    <cellStyle name="Note 4 3 5 2 2" xfId="41364" xr:uid="{00000000-0005-0000-0000-00009AA10000}"/>
    <cellStyle name="Note 4 3 5 3" xfId="41365" xr:uid="{00000000-0005-0000-0000-00009BA10000}"/>
    <cellStyle name="Note 4 3 5 4" xfId="41366" xr:uid="{00000000-0005-0000-0000-00009CA10000}"/>
    <cellStyle name="Note 4 3 5 5" xfId="41367" xr:uid="{00000000-0005-0000-0000-00009DA10000}"/>
    <cellStyle name="Note 4 3 6" xfId="41368" xr:uid="{00000000-0005-0000-0000-00009EA10000}"/>
    <cellStyle name="Note 4 3 6 2" xfId="41369" xr:uid="{00000000-0005-0000-0000-00009FA10000}"/>
    <cellStyle name="Note 4 3 7" xfId="41370" xr:uid="{00000000-0005-0000-0000-0000A0A10000}"/>
    <cellStyle name="Note 4 3 8" xfId="41371" xr:uid="{00000000-0005-0000-0000-0000A1A10000}"/>
    <cellStyle name="Note 4 3 9" xfId="41372" xr:uid="{00000000-0005-0000-0000-0000A2A10000}"/>
    <cellStyle name="Note 4 4" xfId="41373" xr:uid="{00000000-0005-0000-0000-0000A3A10000}"/>
    <cellStyle name="Note 4 4 10" xfId="41374" xr:uid="{00000000-0005-0000-0000-0000A4A10000}"/>
    <cellStyle name="Note 4 4 2" xfId="41375" xr:uid="{00000000-0005-0000-0000-0000A5A10000}"/>
    <cellStyle name="Note 4 4 2 2" xfId="41376" xr:uid="{00000000-0005-0000-0000-0000A6A10000}"/>
    <cellStyle name="Note 4 4 2 2 2" xfId="41377" xr:uid="{00000000-0005-0000-0000-0000A7A10000}"/>
    <cellStyle name="Note 4 4 2 2 2 2" xfId="41378" xr:uid="{00000000-0005-0000-0000-0000A8A10000}"/>
    <cellStyle name="Note 4 4 2 2 2 3" xfId="41379" xr:uid="{00000000-0005-0000-0000-0000A9A10000}"/>
    <cellStyle name="Note 4 4 2 2 3" xfId="41380" xr:uid="{00000000-0005-0000-0000-0000AAA10000}"/>
    <cellStyle name="Note 4 4 2 2 4" xfId="41381" xr:uid="{00000000-0005-0000-0000-0000ABA10000}"/>
    <cellStyle name="Note 4 4 2 2 5" xfId="41382" xr:uid="{00000000-0005-0000-0000-0000ACA10000}"/>
    <cellStyle name="Note 4 4 2 2 6" xfId="41383" xr:uid="{00000000-0005-0000-0000-0000ADA10000}"/>
    <cellStyle name="Note 4 4 2 3" xfId="41384" xr:uid="{00000000-0005-0000-0000-0000AEA10000}"/>
    <cellStyle name="Note 4 4 2 3 2" xfId="41385" xr:uid="{00000000-0005-0000-0000-0000AFA10000}"/>
    <cellStyle name="Note 4 4 2 3 2 2" xfId="41386" xr:uid="{00000000-0005-0000-0000-0000B0A10000}"/>
    <cellStyle name="Note 4 4 2 3 3" xfId="41387" xr:uid="{00000000-0005-0000-0000-0000B1A10000}"/>
    <cellStyle name="Note 4 4 2 3 4" xfId="41388" xr:uid="{00000000-0005-0000-0000-0000B2A10000}"/>
    <cellStyle name="Note 4 4 2 3 5" xfId="41389" xr:uid="{00000000-0005-0000-0000-0000B3A10000}"/>
    <cellStyle name="Note 4 4 2 4" xfId="41390" xr:uid="{00000000-0005-0000-0000-0000B4A10000}"/>
    <cellStyle name="Note 4 4 2 4 2" xfId="41391" xr:uid="{00000000-0005-0000-0000-0000B5A10000}"/>
    <cellStyle name="Note 4 4 2 4 3" xfId="41392" xr:uid="{00000000-0005-0000-0000-0000B6A10000}"/>
    <cellStyle name="Note 4 4 2 4 4" xfId="41393" xr:uid="{00000000-0005-0000-0000-0000B7A10000}"/>
    <cellStyle name="Note 4 4 2 5" xfId="41394" xr:uid="{00000000-0005-0000-0000-0000B8A10000}"/>
    <cellStyle name="Note 4 4 2 5 2" xfId="41395" xr:uid="{00000000-0005-0000-0000-0000B9A10000}"/>
    <cellStyle name="Note 4 4 2 6" xfId="41396" xr:uid="{00000000-0005-0000-0000-0000BAA10000}"/>
    <cellStyle name="Note 4 4 2 7" xfId="41397" xr:uid="{00000000-0005-0000-0000-0000BBA10000}"/>
    <cellStyle name="Note 4 4 2 8" xfId="41398" xr:uid="{00000000-0005-0000-0000-0000BCA10000}"/>
    <cellStyle name="Note 4 4 2 9" xfId="41399" xr:uid="{00000000-0005-0000-0000-0000BDA10000}"/>
    <cellStyle name="Note 4 4 3" xfId="41400" xr:uid="{00000000-0005-0000-0000-0000BEA10000}"/>
    <cellStyle name="Note 4 4 3 2" xfId="41401" xr:uid="{00000000-0005-0000-0000-0000BFA10000}"/>
    <cellStyle name="Note 4 4 3 2 2" xfId="41402" xr:uid="{00000000-0005-0000-0000-0000C0A10000}"/>
    <cellStyle name="Note 4 4 3 2 3" xfId="41403" xr:uid="{00000000-0005-0000-0000-0000C1A10000}"/>
    <cellStyle name="Note 4 4 3 3" xfId="41404" xr:uid="{00000000-0005-0000-0000-0000C2A10000}"/>
    <cellStyle name="Note 4 4 3 4" xfId="41405" xr:uid="{00000000-0005-0000-0000-0000C3A10000}"/>
    <cellStyle name="Note 4 4 3 5" xfId="41406" xr:uid="{00000000-0005-0000-0000-0000C4A10000}"/>
    <cellStyle name="Note 4 4 3 6" xfId="41407" xr:uid="{00000000-0005-0000-0000-0000C5A10000}"/>
    <cellStyle name="Note 4 4 4" xfId="41408" xr:uid="{00000000-0005-0000-0000-0000C6A10000}"/>
    <cellStyle name="Note 4 4 4 2" xfId="41409" xr:uid="{00000000-0005-0000-0000-0000C7A10000}"/>
    <cellStyle name="Note 4 4 4 2 2" xfId="41410" xr:uid="{00000000-0005-0000-0000-0000C8A10000}"/>
    <cellStyle name="Note 4 4 4 3" xfId="41411" xr:uid="{00000000-0005-0000-0000-0000C9A10000}"/>
    <cellStyle name="Note 4 4 4 4" xfId="41412" xr:uid="{00000000-0005-0000-0000-0000CAA10000}"/>
    <cellStyle name="Note 4 4 4 5" xfId="41413" xr:uid="{00000000-0005-0000-0000-0000CBA10000}"/>
    <cellStyle name="Note 4 4 5" xfId="41414" xr:uid="{00000000-0005-0000-0000-0000CCA10000}"/>
    <cellStyle name="Note 4 4 5 2" xfId="41415" xr:uid="{00000000-0005-0000-0000-0000CDA10000}"/>
    <cellStyle name="Note 4 4 5 2 2" xfId="41416" xr:uid="{00000000-0005-0000-0000-0000CEA10000}"/>
    <cellStyle name="Note 4 4 5 3" xfId="41417" xr:uid="{00000000-0005-0000-0000-0000CFA10000}"/>
    <cellStyle name="Note 4 4 5 4" xfId="41418" xr:uid="{00000000-0005-0000-0000-0000D0A10000}"/>
    <cellStyle name="Note 4 4 5 5" xfId="41419" xr:uid="{00000000-0005-0000-0000-0000D1A10000}"/>
    <cellStyle name="Note 4 4 6" xfId="41420" xr:uid="{00000000-0005-0000-0000-0000D2A10000}"/>
    <cellStyle name="Note 4 4 6 2" xfId="41421" xr:uid="{00000000-0005-0000-0000-0000D3A10000}"/>
    <cellStyle name="Note 4 4 7" xfId="41422" xr:uid="{00000000-0005-0000-0000-0000D4A10000}"/>
    <cellStyle name="Note 4 4 8" xfId="41423" xr:uid="{00000000-0005-0000-0000-0000D5A10000}"/>
    <cellStyle name="Note 4 4 9" xfId="41424" xr:uid="{00000000-0005-0000-0000-0000D6A10000}"/>
    <cellStyle name="Note 4 5" xfId="41425" xr:uid="{00000000-0005-0000-0000-0000D7A10000}"/>
    <cellStyle name="Note 4 5 10" xfId="41426" xr:uid="{00000000-0005-0000-0000-0000D8A10000}"/>
    <cellStyle name="Note 4 5 2" xfId="41427" xr:uid="{00000000-0005-0000-0000-0000D9A10000}"/>
    <cellStyle name="Note 4 5 2 2" xfId="41428" xr:uid="{00000000-0005-0000-0000-0000DAA10000}"/>
    <cellStyle name="Note 4 5 2 2 2" xfId="41429" xr:uid="{00000000-0005-0000-0000-0000DBA10000}"/>
    <cellStyle name="Note 4 5 2 2 2 2" xfId="41430" xr:uid="{00000000-0005-0000-0000-0000DCA10000}"/>
    <cellStyle name="Note 4 5 2 2 2 3" xfId="41431" xr:uid="{00000000-0005-0000-0000-0000DDA10000}"/>
    <cellStyle name="Note 4 5 2 2 3" xfId="41432" xr:uid="{00000000-0005-0000-0000-0000DEA10000}"/>
    <cellStyle name="Note 4 5 2 2 4" xfId="41433" xr:uid="{00000000-0005-0000-0000-0000DFA10000}"/>
    <cellStyle name="Note 4 5 2 2 5" xfId="41434" xr:uid="{00000000-0005-0000-0000-0000E0A10000}"/>
    <cellStyle name="Note 4 5 2 2 6" xfId="41435" xr:uid="{00000000-0005-0000-0000-0000E1A10000}"/>
    <cellStyle name="Note 4 5 2 3" xfId="41436" xr:uid="{00000000-0005-0000-0000-0000E2A10000}"/>
    <cellStyle name="Note 4 5 2 3 2" xfId="41437" xr:uid="{00000000-0005-0000-0000-0000E3A10000}"/>
    <cellStyle name="Note 4 5 2 3 2 2" xfId="41438" xr:uid="{00000000-0005-0000-0000-0000E4A10000}"/>
    <cellStyle name="Note 4 5 2 3 3" xfId="41439" xr:uid="{00000000-0005-0000-0000-0000E5A10000}"/>
    <cellStyle name="Note 4 5 2 3 4" xfId="41440" xr:uid="{00000000-0005-0000-0000-0000E6A10000}"/>
    <cellStyle name="Note 4 5 2 3 5" xfId="41441" xr:uid="{00000000-0005-0000-0000-0000E7A10000}"/>
    <cellStyle name="Note 4 5 2 4" xfId="41442" xr:uid="{00000000-0005-0000-0000-0000E8A10000}"/>
    <cellStyle name="Note 4 5 2 4 2" xfId="41443" xr:uid="{00000000-0005-0000-0000-0000E9A10000}"/>
    <cellStyle name="Note 4 5 2 4 3" xfId="41444" xr:uid="{00000000-0005-0000-0000-0000EAA10000}"/>
    <cellStyle name="Note 4 5 2 4 4" xfId="41445" xr:uid="{00000000-0005-0000-0000-0000EBA10000}"/>
    <cellStyle name="Note 4 5 2 5" xfId="41446" xr:uid="{00000000-0005-0000-0000-0000ECA10000}"/>
    <cellStyle name="Note 4 5 2 5 2" xfId="41447" xr:uid="{00000000-0005-0000-0000-0000EDA10000}"/>
    <cellStyle name="Note 4 5 2 6" xfId="41448" xr:uid="{00000000-0005-0000-0000-0000EEA10000}"/>
    <cellStyle name="Note 4 5 2 7" xfId="41449" xr:uid="{00000000-0005-0000-0000-0000EFA10000}"/>
    <cellStyle name="Note 4 5 2 8" xfId="41450" xr:uid="{00000000-0005-0000-0000-0000F0A10000}"/>
    <cellStyle name="Note 4 5 2 9" xfId="41451" xr:uid="{00000000-0005-0000-0000-0000F1A10000}"/>
    <cellStyle name="Note 4 5 3" xfId="41452" xr:uid="{00000000-0005-0000-0000-0000F2A10000}"/>
    <cellStyle name="Note 4 5 3 2" xfId="41453" xr:uid="{00000000-0005-0000-0000-0000F3A10000}"/>
    <cellStyle name="Note 4 5 3 2 2" xfId="41454" xr:uid="{00000000-0005-0000-0000-0000F4A10000}"/>
    <cellStyle name="Note 4 5 3 2 3" xfId="41455" xr:uid="{00000000-0005-0000-0000-0000F5A10000}"/>
    <cellStyle name="Note 4 5 3 3" xfId="41456" xr:uid="{00000000-0005-0000-0000-0000F6A10000}"/>
    <cellStyle name="Note 4 5 3 4" xfId="41457" xr:uid="{00000000-0005-0000-0000-0000F7A10000}"/>
    <cellStyle name="Note 4 5 3 5" xfId="41458" xr:uid="{00000000-0005-0000-0000-0000F8A10000}"/>
    <cellStyle name="Note 4 5 3 6" xfId="41459" xr:uid="{00000000-0005-0000-0000-0000F9A10000}"/>
    <cellStyle name="Note 4 5 4" xfId="41460" xr:uid="{00000000-0005-0000-0000-0000FAA10000}"/>
    <cellStyle name="Note 4 5 4 2" xfId="41461" xr:uid="{00000000-0005-0000-0000-0000FBA10000}"/>
    <cellStyle name="Note 4 5 4 2 2" xfId="41462" xr:uid="{00000000-0005-0000-0000-0000FCA10000}"/>
    <cellStyle name="Note 4 5 4 3" xfId="41463" xr:uid="{00000000-0005-0000-0000-0000FDA10000}"/>
    <cellStyle name="Note 4 5 4 4" xfId="41464" xr:uid="{00000000-0005-0000-0000-0000FEA10000}"/>
    <cellStyle name="Note 4 5 4 5" xfId="41465" xr:uid="{00000000-0005-0000-0000-0000FFA10000}"/>
    <cellStyle name="Note 4 5 5" xfId="41466" xr:uid="{00000000-0005-0000-0000-000000A20000}"/>
    <cellStyle name="Note 4 5 5 2" xfId="41467" xr:uid="{00000000-0005-0000-0000-000001A20000}"/>
    <cellStyle name="Note 4 5 5 2 2" xfId="41468" xr:uid="{00000000-0005-0000-0000-000002A20000}"/>
    <cellStyle name="Note 4 5 5 3" xfId="41469" xr:uid="{00000000-0005-0000-0000-000003A20000}"/>
    <cellStyle name="Note 4 5 5 4" xfId="41470" xr:uid="{00000000-0005-0000-0000-000004A20000}"/>
    <cellStyle name="Note 4 5 5 5" xfId="41471" xr:uid="{00000000-0005-0000-0000-000005A20000}"/>
    <cellStyle name="Note 4 5 6" xfId="41472" xr:uid="{00000000-0005-0000-0000-000006A20000}"/>
    <cellStyle name="Note 4 5 6 2" xfId="41473" xr:uid="{00000000-0005-0000-0000-000007A20000}"/>
    <cellStyle name="Note 4 5 7" xfId="41474" xr:uid="{00000000-0005-0000-0000-000008A20000}"/>
    <cellStyle name="Note 4 5 8" xfId="41475" xr:uid="{00000000-0005-0000-0000-000009A20000}"/>
    <cellStyle name="Note 4 5 9" xfId="41476" xr:uid="{00000000-0005-0000-0000-00000AA20000}"/>
    <cellStyle name="Note 4 6" xfId="41477" xr:uid="{00000000-0005-0000-0000-00000BA20000}"/>
    <cellStyle name="Note 4 6 10" xfId="41478" xr:uid="{00000000-0005-0000-0000-00000CA20000}"/>
    <cellStyle name="Note 4 6 2" xfId="41479" xr:uid="{00000000-0005-0000-0000-00000DA20000}"/>
    <cellStyle name="Note 4 6 2 2" xfId="41480" xr:uid="{00000000-0005-0000-0000-00000EA20000}"/>
    <cellStyle name="Note 4 6 2 2 2" xfId="41481" xr:uid="{00000000-0005-0000-0000-00000FA20000}"/>
    <cellStyle name="Note 4 6 2 2 2 2" xfId="41482" xr:uid="{00000000-0005-0000-0000-000010A20000}"/>
    <cellStyle name="Note 4 6 2 2 2 3" xfId="41483" xr:uid="{00000000-0005-0000-0000-000011A20000}"/>
    <cellStyle name="Note 4 6 2 2 3" xfId="41484" xr:uid="{00000000-0005-0000-0000-000012A20000}"/>
    <cellStyle name="Note 4 6 2 2 4" xfId="41485" xr:uid="{00000000-0005-0000-0000-000013A20000}"/>
    <cellStyle name="Note 4 6 2 2 5" xfId="41486" xr:uid="{00000000-0005-0000-0000-000014A20000}"/>
    <cellStyle name="Note 4 6 2 2 6" xfId="41487" xr:uid="{00000000-0005-0000-0000-000015A20000}"/>
    <cellStyle name="Note 4 6 2 3" xfId="41488" xr:uid="{00000000-0005-0000-0000-000016A20000}"/>
    <cellStyle name="Note 4 6 2 3 2" xfId="41489" xr:uid="{00000000-0005-0000-0000-000017A20000}"/>
    <cellStyle name="Note 4 6 2 3 2 2" xfId="41490" xr:uid="{00000000-0005-0000-0000-000018A20000}"/>
    <cellStyle name="Note 4 6 2 3 3" xfId="41491" xr:uid="{00000000-0005-0000-0000-000019A20000}"/>
    <cellStyle name="Note 4 6 2 3 4" xfId="41492" xr:uid="{00000000-0005-0000-0000-00001AA20000}"/>
    <cellStyle name="Note 4 6 2 3 5" xfId="41493" xr:uid="{00000000-0005-0000-0000-00001BA20000}"/>
    <cellStyle name="Note 4 6 2 4" xfId="41494" xr:uid="{00000000-0005-0000-0000-00001CA20000}"/>
    <cellStyle name="Note 4 6 2 4 2" xfId="41495" xr:uid="{00000000-0005-0000-0000-00001DA20000}"/>
    <cellStyle name="Note 4 6 2 4 3" xfId="41496" xr:uid="{00000000-0005-0000-0000-00001EA20000}"/>
    <cellStyle name="Note 4 6 2 4 4" xfId="41497" xr:uid="{00000000-0005-0000-0000-00001FA20000}"/>
    <cellStyle name="Note 4 6 2 5" xfId="41498" xr:uid="{00000000-0005-0000-0000-000020A20000}"/>
    <cellStyle name="Note 4 6 2 5 2" xfId="41499" xr:uid="{00000000-0005-0000-0000-000021A20000}"/>
    <cellStyle name="Note 4 6 2 6" xfId="41500" xr:uid="{00000000-0005-0000-0000-000022A20000}"/>
    <cellStyle name="Note 4 6 2 7" xfId="41501" xr:uid="{00000000-0005-0000-0000-000023A20000}"/>
    <cellStyle name="Note 4 6 2 8" xfId="41502" xr:uid="{00000000-0005-0000-0000-000024A20000}"/>
    <cellStyle name="Note 4 6 2 9" xfId="41503" xr:uid="{00000000-0005-0000-0000-000025A20000}"/>
    <cellStyle name="Note 4 6 3" xfId="41504" xr:uid="{00000000-0005-0000-0000-000026A20000}"/>
    <cellStyle name="Note 4 6 3 2" xfId="41505" xr:uid="{00000000-0005-0000-0000-000027A20000}"/>
    <cellStyle name="Note 4 6 3 2 2" xfId="41506" xr:uid="{00000000-0005-0000-0000-000028A20000}"/>
    <cellStyle name="Note 4 6 3 2 3" xfId="41507" xr:uid="{00000000-0005-0000-0000-000029A20000}"/>
    <cellStyle name="Note 4 6 3 3" xfId="41508" xr:uid="{00000000-0005-0000-0000-00002AA20000}"/>
    <cellStyle name="Note 4 6 3 4" xfId="41509" xr:uid="{00000000-0005-0000-0000-00002BA20000}"/>
    <cellStyle name="Note 4 6 3 5" xfId="41510" xr:uid="{00000000-0005-0000-0000-00002CA20000}"/>
    <cellStyle name="Note 4 6 3 6" xfId="41511" xr:uid="{00000000-0005-0000-0000-00002DA20000}"/>
    <cellStyle name="Note 4 6 4" xfId="41512" xr:uid="{00000000-0005-0000-0000-00002EA20000}"/>
    <cellStyle name="Note 4 6 4 2" xfId="41513" xr:uid="{00000000-0005-0000-0000-00002FA20000}"/>
    <cellStyle name="Note 4 6 4 2 2" xfId="41514" xr:uid="{00000000-0005-0000-0000-000030A20000}"/>
    <cellStyle name="Note 4 6 4 3" xfId="41515" xr:uid="{00000000-0005-0000-0000-000031A20000}"/>
    <cellStyle name="Note 4 6 4 4" xfId="41516" xr:uid="{00000000-0005-0000-0000-000032A20000}"/>
    <cellStyle name="Note 4 6 4 5" xfId="41517" xr:uid="{00000000-0005-0000-0000-000033A20000}"/>
    <cellStyle name="Note 4 6 5" xfId="41518" xr:uid="{00000000-0005-0000-0000-000034A20000}"/>
    <cellStyle name="Note 4 6 5 2" xfId="41519" xr:uid="{00000000-0005-0000-0000-000035A20000}"/>
    <cellStyle name="Note 4 6 5 2 2" xfId="41520" xr:uid="{00000000-0005-0000-0000-000036A20000}"/>
    <cellStyle name="Note 4 6 5 3" xfId="41521" xr:uid="{00000000-0005-0000-0000-000037A20000}"/>
    <cellStyle name="Note 4 6 5 4" xfId="41522" xr:uid="{00000000-0005-0000-0000-000038A20000}"/>
    <cellStyle name="Note 4 6 5 5" xfId="41523" xr:uid="{00000000-0005-0000-0000-000039A20000}"/>
    <cellStyle name="Note 4 6 6" xfId="41524" xr:uid="{00000000-0005-0000-0000-00003AA20000}"/>
    <cellStyle name="Note 4 6 6 2" xfId="41525" xr:uid="{00000000-0005-0000-0000-00003BA20000}"/>
    <cellStyle name="Note 4 6 7" xfId="41526" xr:uid="{00000000-0005-0000-0000-00003CA20000}"/>
    <cellStyle name="Note 4 6 8" xfId="41527" xr:uid="{00000000-0005-0000-0000-00003DA20000}"/>
    <cellStyle name="Note 4 6 9" xfId="41528" xr:uid="{00000000-0005-0000-0000-00003EA20000}"/>
    <cellStyle name="Note 4 7" xfId="41529" xr:uid="{00000000-0005-0000-0000-00003FA20000}"/>
    <cellStyle name="Note 4 7 10" xfId="41530" xr:uid="{00000000-0005-0000-0000-000040A20000}"/>
    <cellStyle name="Note 4 7 2" xfId="41531" xr:uid="{00000000-0005-0000-0000-000041A20000}"/>
    <cellStyle name="Note 4 7 2 2" xfId="41532" xr:uid="{00000000-0005-0000-0000-000042A20000}"/>
    <cellStyle name="Note 4 7 2 2 2" xfId="41533" xr:uid="{00000000-0005-0000-0000-000043A20000}"/>
    <cellStyle name="Note 4 7 2 2 2 2" xfId="41534" xr:uid="{00000000-0005-0000-0000-000044A20000}"/>
    <cellStyle name="Note 4 7 2 2 2 3" xfId="41535" xr:uid="{00000000-0005-0000-0000-000045A20000}"/>
    <cellStyle name="Note 4 7 2 2 3" xfId="41536" xr:uid="{00000000-0005-0000-0000-000046A20000}"/>
    <cellStyle name="Note 4 7 2 2 4" xfId="41537" xr:uid="{00000000-0005-0000-0000-000047A20000}"/>
    <cellStyle name="Note 4 7 2 2 5" xfId="41538" xr:uid="{00000000-0005-0000-0000-000048A20000}"/>
    <cellStyle name="Note 4 7 2 2 6" xfId="41539" xr:uid="{00000000-0005-0000-0000-000049A20000}"/>
    <cellStyle name="Note 4 7 2 3" xfId="41540" xr:uid="{00000000-0005-0000-0000-00004AA20000}"/>
    <cellStyle name="Note 4 7 2 3 2" xfId="41541" xr:uid="{00000000-0005-0000-0000-00004BA20000}"/>
    <cellStyle name="Note 4 7 2 3 2 2" xfId="41542" xr:uid="{00000000-0005-0000-0000-00004CA20000}"/>
    <cellStyle name="Note 4 7 2 3 3" xfId="41543" xr:uid="{00000000-0005-0000-0000-00004DA20000}"/>
    <cellStyle name="Note 4 7 2 3 4" xfId="41544" xr:uid="{00000000-0005-0000-0000-00004EA20000}"/>
    <cellStyle name="Note 4 7 2 3 5" xfId="41545" xr:uid="{00000000-0005-0000-0000-00004FA20000}"/>
    <cellStyle name="Note 4 7 2 4" xfId="41546" xr:uid="{00000000-0005-0000-0000-000050A20000}"/>
    <cellStyle name="Note 4 7 2 4 2" xfId="41547" xr:uid="{00000000-0005-0000-0000-000051A20000}"/>
    <cellStyle name="Note 4 7 2 4 3" xfId="41548" xr:uid="{00000000-0005-0000-0000-000052A20000}"/>
    <cellStyle name="Note 4 7 2 4 4" xfId="41549" xr:uid="{00000000-0005-0000-0000-000053A20000}"/>
    <cellStyle name="Note 4 7 2 5" xfId="41550" xr:uid="{00000000-0005-0000-0000-000054A20000}"/>
    <cellStyle name="Note 4 7 2 5 2" xfId="41551" xr:uid="{00000000-0005-0000-0000-000055A20000}"/>
    <cellStyle name="Note 4 7 2 6" xfId="41552" xr:uid="{00000000-0005-0000-0000-000056A20000}"/>
    <cellStyle name="Note 4 7 2 7" xfId="41553" xr:uid="{00000000-0005-0000-0000-000057A20000}"/>
    <cellStyle name="Note 4 7 2 8" xfId="41554" xr:uid="{00000000-0005-0000-0000-000058A20000}"/>
    <cellStyle name="Note 4 7 2 9" xfId="41555" xr:uid="{00000000-0005-0000-0000-000059A20000}"/>
    <cellStyle name="Note 4 7 3" xfId="41556" xr:uid="{00000000-0005-0000-0000-00005AA20000}"/>
    <cellStyle name="Note 4 7 3 2" xfId="41557" xr:uid="{00000000-0005-0000-0000-00005BA20000}"/>
    <cellStyle name="Note 4 7 3 2 2" xfId="41558" xr:uid="{00000000-0005-0000-0000-00005CA20000}"/>
    <cellStyle name="Note 4 7 3 2 3" xfId="41559" xr:uid="{00000000-0005-0000-0000-00005DA20000}"/>
    <cellStyle name="Note 4 7 3 3" xfId="41560" xr:uid="{00000000-0005-0000-0000-00005EA20000}"/>
    <cellStyle name="Note 4 7 3 4" xfId="41561" xr:uid="{00000000-0005-0000-0000-00005FA20000}"/>
    <cellStyle name="Note 4 7 3 5" xfId="41562" xr:uid="{00000000-0005-0000-0000-000060A20000}"/>
    <cellStyle name="Note 4 7 3 6" xfId="41563" xr:uid="{00000000-0005-0000-0000-000061A20000}"/>
    <cellStyle name="Note 4 7 4" xfId="41564" xr:uid="{00000000-0005-0000-0000-000062A20000}"/>
    <cellStyle name="Note 4 7 4 2" xfId="41565" xr:uid="{00000000-0005-0000-0000-000063A20000}"/>
    <cellStyle name="Note 4 7 4 2 2" xfId="41566" xr:uid="{00000000-0005-0000-0000-000064A20000}"/>
    <cellStyle name="Note 4 7 4 3" xfId="41567" xr:uid="{00000000-0005-0000-0000-000065A20000}"/>
    <cellStyle name="Note 4 7 4 4" xfId="41568" xr:uid="{00000000-0005-0000-0000-000066A20000}"/>
    <cellStyle name="Note 4 7 4 5" xfId="41569" xr:uid="{00000000-0005-0000-0000-000067A20000}"/>
    <cellStyle name="Note 4 7 5" xfId="41570" xr:uid="{00000000-0005-0000-0000-000068A20000}"/>
    <cellStyle name="Note 4 7 5 2" xfId="41571" xr:uid="{00000000-0005-0000-0000-000069A20000}"/>
    <cellStyle name="Note 4 7 5 2 2" xfId="41572" xr:uid="{00000000-0005-0000-0000-00006AA20000}"/>
    <cellStyle name="Note 4 7 5 3" xfId="41573" xr:uid="{00000000-0005-0000-0000-00006BA20000}"/>
    <cellStyle name="Note 4 7 5 4" xfId="41574" xr:uid="{00000000-0005-0000-0000-00006CA20000}"/>
    <cellStyle name="Note 4 7 5 5" xfId="41575" xr:uid="{00000000-0005-0000-0000-00006DA20000}"/>
    <cellStyle name="Note 4 7 6" xfId="41576" xr:uid="{00000000-0005-0000-0000-00006EA20000}"/>
    <cellStyle name="Note 4 7 6 2" xfId="41577" xr:uid="{00000000-0005-0000-0000-00006FA20000}"/>
    <cellStyle name="Note 4 7 7" xfId="41578" xr:uid="{00000000-0005-0000-0000-000070A20000}"/>
    <cellStyle name="Note 4 7 8" xfId="41579" xr:uid="{00000000-0005-0000-0000-000071A20000}"/>
    <cellStyle name="Note 4 7 9" xfId="41580" xr:uid="{00000000-0005-0000-0000-000072A20000}"/>
    <cellStyle name="Note 4 8" xfId="41581" xr:uid="{00000000-0005-0000-0000-000073A20000}"/>
    <cellStyle name="Note 4 8 10" xfId="41582" xr:uid="{00000000-0005-0000-0000-000074A20000}"/>
    <cellStyle name="Note 4 8 2" xfId="41583" xr:uid="{00000000-0005-0000-0000-000075A20000}"/>
    <cellStyle name="Note 4 8 2 2" xfId="41584" xr:uid="{00000000-0005-0000-0000-000076A20000}"/>
    <cellStyle name="Note 4 8 2 2 2" xfId="41585" xr:uid="{00000000-0005-0000-0000-000077A20000}"/>
    <cellStyle name="Note 4 8 2 2 2 2" xfId="41586" xr:uid="{00000000-0005-0000-0000-000078A20000}"/>
    <cellStyle name="Note 4 8 2 2 2 3" xfId="41587" xr:uid="{00000000-0005-0000-0000-000079A20000}"/>
    <cellStyle name="Note 4 8 2 2 3" xfId="41588" xr:uid="{00000000-0005-0000-0000-00007AA20000}"/>
    <cellStyle name="Note 4 8 2 2 4" xfId="41589" xr:uid="{00000000-0005-0000-0000-00007BA20000}"/>
    <cellStyle name="Note 4 8 2 2 5" xfId="41590" xr:uid="{00000000-0005-0000-0000-00007CA20000}"/>
    <cellStyle name="Note 4 8 2 2 6" xfId="41591" xr:uid="{00000000-0005-0000-0000-00007DA20000}"/>
    <cellStyle name="Note 4 8 2 3" xfId="41592" xr:uid="{00000000-0005-0000-0000-00007EA20000}"/>
    <cellStyle name="Note 4 8 2 3 2" xfId="41593" xr:uid="{00000000-0005-0000-0000-00007FA20000}"/>
    <cellStyle name="Note 4 8 2 3 2 2" xfId="41594" xr:uid="{00000000-0005-0000-0000-000080A20000}"/>
    <cellStyle name="Note 4 8 2 3 3" xfId="41595" xr:uid="{00000000-0005-0000-0000-000081A20000}"/>
    <cellStyle name="Note 4 8 2 3 4" xfId="41596" xr:uid="{00000000-0005-0000-0000-000082A20000}"/>
    <cellStyle name="Note 4 8 2 3 5" xfId="41597" xr:uid="{00000000-0005-0000-0000-000083A20000}"/>
    <cellStyle name="Note 4 8 2 4" xfId="41598" xr:uid="{00000000-0005-0000-0000-000084A20000}"/>
    <cellStyle name="Note 4 8 2 4 2" xfId="41599" xr:uid="{00000000-0005-0000-0000-000085A20000}"/>
    <cellStyle name="Note 4 8 2 4 3" xfId="41600" xr:uid="{00000000-0005-0000-0000-000086A20000}"/>
    <cellStyle name="Note 4 8 2 4 4" xfId="41601" xr:uid="{00000000-0005-0000-0000-000087A20000}"/>
    <cellStyle name="Note 4 8 2 5" xfId="41602" xr:uid="{00000000-0005-0000-0000-000088A20000}"/>
    <cellStyle name="Note 4 8 2 5 2" xfId="41603" xr:uid="{00000000-0005-0000-0000-000089A20000}"/>
    <cellStyle name="Note 4 8 2 6" xfId="41604" xr:uid="{00000000-0005-0000-0000-00008AA20000}"/>
    <cellStyle name="Note 4 8 2 7" xfId="41605" xr:uid="{00000000-0005-0000-0000-00008BA20000}"/>
    <cellStyle name="Note 4 8 2 8" xfId="41606" xr:uid="{00000000-0005-0000-0000-00008CA20000}"/>
    <cellStyle name="Note 4 8 2 9" xfId="41607" xr:uid="{00000000-0005-0000-0000-00008DA20000}"/>
    <cellStyle name="Note 4 8 3" xfId="41608" xr:uid="{00000000-0005-0000-0000-00008EA20000}"/>
    <cellStyle name="Note 4 8 3 2" xfId="41609" xr:uid="{00000000-0005-0000-0000-00008FA20000}"/>
    <cellStyle name="Note 4 8 3 2 2" xfId="41610" xr:uid="{00000000-0005-0000-0000-000090A20000}"/>
    <cellStyle name="Note 4 8 3 2 3" xfId="41611" xr:uid="{00000000-0005-0000-0000-000091A20000}"/>
    <cellStyle name="Note 4 8 3 3" xfId="41612" xr:uid="{00000000-0005-0000-0000-000092A20000}"/>
    <cellStyle name="Note 4 8 3 4" xfId="41613" xr:uid="{00000000-0005-0000-0000-000093A20000}"/>
    <cellStyle name="Note 4 8 3 5" xfId="41614" xr:uid="{00000000-0005-0000-0000-000094A20000}"/>
    <cellStyle name="Note 4 8 3 6" xfId="41615" xr:uid="{00000000-0005-0000-0000-000095A20000}"/>
    <cellStyle name="Note 4 8 4" xfId="41616" xr:uid="{00000000-0005-0000-0000-000096A20000}"/>
    <cellStyle name="Note 4 8 4 2" xfId="41617" xr:uid="{00000000-0005-0000-0000-000097A20000}"/>
    <cellStyle name="Note 4 8 4 2 2" xfId="41618" xr:uid="{00000000-0005-0000-0000-000098A20000}"/>
    <cellStyle name="Note 4 8 4 3" xfId="41619" xr:uid="{00000000-0005-0000-0000-000099A20000}"/>
    <cellStyle name="Note 4 8 4 4" xfId="41620" xr:uid="{00000000-0005-0000-0000-00009AA20000}"/>
    <cellStyle name="Note 4 8 4 5" xfId="41621" xr:uid="{00000000-0005-0000-0000-00009BA20000}"/>
    <cellStyle name="Note 4 8 5" xfId="41622" xr:uid="{00000000-0005-0000-0000-00009CA20000}"/>
    <cellStyle name="Note 4 8 5 2" xfId="41623" xr:uid="{00000000-0005-0000-0000-00009DA20000}"/>
    <cellStyle name="Note 4 8 5 2 2" xfId="41624" xr:uid="{00000000-0005-0000-0000-00009EA20000}"/>
    <cellStyle name="Note 4 8 5 3" xfId="41625" xr:uid="{00000000-0005-0000-0000-00009FA20000}"/>
    <cellStyle name="Note 4 8 5 4" xfId="41626" xr:uid="{00000000-0005-0000-0000-0000A0A20000}"/>
    <cellStyle name="Note 4 8 5 5" xfId="41627" xr:uid="{00000000-0005-0000-0000-0000A1A20000}"/>
    <cellStyle name="Note 4 8 6" xfId="41628" xr:uid="{00000000-0005-0000-0000-0000A2A20000}"/>
    <cellStyle name="Note 4 8 6 2" xfId="41629" xr:uid="{00000000-0005-0000-0000-0000A3A20000}"/>
    <cellStyle name="Note 4 8 7" xfId="41630" xr:uid="{00000000-0005-0000-0000-0000A4A20000}"/>
    <cellStyle name="Note 4 8 8" xfId="41631" xr:uid="{00000000-0005-0000-0000-0000A5A20000}"/>
    <cellStyle name="Note 4 8 9" xfId="41632" xr:uid="{00000000-0005-0000-0000-0000A6A20000}"/>
    <cellStyle name="Note 4 9" xfId="41633" xr:uid="{00000000-0005-0000-0000-0000A7A20000}"/>
    <cellStyle name="Note 4 9 10" xfId="41634" xr:uid="{00000000-0005-0000-0000-0000A8A20000}"/>
    <cellStyle name="Note 4 9 2" xfId="41635" xr:uid="{00000000-0005-0000-0000-0000A9A20000}"/>
    <cellStyle name="Note 4 9 2 2" xfId="41636" xr:uid="{00000000-0005-0000-0000-0000AAA20000}"/>
    <cellStyle name="Note 4 9 2 2 2" xfId="41637" xr:uid="{00000000-0005-0000-0000-0000ABA20000}"/>
    <cellStyle name="Note 4 9 2 2 2 2" xfId="41638" xr:uid="{00000000-0005-0000-0000-0000ACA20000}"/>
    <cellStyle name="Note 4 9 2 2 2 3" xfId="41639" xr:uid="{00000000-0005-0000-0000-0000ADA20000}"/>
    <cellStyle name="Note 4 9 2 2 3" xfId="41640" xr:uid="{00000000-0005-0000-0000-0000AEA20000}"/>
    <cellStyle name="Note 4 9 2 2 4" xfId="41641" xr:uid="{00000000-0005-0000-0000-0000AFA20000}"/>
    <cellStyle name="Note 4 9 2 2 5" xfId="41642" xr:uid="{00000000-0005-0000-0000-0000B0A20000}"/>
    <cellStyle name="Note 4 9 2 2 6" xfId="41643" xr:uid="{00000000-0005-0000-0000-0000B1A20000}"/>
    <cellStyle name="Note 4 9 2 3" xfId="41644" xr:uid="{00000000-0005-0000-0000-0000B2A20000}"/>
    <cellStyle name="Note 4 9 2 3 2" xfId="41645" xr:uid="{00000000-0005-0000-0000-0000B3A20000}"/>
    <cellStyle name="Note 4 9 2 3 2 2" xfId="41646" xr:uid="{00000000-0005-0000-0000-0000B4A20000}"/>
    <cellStyle name="Note 4 9 2 3 3" xfId="41647" xr:uid="{00000000-0005-0000-0000-0000B5A20000}"/>
    <cellStyle name="Note 4 9 2 3 4" xfId="41648" xr:uid="{00000000-0005-0000-0000-0000B6A20000}"/>
    <cellStyle name="Note 4 9 2 3 5" xfId="41649" xr:uid="{00000000-0005-0000-0000-0000B7A20000}"/>
    <cellStyle name="Note 4 9 2 4" xfId="41650" xr:uid="{00000000-0005-0000-0000-0000B8A20000}"/>
    <cellStyle name="Note 4 9 2 4 2" xfId="41651" xr:uid="{00000000-0005-0000-0000-0000B9A20000}"/>
    <cellStyle name="Note 4 9 2 4 3" xfId="41652" xr:uid="{00000000-0005-0000-0000-0000BAA20000}"/>
    <cellStyle name="Note 4 9 2 4 4" xfId="41653" xr:uid="{00000000-0005-0000-0000-0000BBA20000}"/>
    <cellStyle name="Note 4 9 2 5" xfId="41654" xr:uid="{00000000-0005-0000-0000-0000BCA20000}"/>
    <cellStyle name="Note 4 9 2 5 2" xfId="41655" xr:uid="{00000000-0005-0000-0000-0000BDA20000}"/>
    <cellStyle name="Note 4 9 2 6" xfId="41656" xr:uid="{00000000-0005-0000-0000-0000BEA20000}"/>
    <cellStyle name="Note 4 9 2 7" xfId="41657" xr:uid="{00000000-0005-0000-0000-0000BFA20000}"/>
    <cellStyle name="Note 4 9 2 8" xfId="41658" xr:uid="{00000000-0005-0000-0000-0000C0A20000}"/>
    <cellStyle name="Note 4 9 2 9" xfId="41659" xr:uid="{00000000-0005-0000-0000-0000C1A20000}"/>
    <cellStyle name="Note 4 9 3" xfId="41660" xr:uid="{00000000-0005-0000-0000-0000C2A20000}"/>
    <cellStyle name="Note 4 9 3 2" xfId="41661" xr:uid="{00000000-0005-0000-0000-0000C3A20000}"/>
    <cellStyle name="Note 4 9 3 2 2" xfId="41662" xr:uid="{00000000-0005-0000-0000-0000C4A20000}"/>
    <cellStyle name="Note 4 9 3 2 3" xfId="41663" xr:uid="{00000000-0005-0000-0000-0000C5A20000}"/>
    <cellStyle name="Note 4 9 3 3" xfId="41664" xr:uid="{00000000-0005-0000-0000-0000C6A20000}"/>
    <cellStyle name="Note 4 9 3 4" xfId="41665" xr:uid="{00000000-0005-0000-0000-0000C7A20000}"/>
    <cellStyle name="Note 4 9 3 5" xfId="41666" xr:uid="{00000000-0005-0000-0000-0000C8A20000}"/>
    <cellStyle name="Note 4 9 3 6" xfId="41667" xr:uid="{00000000-0005-0000-0000-0000C9A20000}"/>
    <cellStyle name="Note 4 9 4" xfId="41668" xr:uid="{00000000-0005-0000-0000-0000CAA20000}"/>
    <cellStyle name="Note 4 9 4 2" xfId="41669" xr:uid="{00000000-0005-0000-0000-0000CBA20000}"/>
    <cellStyle name="Note 4 9 4 2 2" xfId="41670" xr:uid="{00000000-0005-0000-0000-0000CCA20000}"/>
    <cellStyle name="Note 4 9 4 3" xfId="41671" xr:uid="{00000000-0005-0000-0000-0000CDA20000}"/>
    <cellStyle name="Note 4 9 4 4" xfId="41672" xr:uid="{00000000-0005-0000-0000-0000CEA20000}"/>
    <cellStyle name="Note 4 9 4 5" xfId="41673" xr:uid="{00000000-0005-0000-0000-0000CFA20000}"/>
    <cellStyle name="Note 4 9 5" xfId="41674" xr:uid="{00000000-0005-0000-0000-0000D0A20000}"/>
    <cellStyle name="Note 4 9 5 2" xfId="41675" xr:uid="{00000000-0005-0000-0000-0000D1A20000}"/>
    <cellStyle name="Note 4 9 5 3" xfId="41676" xr:uid="{00000000-0005-0000-0000-0000D2A20000}"/>
    <cellStyle name="Note 4 9 5 4" xfId="41677" xr:uid="{00000000-0005-0000-0000-0000D3A20000}"/>
    <cellStyle name="Note 4 9 6" xfId="41678" xr:uid="{00000000-0005-0000-0000-0000D4A20000}"/>
    <cellStyle name="Note 4 9 6 2" xfId="41679" xr:uid="{00000000-0005-0000-0000-0000D5A20000}"/>
    <cellStyle name="Note 4 9 7" xfId="41680" xr:uid="{00000000-0005-0000-0000-0000D6A20000}"/>
    <cellStyle name="Note 4 9 8" xfId="41681" xr:uid="{00000000-0005-0000-0000-0000D7A20000}"/>
    <cellStyle name="Note 4 9 9" xfId="41682" xr:uid="{00000000-0005-0000-0000-0000D8A20000}"/>
    <cellStyle name="Note 5" xfId="41683" xr:uid="{00000000-0005-0000-0000-0000D9A20000}"/>
    <cellStyle name="Note 5 10" xfId="41684" xr:uid="{00000000-0005-0000-0000-0000DAA20000}"/>
    <cellStyle name="Note 5 11" xfId="41685" xr:uid="{00000000-0005-0000-0000-0000DBA20000}"/>
    <cellStyle name="Note 5 2" xfId="41686" xr:uid="{00000000-0005-0000-0000-0000DCA20000}"/>
    <cellStyle name="Note 5 2 10" xfId="41687" xr:uid="{00000000-0005-0000-0000-0000DDA20000}"/>
    <cellStyle name="Note 5 2 2" xfId="41688" xr:uid="{00000000-0005-0000-0000-0000DEA20000}"/>
    <cellStyle name="Note 5 2 2 2" xfId="41689" xr:uid="{00000000-0005-0000-0000-0000DFA20000}"/>
    <cellStyle name="Note 5 2 2 2 2" xfId="41690" xr:uid="{00000000-0005-0000-0000-0000E0A20000}"/>
    <cellStyle name="Note 5 2 2 2 2 2" xfId="41691" xr:uid="{00000000-0005-0000-0000-0000E1A20000}"/>
    <cellStyle name="Note 5 2 2 2 2 3" xfId="41692" xr:uid="{00000000-0005-0000-0000-0000E2A20000}"/>
    <cellStyle name="Note 5 2 2 2 3" xfId="41693" xr:uid="{00000000-0005-0000-0000-0000E3A20000}"/>
    <cellStyle name="Note 5 2 2 2 4" xfId="41694" xr:uid="{00000000-0005-0000-0000-0000E4A20000}"/>
    <cellStyle name="Note 5 2 2 2 5" xfId="41695" xr:uid="{00000000-0005-0000-0000-0000E5A20000}"/>
    <cellStyle name="Note 5 2 2 2 6" xfId="41696" xr:uid="{00000000-0005-0000-0000-0000E6A20000}"/>
    <cellStyle name="Note 5 2 2 3" xfId="41697" xr:uid="{00000000-0005-0000-0000-0000E7A20000}"/>
    <cellStyle name="Note 5 2 2 3 2" xfId="41698" xr:uid="{00000000-0005-0000-0000-0000E8A20000}"/>
    <cellStyle name="Note 5 2 2 3 2 2" xfId="41699" xr:uid="{00000000-0005-0000-0000-0000E9A20000}"/>
    <cellStyle name="Note 5 2 2 3 3" xfId="41700" xr:uid="{00000000-0005-0000-0000-0000EAA20000}"/>
    <cellStyle name="Note 5 2 2 3 4" xfId="41701" xr:uid="{00000000-0005-0000-0000-0000EBA20000}"/>
    <cellStyle name="Note 5 2 2 3 5" xfId="41702" xr:uid="{00000000-0005-0000-0000-0000ECA20000}"/>
    <cellStyle name="Note 5 2 2 4" xfId="41703" xr:uid="{00000000-0005-0000-0000-0000EDA20000}"/>
    <cellStyle name="Note 5 2 2 4 2" xfId="41704" xr:uid="{00000000-0005-0000-0000-0000EEA20000}"/>
    <cellStyle name="Note 5 2 2 4 3" xfId="41705" xr:uid="{00000000-0005-0000-0000-0000EFA20000}"/>
    <cellStyle name="Note 5 2 2 4 4" xfId="41706" xr:uid="{00000000-0005-0000-0000-0000F0A20000}"/>
    <cellStyle name="Note 5 2 2 5" xfId="41707" xr:uid="{00000000-0005-0000-0000-0000F1A20000}"/>
    <cellStyle name="Note 5 2 2 5 2" xfId="41708" xr:uid="{00000000-0005-0000-0000-0000F2A20000}"/>
    <cellStyle name="Note 5 2 2 6" xfId="41709" xr:uid="{00000000-0005-0000-0000-0000F3A20000}"/>
    <cellStyle name="Note 5 2 2 7" xfId="41710" xr:uid="{00000000-0005-0000-0000-0000F4A20000}"/>
    <cellStyle name="Note 5 2 2 8" xfId="41711" xr:uid="{00000000-0005-0000-0000-0000F5A20000}"/>
    <cellStyle name="Note 5 2 2 9" xfId="41712" xr:uid="{00000000-0005-0000-0000-0000F6A20000}"/>
    <cellStyle name="Note 5 2 3" xfId="41713" xr:uid="{00000000-0005-0000-0000-0000F7A20000}"/>
    <cellStyle name="Note 5 2 3 2" xfId="41714" xr:uid="{00000000-0005-0000-0000-0000F8A20000}"/>
    <cellStyle name="Note 5 2 3 2 2" xfId="41715" xr:uid="{00000000-0005-0000-0000-0000F9A20000}"/>
    <cellStyle name="Note 5 2 3 2 3" xfId="41716" xr:uid="{00000000-0005-0000-0000-0000FAA20000}"/>
    <cellStyle name="Note 5 2 3 3" xfId="41717" xr:uid="{00000000-0005-0000-0000-0000FBA20000}"/>
    <cellStyle name="Note 5 2 3 4" xfId="41718" xr:uid="{00000000-0005-0000-0000-0000FCA20000}"/>
    <cellStyle name="Note 5 2 3 5" xfId="41719" xr:uid="{00000000-0005-0000-0000-0000FDA20000}"/>
    <cellStyle name="Note 5 2 3 6" xfId="41720" xr:uid="{00000000-0005-0000-0000-0000FEA20000}"/>
    <cellStyle name="Note 5 2 4" xfId="41721" xr:uid="{00000000-0005-0000-0000-0000FFA20000}"/>
    <cellStyle name="Note 5 2 4 2" xfId="41722" xr:uid="{00000000-0005-0000-0000-000000A30000}"/>
    <cellStyle name="Note 5 2 4 2 2" xfId="41723" xr:uid="{00000000-0005-0000-0000-000001A30000}"/>
    <cellStyle name="Note 5 2 4 3" xfId="41724" xr:uid="{00000000-0005-0000-0000-000002A30000}"/>
    <cellStyle name="Note 5 2 4 4" xfId="41725" xr:uid="{00000000-0005-0000-0000-000003A30000}"/>
    <cellStyle name="Note 5 2 4 5" xfId="41726" xr:uid="{00000000-0005-0000-0000-000004A30000}"/>
    <cellStyle name="Note 5 2 5" xfId="41727" xr:uid="{00000000-0005-0000-0000-000005A30000}"/>
    <cellStyle name="Note 5 2 5 2" xfId="41728" xr:uid="{00000000-0005-0000-0000-000006A30000}"/>
    <cellStyle name="Note 5 2 5 3" xfId="41729" xr:uid="{00000000-0005-0000-0000-000007A30000}"/>
    <cellStyle name="Note 5 2 5 4" xfId="41730" xr:uid="{00000000-0005-0000-0000-000008A30000}"/>
    <cellStyle name="Note 5 2 6" xfId="41731" xr:uid="{00000000-0005-0000-0000-000009A30000}"/>
    <cellStyle name="Note 5 2 6 2" xfId="41732" xr:uid="{00000000-0005-0000-0000-00000AA30000}"/>
    <cellStyle name="Note 5 2 7" xfId="41733" xr:uid="{00000000-0005-0000-0000-00000BA30000}"/>
    <cellStyle name="Note 5 2 8" xfId="41734" xr:uid="{00000000-0005-0000-0000-00000CA30000}"/>
    <cellStyle name="Note 5 2 9" xfId="41735" xr:uid="{00000000-0005-0000-0000-00000DA30000}"/>
    <cellStyle name="Note 5 3" xfId="41736" xr:uid="{00000000-0005-0000-0000-00000EA30000}"/>
    <cellStyle name="Note 5 3 2" xfId="41737" xr:uid="{00000000-0005-0000-0000-00000FA30000}"/>
    <cellStyle name="Note 5 3 2 2" xfId="41738" xr:uid="{00000000-0005-0000-0000-000010A30000}"/>
    <cellStyle name="Note 5 3 2 2 2" xfId="41739" xr:uid="{00000000-0005-0000-0000-000011A30000}"/>
    <cellStyle name="Note 5 3 2 2 3" xfId="41740" xr:uid="{00000000-0005-0000-0000-000012A30000}"/>
    <cellStyle name="Note 5 3 2 3" xfId="41741" xr:uid="{00000000-0005-0000-0000-000013A30000}"/>
    <cellStyle name="Note 5 3 2 4" xfId="41742" xr:uid="{00000000-0005-0000-0000-000014A30000}"/>
    <cellStyle name="Note 5 3 2 5" xfId="41743" xr:uid="{00000000-0005-0000-0000-000015A30000}"/>
    <cellStyle name="Note 5 3 2 6" xfId="41744" xr:uid="{00000000-0005-0000-0000-000016A30000}"/>
    <cellStyle name="Note 5 3 3" xfId="41745" xr:uid="{00000000-0005-0000-0000-000017A30000}"/>
    <cellStyle name="Note 5 3 3 2" xfId="41746" xr:uid="{00000000-0005-0000-0000-000018A30000}"/>
    <cellStyle name="Note 5 3 3 2 2" xfId="41747" xr:uid="{00000000-0005-0000-0000-000019A30000}"/>
    <cellStyle name="Note 5 3 3 3" xfId="41748" xr:uid="{00000000-0005-0000-0000-00001AA30000}"/>
    <cellStyle name="Note 5 3 3 4" xfId="41749" xr:uid="{00000000-0005-0000-0000-00001BA30000}"/>
    <cellStyle name="Note 5 3 3 5" xfId="41750" xr:uid="{00000000-0005-0000-0000-00001CA30000}"/>
    <cellStyle name="Note 5 3 4" xfId="41751" xr:uid="{00000000-0005-0000-0000-00001DA30000}"/>
    <cellStyle name="Note 5 3 4 2" xfId="41752" xr:uid="{00000000-0005-0000-0000-00001EA30000}"/>
    <cellStyle name="Note 5 3 4 3" xfId="41753" xr:uid="{00000000-0005-0000-0000-00001FA30000}"/>
    <cellStyle name="Note 5 3 4 4" xfId="41754" xr:uid="{00000000-0005-0000-0000-000020A30000}"/>
    <cellStyle name="Note 5 3 5" xfId="41755" xr:uid="{00000000-0005-0000-0000-000021A30000}"/>
    <cellStyle name="Note 5 3 5 2" xfId="41756" xr:uid="{00000000-0005-0000-0000-000022A30000}"/>
    <cellStyle name="Note 5 3 6" xfId="41757" xr:uid="{00000000-0005-0000-0000-000023A30000}"/>
    <cellStyle name="Note 5 3 7" xfId="41758" xr:uid="{00000000-0005-0000-0000-000024A30000}"/>
    <cellStyle name="Note 5 3 8" xfId="41759" xr:uid="{00000000-0005-0000-0000-000025A30000}"/>
    <cellStyle name="Note 5 3 9" xfId="41760" xr:uid="{00000000-0005-0000-0000-000026A30000}"/>
    <cellStyle name="Note 5 4" xfId="41761" xr:uid="{00000000-0005-0000-0000-000027A30000}"/>
    <cellStyle name="Note 5 4 2" xfId="41762" xr:uid="{00000000-0005-0000-0000-000028A30000}"/>
    <cellStyle name="Note 5 4 2 2" xfId="41763" xr:uid="{00000000-0005-0000-0000-000029A30000}"/>
    <cellStyle name="Note 5 4 2 3" xfId="41764" xr:uid="{00000000-0005-0000-0000-00002AA30000}"/>
    <cellStyle name="Note 5 4 3" xfId="41765" xr:uid="{00000000-0005-0000-0000-00002BA30000}"/>
    <cellStyle name="Note 5 4 4" xfId="41766" xr:uid="{00000000-0005-0000-0000-00002CA30000}"/>
    <cellStyle name="Note 5 4 5" xfId="41767" xr:uid="{00000000-0005-0000-0000-00002DA30000}"/>
    <cellStyle name="Note 5 4 6" xfId="41768" xr:uid="{00000000-0005-0000-0000-00002EA30000}"/>
    <cellStyle name="Note 5 5" xfId="41769" xr:uid="{00000000-0005-0000-0000-00002FA30000}"/>
    <cellStyle name="Note 5 5 2" xfId="41770" xr:uid="{00000000-0005-0000-0000-000030A30000}"/>
    <cellStyle name="Note 5 5 2 2" xfId="41771" xr:uid="{00000000-0005-0000-0000-000031A30000}"/>
    <cellStyle name="Note 5 5 3" xfId="41772" xr:uid="{00000000-0005-0000-0000-000032A30000}"/>
    <cellStyle name="Note 5 5 4" xfId="41773" xr:uid="{00000000-0005-0000-0000-000033A30000}"/>
    <cellStyle name="Note 5 5 5" xfId="41774" xr:uid="{00000000-0005-0000-0000-000034A30000}"/>
    <cellStyle name="Note 5 6" xfId="41775" xr:uid="{00000000-0005-0000-0000-000035A30000}"/>
    <cellStyle name="Note 5 6 2" xfId="41776" xr:uid="{00000000-0005-0000-0000-000036A30000}"/>
    <cellStyle name="Note 5 6 2 2" xfId="41777" xr:uid="{00000000-0005-0000-0000-000037A30000}"/>
    <cellStyle name="Note 5 6 3" xfId="41778" xr:uid="{00000000-0005-0000-0000-000038A30000}"/>
    <cellStyle name="Note 5 6 4" xfId="41779" xr:uid="{00000000-0005-0000-0000-000039A30000}"/>
    <cellStyle name="Note 5 6 5" xfId="41780" xr:uid="{00000000-0005-0000-0000-00003AA30000}"/>
    <cellStyle name="Note 5 7" xfId="41781" xr:uid="{00000000-0005-0000-0000-00003BA30000}"/>
    <cellStyle name="Note 5 7 2" xfId="41782" xr:uid="{00000000-0005-0000-0000-00003CA30000}"/>
    <cellStyle name="Note 5 8" xfId="41783" xr:uid="{00000000-0005-0000-0000-00003DA30000}"/>
    <cellStyle name="Note 5 9" xfId="41784" xr:uid="{00000000-0005-0000-0000-00003EA30000}"/>
    <cellStyle name="Note 6" xfId="41785" xr:uid="{00000000-0005-0000-0000-00003FA30000}"/>
    <cellStyle name="Note 6 10" xfId="41786" xr:uid="{00000000-0005-0000-0000-000040A30000}"/>
    <cellStyle name="Note 6 11" xfId="41787" xr:uid="{00000000-0005-0000-0000-000041A30000}"/>
    <cellStyle name="Note 6 2" xfId="41788" xr:uid="{00000000-0005-0000-0000-000042A30000}"/>
    <cellStyle name="Note 6 2 10" xfId="41789" xr:uid="{00000000-0005-0000-0000-000043A30000}"/>
    <cellStyle name="Note 6 2 2" xfId="41790" xr:uid="{00000000-0005-0000-0000-000044A30000}"/>
    <cellStyle name="Note 6 2 2 2" xfId="41791" xr:uid="{00000000-0005-0000-0000-000045A30000}"/>
    <cellStyle name="Note 6 2 2 2 2" xfId="41792" xr:uid="{00000000-0005-0000-0000-000046A30000}"/>
    <cellStyle name="Note 6 2 2 2 2 2" xfId="41793" xr:uid="{00000000-0005-0000-0000-000047A30000}"/>
    <cellStyle name="Note 6 2 2 2 2 3" xfId="41794" xr:uid="{00000000-0005-0000-0000-000048A30000}"/>
    <cellStyle name="Note 6 2 2 2 3" xfId="41795" xr:uid="{00000000-0005-0000-0000-000049A30000}"/>
    <cellStyle name="Note 6 2 2 2 4" xfId="41796" xr:uid="{00000000-0005-0000-0000-00004AA30000}"/>
    <cellStyle name="Note 6 2 2 2 5" xfId="41797" xr:uid="{00000000-0005-0000-0000-00004BA30000}"/>
    <cellStyle name="Note 6 2 2 2 6" xfId="41798" xr:uid="{00000000-0005-0000-0000-00004CA30000}"/>
    <cellStyle name="Note 6 2 2 3" xfId="41799" xr:uid="{00000000-0005-0000-0000-00004DA30000}"/>
    <cellStyle name="Note 6 2 2 3 2" xfId="41800" xr:uid="{00000000-0005-0000-0000-00004EA30000}"/>
    <cellStyle name="Note 6 2 2 3 2 2" xfId="41801" xr:uid="{00000000-0005-0000-0000-00004FA30000}"/>
    <cellStyle name="Note 6 2 2 3 3" xfId="41802" xr:uid="{00000000-0005-0000-0000-000050A30000}"/>
    <cellStyle name="Note 6 2 2 3 4" xfId="41803" xr:uid="{00000000-0005-0000-0000-000051A30000}"/>
    <cellStyle name="Note 6 2 2 3 5" xfId="41804" xr:uid="{00000000-0005-0000-0000-000052A30000}"/>
    <cellStyle name="Note 6 2 2 4" xfId="41805" xr:uid="{00000000-0005-0000-0000-000053A30000}"/>
    <cellStyle name="Note 6 2 2 4 2" xfId="41806" xr:uid="{00000000-0005-0000-0000-000054A30000}"/>
    <cellStyle name="Note 6 2 2 4 3" xfId="41807" xr:uid="{00000000-0005-0000-0000-000055A30000}"/>
    <cellStyle name="Note 6 2 2 4 4" xfId="41808" xr:uid="{00000000-0005-0000-0000-000056A30000}"/>
    <cellStyle name="Note 6 2 2 5" xfId="41809" xr:uid="{00000000-0005-0000-0000-000057A30000}"/>
    <cellStyle name="Note 6 2 2 5 2" xfId="41810" xr:uid="{00000000-0005-0000-0000-000058A30000}"/>
    <cellStyle name="Note 6 2 2 6" xfId="41811" xr:uid="{00000000-0005-0000-0000-000059A30000}"/>
    <cellStyle name="Note 6 2 2 7" xfId="41812" xr:uid="{00000000-0005-0000-0000-00005AA30000}"/>
    <cellStyle name="Note 6 2 2 8" xfId="41813" xr:uid="{00000000-0005-0000-0000-00005BA30000}"/>
    <cellStyle name="Note 6 2 2 9" xfId="41814" xr:uid="{00000000-0005-0000-0000-00005CA30000}"/>
    <cellStyle name="Note 6 2 3" xfId="41815" xr:uid="{00000000-0005-0000-0000-00005DA30000}"/>
    <cellStyle name="Note 6 2 3 2" xfId="41816" xr:uid="{00000000-0005-0000-0000-00005EA30000}"/>
    <cellStyle name="Note 6 2 3 2 2" xfId="41817" xr:uid="{00000000-0005-0000-0000-00005FA30000}"/>
    <cellStyle name="Note 6 2 3 2 3" xfId="41818" xr:uid="{00000000-0005-0000-0000-000060A30000}"/>
    <cellStyle name="Note 6 2 3 3" xfId="41819" xr:uid="{00000000-0005-0000-0000-000061A30000}"/>
    <cellStyle name="Note 6 2 3 4" xfId="41820" xr:uid="{00000000-0005-0000-0000-000062A30000}"/>
    <cellStyle name="Note 6 2 3 5" xfId="41821" xr:uid="{00000000-0005-0000-0000-000063A30000}"/>
    <cellStyle name="Note 6 2 3 6" xfId="41822" xr:uid="{00000000-0005-0000-0000-000064A30000}"/>
    <cellStyle name="Note 6 2 4" xfId="41823" xr:uid="{00000000-0005-0000-0000-000065A30000}"/>
    <cellStyle name="Note 6 2 4 2" xfId="41824" xr:uid="{00000000-0005-0000-0000-000066A30000}"/>
    <cellStyle name="Note 6 2 4 2 2" xfId="41825" xr:uid="{00000000-0005-0000-0000-000067A30000}"/>
    <cellStyle name="Note 6 2 4 3" xfId="41826" xr:uid="{00000000-0005-0000-0000-000068A30000}"/>
    <cellStyle name="Note 6 2 4 4" xfId="41827" xr:uid="{00000000-0005-0000-0000-000069A30000}"/>
    <cellStyle name="Note 6 2 4 5" xfId="41828" xr:uid="{00000000-0005-0000-0000-00006AA30000}"/>
    <cellStyle name="Note 6 2 5" xfId="41829" xr:uid="{00000000-0005-0000-0000-00006BA30000}"/>
    <cellStyle name="Note 6 2 5 2" xfId="41830" xr:uid="{00000000-0005-0000-0000-00006CA30000}"/>
    <cellStyle name="Note 6 2 5 3" xfId="41831" xr:uid="{00000000-0005-0000-0000-00006DA30000}"/>
    <cellStyle name="Note 6 2 5 4" xfId="41832" xr:uid="{00000000-0005-0000-0000-00006EA30000}"/>
    <cellStyle name="Note 6 2 6" xfId="41833" xr:uid="{00000000-0005-0000-0000-00006FA30000}"/>
    <cellStyle name="Note 6 2 6 2" xfId="41834" xr:uid="{00000000-0005-0000-0000-000070A30000}"/>
    <cellStyle name="Note 6 2 7" xfId="41835" xr:uid="{00000000-0005-0000-0000-000071A30000}"/>
    <cellStyle name="Note 6 2 8" xfId="41836" xr:uid="{00000000-0005-0000-0000-000072A30000}"/>
    <cellStyle name="Note 6 2 9" xfId="41837" xr:uid="{00000000-0005-0000-0000-000073A30000}"/>
    <cellStyle name="Note 6 3" xfId="41838" xr:uid="{00000000-0005-0000-0000-000074A30000}"/>
    <cellStyle name="Note 6 3 2" xfId="41839" xr:uid="{00000000-0005-0000-0000-000075A30000}"/>
    <cellStyle name="Note 6 3 2 2" xfId="41840" xr:uid="{00000000-0005-0000-0000-000076A30000}"/>
    <cellStyle name="Note 6 3 2 2 2" xfId="41841" xr:uid="{00000000-0005-0000-0000-000077A30000}"/>
    <cellStyle name="Note 6 3 2 2 3" xfId="41842" xr:uid="{00000000-0005-0000-0000-000078A30000}"/>
    <cellStyle name="Note 6 3 2 3" xfId="41843" xr:uid="{00000000-0005-0000-0000-000079A30000}"/>
    <cellStyle name="Note 6 3 2 4" xfId="41844" xr:uid="{00000000-0005-0000-0000-00007AA30000}"/>
    <cellStyle name="Note 6 3 2 5" xfId="41845" xr:uid="{00000000-0005-0000-0000-00007BA30000}"/>
    <cellStyle name="Note 6 3 2 6" xfId="41846" xr:uid="{00000000-0005-0000-0000-00007CA30000}"/>
    <cellStyle name="Note 6 3 3" xfId="41847" xr:uid="{00000000-0005-0000-0000-00007DA30000}"/>
    <cellStyle name="Note 6 3 3 2" xfId="41848" xr:uid="{00000000-0005-0000-0000-00007EA30000}"/>
    <cellStyle name="Note 6 3 3 2 2" xfId="41849" xr:uid="{00000000-0005-0000-0000-00007FA30000}"/>
    <cellStyle name="Note 6 3 3 3" xfId="41850" xr:uid="{00000000-0005-0000-0000-000080A30000}"/>
    <cellStyle name="Note 6 3 3 4" xfId="41851" xr:uid="{00000000-0005-0000-0000-000081A30000}"/>
    <cellStyle name="Note 6 3 3 5" xfId="41852" xr:uid="{00000000-0005-0000-0000-000082A30000}"/>
    <cellStyle name="Note 6 3 4" xfId="41853" xr:uid="{00000000-0005-0000-0000-000083A30000}"/>
    <cellStyle name="Note 6 3 4 2" xfId="41854" xr:uid="{00000000-0005-0000-0000-000084A30000}"/>
    <cellStyle name="Note 6 3 4 3" xfId="41855" xr:uid="{00000000-0005-0000-0000-000085A30000}"/>
    <cellStyle name="Note 6 3 4 4" xfId="41856" xr:uid="{00000000-0005-0000-0000-000086A30000}"/>
    <cellStyle name="Note 6 3 5" xfId="41857" xr:uid="{00000000-0005-0000-0000-000087A30000}"/>
    <cellStyle name="Note 6 3 5 2" xfId="41858" xr:uid="{00000000-0005-0000-0000-000088A30000}"/>
    <cellStyle name="Note 6 3 6" xfId="41859" xr:uid="{00000000-0005-0000-0000-000089A30000}"/>
    <cellStyle name="Note 6 3 7" xfId="41860" xr:uid="{00000000-0005-0000-0000-00008AA30000}"/>
    <cellStyle name="Note 6 3 8" xfId="41861" xr:uid="{00000000-0005-0000-0000-00008BA30000}"/>
    <cellStyle name="Note 6 3 9" xfId="41862" xr:uid="{00000000-0005-0000-0000-00008CA30000}"/>
    <cellStyle name="Note 6 4" xfId="41863" xr:uid="{00000000-0005-0000-0000-00008DA30000}"/>
    <cellStyle name="Note 6 4 2" xfId="41864" xr:uid="{00000000-0005-0000-0000-00008EA30000}"/>
    <cellStyle name="Note 6 4 2 2" xfId="41865" xr:uid="{00000000-0005-0000-0000-00008FA30000}"/>
    <cellStyle name="Note 6 4 2 3" xfId="41866" xr:uid="{00000000-0005-0000-0000-000090A30000}"/>
    <cellStyle name="Note 6 4 3" xfId="41867" xr:uid="{00000000-0005-0000-0000-000091A30000}"/>
    <cellStyle name="Note 6 4 4" xfId="41868" xr:uid="{00000000-0005-0000-0000-000092A30000}"/>
    <cellStyle name="Note 6 4 5" xfId="41869" xr:uid="{00000000-0005-0000-0000-000093A30000}"/>
    <cellStyle name="Note 6 4 6" xfId="41870" xr:uid="{00000000-0005-0000-0000-000094A30000}"/>
    <cellStyle name="Note 6 5" xfId="41871" xr:uid="{00000000-0005-0000-0000-000095A30000}"/>
    <cellStyle name="Note 6 5 2" xfId="41872" xr:uid="{00000000-0005-0000-0000-000096A30000}"/>
    <cellStyle name="Note 6 5 2 2" xfId="41873" xr:uid="{00000000-0005-0000-0000-000097A30000}"/>
    <cellStyle name="Note 6 5 3" xfId="41874" xr:uid="{00000000-0005-0000-0000-000098A30000}"/>
    <cellStyle name="Note 6 5 4" xfId="41875" xr:uid="{00000000-0005-0000-0000-000099A30000}"/>
    <cellStyle name="Note 6 5 5" xfId="41876" xr:uid="{00000000-0005-0000-0000-00009AA30000}"/>
    <cellStyle name="Note 6 6" xfId="41877" xr:uid="{00000000-0005-0000-0000-00009BA30000}"/>
    <cellStyle name="Note 6 6 2" xfId="41878" xr:uid="{00000000-0005-0000-0000-00009CA30000}"/>
    <cellStyle name="Note 6 6 2 2" xfId="41879" xr:uid="{00000000-0005-0000-0000-00009DA30000}"/>
    <cellStyle name="Note 6 6 3" xfId="41880" xr:uid="{00000000-0005-0000-0000-00009EA30000}"/>
    <cellStyle name="Note 6 6 4" xfId="41881" xr:uid="{00000000-0005-0000-0000-00009FA30000}"/>
    <cellStyle name="Note 6 6 5" xfId="41882" xr:uid="{00000000-0005-0000-0000-0000A0A30000}"/>
    <cellStyle name="Note 6 7" xfId="41883" xr:uid="{00000000-0005-0000-0000-0000A1A30000}"/>
    <cellStyle name="Note 6 7 2" xfId="41884" xr:uid="{00000000-0005-0000-0000-0000A2A30000}"/>
    <cellStyle name="Note 6 8" xfId="41885" xr:uid="{00000000-0005-0000-0000-0000A3A30000}"/>
    <cellStyle name="Note 6 9" xfId="41886" xr:uid="{00000000-0005-0000-0000-0000A4A30000}"/>
    <cellStyle name="Note 7" xfId="41887" xr:uid="{00000000-0005-0000-0000-0000A5A30000}"/>
    <cellStyle name="Note 7 10" xfId="41888" xr:uid="{00000000-0005-0000-0000-0000A6A30000}"/>
    <cellStyle name="Note 7 11" xfId="41889" xr:uid="{00000000-0005-0000-0000-0000A7A30000}"/>
    <cellStyle name="Note 7 2" xfId="41890" xr:uid="{00000000-0005-0000-0000-0000A8A30000}"/>
    <cellStyle name="Note 7 3" xfId="41891" xr:uid="{00000000-0005-0000-0000-0000A9A30000}"/>
    <cellStyle name="Note 7 3 2" xfId="41892" xr:uid="{00000000-0005-0000-0000-0000AAA30000}"/>
    <cellStyle name="Note 7 3 2 2" xfId="41893" xr:uid="{00000000-0005-0000-0000-0000ABA30000}"/>
    <cellStyle name="Note 7 3 2 2 2" xfId="41894" xr:uid="{00000000-0005-0000-0000-0000ACA30000}"/>
    <cellStyle name="Note 7 3 2 2 3" xfId="41895" xr:uid="{00000000-0005-0000-0000-0000ADA30000}"/>
    <cellStyle name="Note 7 3 2 3" xfId="41896" xr:uid="{00000000-0005-0000-0000-0000AEA30000}"/>
    <cellStyle name="Note 7 3 2 4" xfId="41897" xr:uid="{00000000-0005-0000-0000-0000AFA30000}"/>
    <cellStyle name="Note 7 3 2 5" xfId="41898" xr:uid="{00000000-0005-0000-0000-0000B0A30000}"/>
    <cellStyle name="Note 7 3 2 6" xfId="41899" xr:uid="{00000000-0005-0000-0000-0000B1A30000}"/>
    <cellStyle name="Note 7 3 3" xfId="41900" xr:uid="{00000000-0005-0000-0000-0000B2A30000}"/>
    <cellStyle name="Note 7 3 3 2" xfId="41901" xr:uid="{00000000-0005-0000-0000-0000B3A30000}"/>
    <cellStyle name="Note 7 3 3 2 2" xfId="41902" xr:uid="{00000000-0005-0000-0000-0000B4A30000}"/>
    <cellStyle name="Note 7 3 3 3" xfId="41903" xr:uid="{00000000-0005-0000-0000-0000B5A30000}"/>
    <cellStyle name="Note 7 3 3 4" xfId="41904" xr:uid="{00000000-0005-0000-0000-0000B6A30000}"/>
    <cellStyle name="Note 7 3 3 5" xfId="41905" xr:uid="{00000000-0005-0000-0000-0000B7A30000}"/>
    <cellStyle name="Note 7 3 4" xfId="41906" xr:uid="{00000000-0005-0000-0000-0000B8A30000}"/>
    <cellStyle name="Note 7 3 4 2" xfId="41907" xr:uid="{00000000-0005-0000-0000-0000B9A30000}"/>
    <cellStyle name="Note 7 3 4 3" xfId="41908" xr:uid="{00000000-0005-0000-0000-0000BAA30000}"/>
    <cellStyle name="Note 7 3 4 4" xfId="41909" xr:uid="{00000000-0005-0000-0000-0000BBA30000}"/>
    <cellStyle name="Note 7 3 5" xfId="41910" xr:uid="{00000000-0005-0000-0000-0000BCA30000}"/>
    <cellStyle name="Note 7 3 5 2" xfId="41911" xr:uid="{00000000-0005-0000-0000-0000BDA30000}"/>
    <cellStyle name="Note 7 3 6" xfId="41912" xr:uid="{00000000-0005-0000-0000-0000BEA30000}"/>
    <cellStyle name="Note 7 3 7" xfId="41913" xr:uid="{00000000-0005-0000-0000-0000BFA30000}"/>
    <cellStyle name="Note 7 3 8" xfId="41914" xr:uid="{00000000-0005-0000-0000-0000C0A30000}"/>
    <cellStyle name="Note 7 3 9" xfId="41915" xr:uid="{00000000-0005-0000-0000-0000C1A30000}"/>
    <cellStyle name="Note 7 4" xfId="41916" xr:uid="{00000000-0005-0000-0000-0000C2A30000}"/>
    <cellStyle name="Note 7 4 2" xfId="41917" xr:uid="{00000000-0005-0000-0000-0000C3A30000}"/>
    <cellStyle name="Note 7 4 2 2" xfId="41918" xr:uid="{00000000-0005-0000-0000-0000C4A30000}"/>
    <cellStyle name="Note 7 4 2 3" xfId="41919" xr:uid="{00000000-0005-0000-0000-0000C5A30000}"/>
    <cellStyle name="Note 7 4 3" xfId="41920" xr:uid="{00000000-0005-0000-0000-0000C6A30000}"/>
    <cellStyle name="Note 7 4 4" xfId="41921" xr:uid="{00000000-0005-0000-0000-0000C7A30000}"/>
    <cellStyle name="Note 7 4 5" xfId="41922" xr:uid="{00000000-0005-0000-0000-0000C8A30000}"/>
    <cellStyle name="Note 7 4 6" xfId="41923" xr:uid="{00000000-0005-0000-0000-0000C9A30000}"/>
    <cellStyle name="Note 7 5" xfId="41924" xr:uid="{00000000-0005-0000-0000-0000CAA30000}"/>
    <cellStyle name="Note 7 5 2" xfId="41925" xr:uid="{00000000-0005-0000-0000-0000CBA30000}"/>
    <cellStyle name="Note 7 5 2 2" xfId="41926" xr:uid="{00000000-0005-0000-0000-0000CCA30000}"/>
    <cellStyle name="Note 7 5 3" xfId="41927" xr:uid="{00000000-0005-0000-0000-0000CDA30000}"/>
    <cellStyle name="Note 7 5 4" xfId="41928" xr:uid="{00000000-0005-0000-0000-0000CEA30000}"/>
    <cellStyle name="Note 7 5 5" xfId="41929" xr:uid="{00000000-0005-0000-0000-0000CFA30000}"/>
    <cellStyle name="Note 7 6" xfId="41930" xr:uid="{00000000-0005-0000-0000-0000D0A30000}"/>
    <cellStyle name="Note 7 6 2" xfId="41931" xr:uid="{00000000-0005-0000-0000-0000D1A30000}"/>
    <cellStyle name="Note 7 6 3" xfId="41932" xr:uid="{00000000-0005-0000-0000-0000D2A30000}"/>
    <cellStyle name="Note 7 6 4" xfId="41933" xr:uid="{00000000-0005-0000-0000-0000D3A30000}"/>
    <cellStyle name="Note 7 7" xfId="41934" xr:uid="{00000000-0005-0000-0000-0000D4A30000}"/>
    <cellStyle name="Note 7 7 2" xfId="41935" xr:uid="{00000000-0005-0000-0000-0000D5A30000}"/>
    <cellStyle name="Note 7 8" xfId="41936" xr:uid="{00000000-0005-0000-0000-0000D6A30000}"/>
    <cellStyle name="Note 7 9" xfId="41937" xr:uid="{00000000-0005-0000-0000-0000D7A30000}"/>
    <cellStyle name="Note 8" xfId="41938" xr:uid="{00000000-0005-0000-0000-0000D8A30000}"/>
    <cellStyle name="Note 9" xfId="41939" xr:uid="{00000000-0005-0000-0000-0000D9A30000}"/>
    <cellStyle name="Percent" xfId="3" builtinId="5"/>
    <cellStyle name="Percent [2]" xfId="41940" xr:uid="{00000000-0005-0000-0000-0000DBA30000}"/>
    <cellStyle name="Percent 10" xfId="41941" xr:uid="{00000000-0005-0000-0000-0000DCA30000}"/>
    <cellStyle name="Percent 11" xfId="41942" xr:uid="{00000000-0005-0000-0000-0000DDA30000}"/>
    <cellStyle name="Percent 11 2" xfId="41943" xr:uid="{00000000-0005-0000-0000-0000DEA30000}"/>
    <cellStyle name="Percent 12" xfId="41944" xr:uid="{00000000-0005-0000-0000-0000DFA30000}"/>
    <cellStyle name="Percent 13" xfId="41945" xr:uid="{00000000-0005-0000-0000-0000E0A30000}"/>
    <cellStyle name="Percent 14" xfId="41946" xr:uid="{00000000-0005-0000-0000-0000E1A30000}"/>
    <cellStyle name="Percent 15" xfId="41947" xr:uid="{00000000-0005-0000-0000-0000E2A30000}"/>
    <cellStyle name="Percent 16" xfId="41948" xr:uid="{00000000-0005-0000-0000-0000E3A30000}"/>
    <cellStyle name="Percent 17" xfId="41949" xr:uid="{00000000-0005-0000-0000-0000E4A30000}"/>
    <cellStyle name="Percent 18" xfId="41950" xr:uid="{00000000-0005-0000-0000-0000E5A30000}"/>
    <cellStyle name="Percent 19" xfId="41951" xr:uid="{00000000-0005-0000-0000-0000E6A30000}"/>
    <cellStyle name="Percent 2" xfId="41952" xr:uid="{00000000-0005-0000-0000-0000E7A30000}"/>
    <cellStyle name="Percent 2 10" xfId="41953" xr:uid="{00000000-0005-0000-0000-0000E8A30000}"/>
    <cellStyle name="Percent 2 10 2" xfId="41954" xr:uid="{00000000-0005-0000-0000-0000E9A30000}"/>
    <cellStyle name="Percent 2 10 3" xfId="41955" xr:uid="{00000000-0005-0000-0000-0000EAA30000}"/>
    <cellStyle name="Percent 2 10 4" xfId="41956" xr:uid="{00000000-0005-0000-0000-0000EBA30000}"/>
    <cellStyle name="Percent 2 10 5" xfId="41957" xr:uid="{00000000-0005-0000-0000-0000ECA30000}"/>
    <cellStyle name="Percent 2 10 6" xfId="41958" xr:uid="{00000000-0005-0000-0000-0000EDA30000}"/>
    <cellStyle name="Percent 2 11" xfId="41959" xr:uid="{00000000-0005-0000-0000-0000EEA30000}"/>
    <cellStyle name="Percent 2 11 2" xfId="41960" xr:uid="{00000000-0005-0000-0000-0000EFA30000}"/>
    <cellStyle name="Percent 2 11 3" xfId="41961" xr:uid="{00000000-0005-0000-0000-0000F0A30000}"/>
    <cellStyle name="Percent 2 11 4" xfId="41962" xr:uid="{00000000-0005-0000-0000-0000F1A30000}"/>
    <cellStyle name="Percent 2 11 5" xfId="41963" xr:uid="{00000000-0005-0000-0000-0000F2A30000}"/>
    <cellStyle name="Percent 2 11 6" xfId="41964" xr:uid="{00000000-0005-0000-0000-0000F3A30000}"/>
    <cellStyle name="Percent 2 12" xfId="41965" xr:uid="{00000000-0005-0000-0000-0000F4A30000}"/>
    <cellStyle name="Percent 2 12 2" xfId="41966" xr:uid="{00000000-0005-0000-0000-0000F5A30000}"/>
    <cellStyle name="Percent 2 12 3" xfId="41967" xr:uid="{00000000-0005-0000-0000-0000F6A30000}"/>
    <cellStyle name="Percent 2 12 4" xfId="41968" xr:uid="{00000000-0005-0000-0000-0000F7A30000}"/>
    <cellStyle name="Percent 2 12 5" xfId="41969" xr:uid="{00000000-0005-0000-0000-0000F8A30000}"/>
    <cellStyle name="Percent 2 12 6" xfId="41970" xr:uid="{00000000-0005-0000-0000-0000F9A30000}"/>
    <cellStyle name="Percent 2 13" xfId="41971" xr:uid="{00000000-0005-0000-0000-0000FAA30000}"/>
    <cellStyle name="Percent 2 13 2" xfId="41972" xr:uid="{00000000-0005-0000-0000-0000FBA30000}"/>
    <cellStyle name="Percent 2 13 3" xfId="41973" xr:uid="{00000000-0005-0000-0000-0000FCA30000}"/>
    <cellStyle name="Percent 2 13 4" xfId="41974" xr:uid="{00000000-0005-0000-0000-0000FDA30000}"/>
    <cellStyle name="Percent 2 13 5" xfId="41975" xr:uid="{00000000-0005-0000-0000-0000FEA30000}"/>
    <cellStyle name="Percent 2 13 6" xfId="41976" xr:uid="{00000000-0005-0000-0000-0000FFA30000}"/>
    <cellStyle name="Percent 2 14" xfId="41977" xr:uid="{00000000-0005-0000-0000-000000A40000}"/>
    <cellStyle name="Percent 2 14 2" xfId="41978" xr:uid="{00000000-0005-0000-0000-000001A40000}"/>
    <cellStyle name="Percent 2 14 3" xfId="41979" xr:uid="{00000000-0005-0000-0000-000002A40000}"/>
    <cellStyle name="Percent 2 14 4" xfId="41980" xr:uid="{00000000-0005-0000-0000-000003A40000}"/>
    <cellStyle name="Percent 2 14 5" xfId="41981" xr:uid="{00000000-0005-0000-0000-000004A40000}"/>
    <cellStyle name="Percent 2 14 6" xfId="41982" xr:uid="{00000000-0005-0000-0000-000005A40000}"/>
    <cellStyle name="Percent 2 15" xfId="41983" xr:uid="{00000000-0005-0000-0000-000006A40000}"/>
    <cellStyle name="Percent 2 15 2" xfId="41984" xr:uid="{00000000-0005-0000-0000-000007A40000}"/>
    <cellStyle name="Percent 2 15 3" xfId="41985" xr:uid="{00000000-0005-0000-0000-000008A40000}"/>
    <cellStyle name="Percent 2 15 4" xfId="41986" xr:uid="{00000000-0005-0000-0000-000009A40000}"/>
    <cellStyle name="Percent 2 15 5" xfId="41987" xr:uid="{00000000-0005-0000-0000-00000AA40000}"/>
    <cellStyle name="Percent 2 15 6" xfId="41988" xr:uid="{00000000-0005-0000-0000-00000BA40000}"/>
    <cellStyle name="Percent 2 16" xfId="41989" xr:uid="{00000000-0005-0000-0000-00000CA40000}"/>
    <cellStyle name="Percent 2 16 2" xfId="41990" xr:uid="{00000000-0005-0000-0000-00000DA40000}"/>
    <cellStyle name="Percent 2 16 3" xfId="41991" xr:uid="{00000000-0005-0000-0000-00000EA40000}"/>
    <cellStyle name="Percent 2 16 4" xfId="41992" xr:uid="{00000000-0005-0000-0000-00000FA40000}"/>
    <cellStyle name="Percent 2 16 5" xfId="41993" xr:uid="{00000000-0005-0000-0000-000010A40000}"/>
    <cellStyle name="Percent 2 16 6" xfId="41994" xr:uid="{00000000-0005-0000-0000-000011A40000}"/>
    <cellStyle name="Percent 2 17" xfId="41995" xr:uid="{00000000-0005-0000-0000-000012A40000}"/>
    <cellStyle name="Percent 2 17 2" xfId="41996" xr:uid="{00000000-0005-0000-0000-000013A40000}"/>
    <cellStyle name="Percent 2 17 3" xfId="41997" xr:uid="{00000000-0005-0000-0000-000014A40000}"/>
    <cellStyle name="Percent 2 17 4" xfId="41998" xr:uid="{00000000-0005-0000-0000-000015A40000}"/>
    <cellStyle name="Percent 2 17 5" xfId="41999" xr:uid="{00000000-0005-0000-0000-000016A40000}"/>
    <cellStyle name="Percent 2 17 6" xfId="42000" xr:uid="{00000000-0005-0000-0000-000017A40000}"/>
    <cellStyle name="Percent 2 18" xfId="42001" xr:uid="{00000000-0005-0000-0000-000018A40000}"/>
    <cellStyle name="Percent 2 18 2" xfId="42002" xr:uid="{00000000-0005-0000-0000-000019A40000}"/>
    <cellStyle name="Percent 2 18 3" xfId="42003" xr:uid="{00000000-0005-0000-0000-00001AA40000}"/>
    <cellStyle name="Percent 2 18 4" xfId="42004" xr:uid="{00000000-0005-0000-0000-00001BA40000}"/>
    <cellStyle name="Percent 2 18 5" xfId="42005" xr:uid="{00000000-0005-0000-0000-00001CA40000}"/>
    <cellStyle name="Percent 2 18 6" xfId="42006" xr:uid="{00000000-0005-0000-0000-00001DA40000}"/>
    <cellStyle name="Percent 2 19" xfId="42007" xr:uid="{00000000-0005-0000-0000-00001EA40000}"/>
    <cellStyle name="Percent 2 19 2" xfId="42008" xr:uid="{00000000-0005-0000-0000-00001FA40000}"/>
    <cellStyle name="Percent 2 19 3" xfId="42009" xr:uid="{00000000-0005-0000-0000-000020A40000}"/>
    <cellStyle name="Percent 2 19 4" xfId="42010" xr:uid="{00000000-0005-0000-0000-000021A40000}"/>
    <cellStyle name="Percent 2 19 5" xfId="42011" xr:uid="{00000000-0005-0000-0000-000022A40000}"/>
    <cellStyle name="Percent 2 19 6" xfId="42012" xr:uid="{00000000-0005-0000-0000-000023A40000}"/>
    <cellStyle name="Percent 2 2" xfId="42013" xr:uid="{00000000-0005-0000-0000-000024A40000}"/>
    <cellStyle name="Percent 2 2 10" xfId="42014" xr:uid="{00000000-0005-0000-0000-000025A40000}"/>
    <cellStyle name="Percent 2 2 11" xfId="42015" xr:uid="{00000000-0005-0000-0000-000026A40000}"/>
    <cellStyle name="Percent 2 2 12" xfId="42016" xr:uid="{00000000-0005-0000-0000-000027A40000}"/>
    <cellStyle name="Percent 2 2 13" xfId="42017" xr:uid="{00000000-0005-0000-0000-000028A40000}"/>
    <cellStyle name="Percent 2 2 14" xfId="42018" xr:uid="{00000000-0005-0000-0000-000029A40000}"/>
    <cellStyle name="Percent 2 2 15" xfId="42019" xr:uid="{00000000-0005-0000-0000-00002AA40000}"/>
    <cellStyle name="Percent 2 2 16" xfId="42020" xr:uid="{00000000-0005-0000-0000-00002BA40000}"/>
    <cellStyle name="Percent 2 2 17" xfId="42021" xr:uid="{00000000-0005-0000-0000-00002CA40000}"/>
    <cellStyle name="Percent 2 2 18" xfId="42022" xr:uid="{00000000-0005-0000-0000-00002DA40000}"/>
    <cellStyle name="Percent 2 2 19" xfId="42023" xr:uid="{00000000-0005-0000-0000-00002EA40000}"/>
    <cellStyle name="Percent 2 2 2" xfId="42024" xr:uid="{00000000-0005-0000-0000-00002FA40000}"/>
    <cellStyle name="Percent 2 2 20" xfId="42025" xr:uid="{00000000-0005-0000-0000-000030A40000}"/>
    <cellStyle name="Percent 2 2 21" xfId="42026" xr:uid="{00000000-0005-0000-0000-000031A40000}"/>
    <cellStyle name="Percent 2 2 22" xfId="42027" xr:uid="{00000000-0005-0000-0000-000032A40000}"/>
    <cellStyle name="Percent 2 2 23" xfId="42028" xr:uid="{00000000-0005-0000-0000-000033A40000}"/>
    <cellStyle name="Percent 2 2 24" xfId="42029" xr:uid="{00000000-0005-0000-0000-000034A40000}"/>
    <cellStyle name="Percent 2 2 25" xfId="42030" xr:uid="{00000000-0005-0000-0000-000035A40000}"/>
    <cellStyle name="Percent 2 2 26" xfId="42031" xr:uid="{00000000-0005-0000-0000-000036A40000}"/>
    <cellStyle name="Percent 2 2 27" xfId="42032" xr:uid="{00000000-0005-0000-0000-000037A40000}"/>
    <cellStyle name="Percent 2 2 28" xfId="42033" xr:uid="{00000000-0005-0000-0000-000038A40000}"/>
    <cellStyle name="Percent 2 2 29" xfId="42034" xr:uid="{00000000-0005-0000-0000-000039A40000}"/>
    <cellStyle name="Percent 2 2 3" xfId="42035" xr:uid="{00000000-0005-0000-0000-00003AA40000}"/>
    <cellStyle name="Percent 2 2 3 2" xfId="42036" xr:uid="{00000000-0005-0000-0000-00003BA40000}"/>
    <cellStyle name="Percent 2 2 30" xfId="42037" xr:uid="{00000000-0005-0000-0000-00003CA40000}"/>
    <cellStyle name="Percent 2 2 31" xfId="42038" xr:uid="{00000000-0005-0000-0000-00003DA40000}"/>
    <cellStyle name="Percent 2 2 32" xfId="42039" xr:uid="{00000000-0005-0000-0000-00003EA40000}"/>
    <cellStyle name="Percent 2 2 33" xfId="42040" xr:uid="{00000000-0005-0000-0000-00003FA40000}"/>
    <cellStyle name="Percent 2 2 34" xfId="42041" xr:uid="{00000000-0005-0000-0000-000040A40000}"/>
    <cellStyle name="Percent 2 2 35" xfId="42042" xr:uid="{00000000-0005-0000-0000-000041A40000}"/>
    <cellStyle name="Percent 2 2 36" xfId="42043" xr:uid="{00000000-0005-0000-0000-000042A40000}"/>
    <cellStyle name="Percent 2 2 4" xfId="42044" xr:uid="{00000000-0005-0000-0000-000043A40000}"/>
    <cellStyle name="Percent 2 2 4 2" xfId="42045" xr:uid="{00000000-0005-0000-0000-000044A40000}"/>
    <cellStyle name="Percent 2 2 5" xfId="42046" xr:uid="{00000000-0005-0000-0000-000045A40000}"/>
    <cellStyle name="Percent 2 2 5 2" xfId="42047" xr:uid="{00000000-0005-0000-0000-000046A40000}"/>
    <cellStyle name="Percent 2 2 6" xfId="42048" xr:uid="{00000000-0005-0000-0000-000047A40000}"/>
    <cellStyle name="Percent 2 2 6 2" xfId="42049" xr:uid="{00000000-0005-0000-0000-000048A40000}"/>
    <cellStyle name="Percent 2 2 7" xfId="42050" xr:uid="{00000000-0005-0000-0000-000049A40000}"/>
    <cellStyle name="Percent 2 2 7 2" xfId="42051" xr:uid="{00000000-0005-0000-0000-00004AA40000}"/>
    <cellStyle name="Percent 2 2 8" xfId="42052" xr:uid="{00000000-0005-0000-0000-00004BA40000}"/>
    <cellStyle name="Percent 2 2 8 2" xfId="42053" xr:uid="{00000000-0005-0000-0000-00004CA40000}"/>
    <cellStyle name="Percent 2 2 9" xfId="42054" xr:uid="{00000000-0005-0000-0000-00004DA40000}"/>
    <cellStyle name="Percent 2 20" xfId="42055" xr:uid="{00000000-0005-0000-0000-00004EA40000}"/>
    <cellStyle name="Percent 2 21" xfId="42056" xr:uid="{00000000-0005-0000-0000-00004FA40000}"/>
    <cellStyle name="Percent 2 22" xfId="42057" xr:uid="{00000000-0005-0000-0000-000050A40000}"/>
    <cellStyle name="Percent 2 23" xfId="42058" xr:uid="{00000000-0005-0000-0000-000051A40000}"/>
    <cellStyle name="Percent 2 24" xfId="42059" xr:uid="{00000000-0005-0000-0000-000052A40000}"/>
    <cellStyle name="Percent 2 25" xfId="42060" xr:uid="{00000000-0005-0000-0000-000053A40000}"/>
    <cellStyle name="Percent 2 3" xfId="42061" xr:uid="{00000000-0005-0000-0000-000054A40000}"/>
    <cellStyle name="Percent 2 3 2" xfId="42062" xr:uid="{00000000-0005-0000-0000-000055A40000}"/>
    <cellStyle name="Percent 2 3 3" xfId="42063" xr:uid="{00000000-0005-0000-0000-000056A40000}"/>
    <cellStyle name="Percent 2 3 4" xfId="42064" xr:uid="{00000000-0005-0000-0000-000057A40000}"/>
    <cellStyle name="Percent 2 3 5" xfId="42065" xr:uid="{00000000-0005-0000-0000-000058A40000}"/>
    <cellStyle name="Percent 2 3 6" xfId="42066" xr:uid="{00000000-0005-0000-0000-000059A40000}"/>
    <cellStyle name="Percent 2 4" xfId="42067" xr:uid="{00000000-0005-0000-0000-00005AA40000}"/>
    <cellStyle name="Percent 2 4 2" xfId="42068" xr:uid="{00000000-0005-0000-0000-00005BA40000}"/>
    <cellStyle name="Percent 2 4 3" xfId="42069" xr:uid="{00000000-0005-0000-0000-00005CA40000}"/>
    <cellStyle name="Percent 2 4 4" xfId="42070" xr:uid="{00000000-0005-0000-0000-00005DA40000}"/>
    <cellStyle name="Percent 2 4 5" xfId="42071" xr:uid="{00000000-0005-0000-0000-00005EA40000}"/>
    <cellStyle name="Percent 2 4 6" xfId="42072" xr:uid="{00000000-0005-0000-0000-00005FA40000}"/>
    <cellStyle name="Percent 2 4 7" xfId="42073" xr:uid="{00000000-0005-0000-0000-000060A40000}"/>
    <cellStyle name="Percent 2 5" xfId="42074" xr:uid="{00000000-0005-0000-0000-000061A40000}"/>
    <cellStyle name="Percent 2 5 2" xfId="42075" xr:uid="{00000000-0005-0000-0000-000062A40000}"/>
    <cellStyle name="Percent 2 5 3" xfId="42076" xr:uid="{00000000-0005-0000-0000-000063A40000}"/>
    <cellStyle name="Percent 2 5 4" xfId="42077" xr:uid="{00000000-0005-0000-0000-000064A40000}"/>
    <cellStyle name="Percent 2 5 5" xfId="42078" xr:uid="{00000000-0005-0000-0000-000065A40000}"/>
    <cellStyle name="Percent 2 5 6" xfId="42079" xr:uid="{00000000-0005-0000-0000-000066A40000}"/>
    <cellStyle name="Percent 2 5 7" xfId="42080" xr:uid="{00000000-0005-0000-0000-000067A40000}"/>
    <cellStyle name="Percent 2 6" xfId="42081" xr:uid="{00000000-0005-0000-0000-000068A40000}"/>
    <cellStyle name="Percent 2 6 2" xfId="42082" xr:uid="{00000000-0005-0000-0000-000069A40000}"/>
    <cellStyle name="Percent 2 6 3" xfId="42083" xr:uid="{00000000-0005-0000-0000-00006AA40000}"/>
    <cellStyle name="Percent 2 6 4" xfId="42084" xr:uid="{00000000-0005-0000-0000-00006BA40000}"/>
    <cellStyle name="Percent 2 6 5" xfId="42085" xr:uid="{00000000-0005-0000-0000-00006CA40000}"/>
    <cellStyle name="Percent 2 6 6" xfId="42086" xr:uid="{00000000-0005-0000-0000-00006DA40000}"/>
    <cellStyle name="Percent 2 6 7" xfId="42087" xr:uid="{00000000-0005-0000-0000-00006EA40000}"/>
    <cellStyle name="Percent 2 7" xfId="42088" xr:uid="{00000000-0005-0000-0000-00006FA40000}"/>
    <cellStyle name="Percent 2 7 2" xfId="42089" xr:uid="{00000000-0005-0000-0000-000070A40000}"/>
    <cellStyle name="Percent 2 7 3" xfId="42090" xr:uid="{00000000-0005-0000-0000-000071A40000}"/>
    <cellStyle name="Percent 2 7 4" xfId="42091" xr:uid="{00000000-0005-0000-0000-000072A40000}"/>
    <cellStyle name="Percent 2 7 5" xfId="42092" xr:uid="{00000000-0005-0000-0000-000073A40000}"/>
    <cellStyle name="Percent 2 7 6" xfId="42093" xr:uid="{00000000-0005-0000-0000-000074A40000}"/>
    <cellStyle name="Percent 2 7 7" xfId="42094" xr:uid="{00000000-0005-0000-0000-000075A40000}"/>
    <cellStyle name="Percent 2 8" xfId="42095" xr:uid="{00000000-0005-0000-0000-000076A40000}"/>
    <cellStyle name="Percent 2 8 2" xfId="42096" xr:uid="{00000000-0005-0000-0000-000077A40000}"/>
    <cellStyle name="Percent 2 8 3" xfId="42097" xr:uid="{00000000-0005-0000-0000-000078A40000}"/>
    <cellStyle name="Percent 2 8 4" xfId="42098" xr:uid="{00000000-0005-0000-0000-000079A40000}"/>
    <cellStyle name="Percent 2 8 5" xfId="42099" xr:uid="{00000000-0005-0000-0000-00007AA40000}"/>
    <cellStyle name="Percent 2 8 6" xfId="42100" xr:uid="{00000000-0005-0000-0000-00007BA40000}"/>
    <cellStyle name="Percent 2 8 7" xfId="42101" xr:uid="{00000000-0005-0000-0000-00007CA40000}"/>
    <cellStyle name="Percent 2 9" xfId="42102" xr:uid="{00000000-0005-0000-0000-00007DA40000}"/>
    <cellStyle name="Percent 2 9 2" xfId="42103" xr:uid="{00000000-0005-0000-0000-00007EA40000}"/>
    <cellStyle name="Percent 2 9 3" xfId="42104" xr:uid="{00000000-0005-0000-0000-00007FA40000}"/>
    <cellStyle name="Percent 2 9 4" xfId="42105" xr:uid="{00000000-0005-0000-0000-000080A40000}"/>
    <cellStyle name="Percent 2 9 5" xfId="42106" xr:uid="{00000000-0005-0000-0000-000081A40000}"/>
    <cellStyle name="Percent 2 9 6" xfId="42107" xr:uid="{00000000-0005-0000-0000-000082A40000}"/>
    <cellStyle name="Percent 20" xfId="42108" xr:uid="{00000000-0005-0000-0000-000083A40000}"/>
    <cellStyle name="Percent 21" xfId="42109" xr:uid="{00000000-0005-0000-0000-000084A40000}"/>
    <cellStyle name="Percent 22" xfId="42110" xr:uid="{00000000-0005-0000-0000-000085A40000}"/>
    <cellStyle name="Percent 23" xfId="42111" xr:uid="{00000000-0005-0000-0000-000086A40000}"/>
    <cellStyle name="Percent 24" xfId="42112" xr:uid="{00000000-0005-0000-0000-000087A40000}"/>
    <cellStyle name="Percent 25" xfId="42113" xr:uid="{00000000-0005-0000-0000-000088A40000}"/>
    <cellStyle name="Percent 26" xfId="42114" xr:uid="{00000000-0005-0000-0000-000089A40000}"/>
    <cellStyle name="Percent 27" xfId="42115" xr:uid="{00000000-0005-0000-0000-00008AA40000}"/>
    <cellStyle name="Percent 28" xfId="42116" xr:uid="{00000000-0005-0000-0000-00008BA40000}"/>
    <cellStyle name="Percent 29" xfId="42117" xr:uid="{00000000-0005-0000-0000-00008CA40000}"/>
    <cellStyle name="Percent 3" xfId="42118" xr:uid="{00000000-0005-0000-0000-00008DA40000}"/>
    <cellStyle name="Percent 3 2" xfId="42119" xr:uid="{00000000-0005-0000-0000-00008EA40000}"/>
    <cellStyle name="Percent 3 2 2" xfId="42120" xr:uid="{00000000-0005-0000-0000-00008FA40000}"/>
    <cellStyle name="Percent 3 3" xfId="42121" xr:uid="{00000000-0005-0000-0000-000090A40000}"/>
    <cellStyle name="Percent 30" xfId="42122" xr:uid="{00000000-0005-0000-0000-000091A40000}"/>
    <cellStyle name="Percent 31" xfId="42123" xr:uid="{00000000-0005-0000-0000-000092A40000}"/>
    <cellStyle name="Percent 32" xfId="42124" xr:uid="{00000000-0005-0000-0000-000093A40000}"/>
    <cellStyle name="Percent 33" xfId="42125" xr:uid="{00000000-0005-0000-0000-000094A40000}"/>
    <cellStyle name="Percent 34" xfId="42126" xr:uid="{00000000-0005-0000-0000-000095A40000}"/>
    <cellStyle name="Percent 35" xfId="42127" xr:uid="{00000000-0005-0000-0000-000096A40000}"/>
    <cellStyle name="Percent 36" xfId="42128" xr:uid="{00000000-0005-0000-0000-000097A40000}"/>
    <cellStyle name="Percent 37" xfId="42129" xr:uid="{00000000-0005-0000-0000-000098A40000}"/>
    <cellStyle name="Percent 38" xfId="42130" xr:uid="{00000000-0005-0000-0000-000099A40000}"/>
    <cellStyle name="Percent 39" xfId="42131" xr:uid="{00000000-0005-0000-0000-00009AA40000}"/>
    <cellStyle name="Percent 4" xfId="42132" xr:uid="{00000000-0005-0000-0000-00009BA40000}"/>
    <cellStyle name="Percent 4 10" xfId="42133" xr:uid="{00000000-0005-0000-0000-00009CA40000}"/>
    <cellStyle name="Percent 4 2" xfId="42134" xr:uid="{00000000-0005-0000-0000-00009DA40000}"/>
    <cellStyle name="Percent 4 2 2" xfId="42135" xr:uid="{00000000-0005-0000-0000-00009EA40000}"/>
    <cellStyle name="Percent 4 2 2 2" xfId="42136" xr:uid="{00000000-0005-0000-0000-00009FA40000}"/>
    <cellStyle name="Percent 4 2 2 2 2" xfId="42137" xr:uid="{00000000-0005-0000-0000-0000A0A40000}"/>
    <cellStyle name="Percent 4 2 2 2 3" xfId="42138" xr:uid="{00000000-0005-0000-0000-0000A1A40000}"/>
    <cellStyle name="Percent 4 2 2 3" xfId="42139" xr:uid="{00000000-0005-0000-0000-0000A2A40000}"/>
    <cellStyle name="Percent 4 2 2 4" xfId="42140" xr:uid="{00000000-0005-0000-0000-0000A3A40000}"/>
    <cellStyle name="Percent 4 2 2 5" xfId="42141" xr:uid="{00000000-0005-0000-0000-0000A4A40000}"/>
    <cellStyle name="Percent 4 2 2 6" xfId="42142" xr:uid="{00000000-0005-0000-0000-0000A5A40000}"/>
    <cellStyle name="Percent 4 2 3" xfId="42143" xr:uid="{00000000-0005-0000-0000-0000A6A40000}"/>
    <cellStyle name="Percent 4 2 3 2" xfId="42144" xr:uid="{00000000-0005-0000-0000-0000A7A40000}"/>
    <cellStyle name="Percent 4 2 3 2 2" xfId="42145" xr:uid="{00000000-0005-0000-0000-0000A8A40000}"/>
    <cellStyle name="Percent 4 2 3 3" xfId="42146" xr:uid="{00000000-0005-0000-0000-0000A9A40000}"/>
    <cellStyle name="Percent 4 2 3 4" xfId="42147" xr:uid="{00000000-0005-0000-0000-0000AAA40000}"/>
    <cellStyle name="Percent 4 2 3 5" xfId="42148" xr:uid="{00000000-0005-0000-0000-0000ABA40000}"/>
    <cellStyle name="Percent 4 2 4" xfId="42149" xr:uid="{00000000-0005-0000-0000-0000ACA40000}"/>
    <cellStyle name="Percent 4 2 4 2" xfId="42150" xr:uid="{00000000-0005-0000-0000-0000ADA40000}"/>
    <cellStyle name="Percent 4 2 4 3" xfId="42151" xr:uid="{00000000-0005-0000-0000-0000AEA40000}"/>
    <cellStyle name="Percent 4 2 4 4" xfId="42152" xr:uid="{00000000-0005-0000-0000-0000AFA40000}"/>
    <cellStyle name="Percent 4 2 5" xfId="42153" xr:uid="{00000000-0005-0000-0000-0000B0A40000}"/>
    <cellStyle name="Percent 4 2 5 2" xfId="42154" xr:uid="{00000000-0005-0000-0000-0000B1A40000}"/>
    <cellStyle name="Percent 4 2 6" xfId="42155" xr:uid="{00000000-0005-0000-0000-0000B2A40000}"/>
    <cellStyle name="Percent 4 2 7" xfId="42156" xr:uid="{00000000-0005-0000-0000-0000B3A40000}"/>
    <cellStyle name="Percent 4 2 8" xfId="42157" xr:uid="{00000000-0005-0000-0000-0000B4A40000}"/>
    <cellStyle name="Percent 4 2 9" xfId="42158" xr:uid="{00000000-0005-0000-0000-0000B5A40000}"/>
    <cellStyle name="Percent 4 3" xfId="42159" xr:uid="{00000000-0005-0000-0000-0000B6A40000}"/>
    <cellStyle name="Percent 4 3 2" xfId="42160" xr:uid="{00000000-0005-0000-0000-0000B7A40000}"/>
    <cellStyle name="Percent 4 3 2 2" xfId="42161" xr:uid="{00000000-0005-0000-0000-0000B8A40000}"/>
    <cellStyle name="Percent 4 3 2 3" xfId="42162" xr:uid="{00000000-0005-0000-0000-0000B9A40000}"/>
    <cellStyle name="Percent 4 3 3" xfId="42163" xr:uid="{00000000-0005-0000-0000-0000BAA40000}"/>
    <cellStyle name="Percent 4 3 4" xfId="42164" xr:uid="{00000000-0005-0000-0000-0000BBA40000}"/>
    <cellStyle name="Percent 4 3 5" xfId="42165" xr:uid="{00000000-0005-0000-0000-0000BCA40000}"/>
    <cellStyle name="Percent 4 3 6" xfId="42166" xr:uid="{00000000-0005-0000-0000-0000BDA40000}"/>
    <cellStyle name="Percent 4 4" xfId="42167" xr:uid="{00000000-0005-0000-0000-0000BEA40000}"/>
    <cellStyle name="Percent 4 4 2" xfId="42168" xr:uid="{00000000-0005-0000-0000-0000BFA40000}"/>
    <cellStyle name="Percent 4 4 2 2" xfId="42169" xr:uid="{00000000-0005-0000-0000-0000C0A40000}"/>
    <cellStyle name="Percent 4 4 3" xfId="42170" xr:uid="{00000000-0005-0000-0000-0000C1A40000}"/>
    <cellStyle name="Percent 4 4 4" xfId="42171" xr:uid="{00000000-0005-0000-0000-0000C2A40000}"/>
    <cellStyle name="Percent 4 4 5" xfId="42172" xr:uid="{00000000-0005-0000-0000-0000C3A40000}"/>
    <cellStyle name="Percent 4 4 6" xfId="42173" xr:uid="{00000000-0005-0000-0000-0000C4A40000}"/>
    <cellStyle name="Percent 4 5" xfId="42174" xr:uid="{00000000-0005-0000-0000-0000C5A40000}"/>
    <cellStyle name="Percent 4 5 2" xfId="42175" xr:uid="{00000000-0005-0000-0000-0000C6A40000}"/>
    <cellStyle name="Percent 4 5 3" xfId="42176" xr:uid="{00000000-0005-0000-0000-0000C7A40000}"/>
    <cellStyle name="Percent 4 5 4" xfId="42177" xr:uid="{00000000-0005-0000-0000-0000C8A40000}"/>
    <cellStyle name="Percent 4 5 5" xfId="42178" xr:uid="{00000000-0005-0000-0000-0000C9A40000}"/>
    <cellStyle name="Percent 4 6" xfId="42179" xr:uid="{00000000-0005-0000-0000-0000CAA40000}"/>
    <cellStyle name="Percent 4 6 2" xfId="42180" xr:uid="{00000000-0005-0000-0000-0000CBA40000}"/>
    <cellStyle name="Percent 4 7" xfId="42181" xr:uid="{00000000-0005-0000-0000-0000CCA40000}"/>
    <cellStyle name="Percent 4 7 2" xfId="42182" xr:uid="{00000000-0005-0000-0000-0000CDA40000}"/>
    <cellStyle name="Percent 4 8" xfId="42183" xr:uid="{00000000-0005-0000-0000-0000CEA40000}"/>
    <cellStyle name="Percent 4 9" xfId="42184" xr:uid="{00000000-0005-0000-0000-0000CFA40000}"/>
    <cellStyle name="Percent 40" xfId="42185" xr:uid="{00000000-0005-0000-0000-0000D0A40000}"/>
    <cellStyle name="Percent 41" xfId="42186" xr:uid="{00000000-0005-0000-0000-0000D1A40000}"/>
    <cellStyle name="Percent 42" xfId="42187" xr:uid="{00000000-0005-0000-0000-0000D2A40000}"/>
    <cellStyle name="Percent 43" xfId="42188" xr:uid="{00000000-0005-0000-0000-0000D3A40000}"/>
    <cellStyle name="Percent 44" xfId="42189" xr:uid="{00000000-0005-0000-0000-0000D4A40000}"/>
    <cellStyle name="Percent 45" xfId="42190" xr:uid="{00000000-0005-0000-0000-0000D5A40000}"/>
    <cellStyle name="Percent 46" xfId="42191" xr:uid="{00000000-0005-0000-0000-0000D6A40000}"/>
    <cellStyle name="Percent 47" xfId="42192" xr:uid="{00000000-0005-0000-0000-0000D7A40000}"/>
    <cellStyle name="Percent 48" xfId="42193" xr:uid="{00000000-0005-0000-0000-0000D8A40000}"/>
    <cellStyle name="Percent 49" xfId="42194" xr:uid="{00000000-0005-0000-0000-0000D9A40000}"/>
    <cellStyle name="Percent 5" xfId="42195" xr:uid="{00000000-0005-0000-0000-0000DAA40000}"/>
    <cellStyle name="Percent 5 2" xfId="42196" xr:uid="{00000000-0005-0000-0000-0000DBA40000}"/>
    <cellStyle name="Percent 5 2 2" xfId="42197" xr:uid="{00000000-0005-0000-0000-0000DCA40000}"/>
    <cellStyle name="Percent 5 2 2 2" xfId="42198" xr:uid="{00000000-0005-0000-0000-0000DDA40000}"/>
    <cellStyle name="Percent 5 2 2 3" xfId="42199" xr:uid="{00000000-0005-0000-0000-0000DEA40000}"/>
    <cellStyle name="Percent 5 2 3" xfId="42200" xr:uid="{00000000-0005-0000-0000-0000DFA40000}"/>
    <cellStyle name="Percent 5 2 4" xfId="42201" xr:uid="{00000000-0005-0000-0000-0000E0A40000}"/>
    <cellStyle name="Percent 5 2 5" xfId="42202" xr:uid="{00000000-0005-0000-0000-0000E1A40000}"/>
    <cellStyle name="Percent 5 2 6" xfId="42203" xr:uid="{00000000-0005-0000-0000-0000E2A40000}"/>
    <cellStyle name="Percent 5 3" xfId="42204" xr:uid="{00000000-0005-0000-0000-0000E3A40000}"/>
    <cellStyle name="Percent 5 3 2" xfId="42205" xr:uid="{00000000-0005-0000-0000-0000E4A40000}"/>
    <cellStyle name="Percent 5 3 2 2" xfId="42206" xr:uid="{00000000-0005-0000-0000-0000E5A40000}"/>
    <cellStyle name="Percent 5 3 3" xfId="42207" xr:uid="{00000000-0005-0000-0000-0000E6A40000}"/>
    <cellStyle name="Percent 5 3 4" xfId="42208" xr:uid="{00000000-0005-0000-0000-0000E7A40000}"/>
    <cellStyle name="Percent 5 3 5" xfId="42209" xr:uid="{00000000-0005-0000-0000-0000E8A40000}"/>
    <cellStyle name="Percent 5 4" xfId="42210" xr:uid="{00000000-0005-0000-0000-0000E9A40000}"/>
    <cellStyle name="Percent 5 4 2" xfId="42211" xr:uid="{00000000-0005-0000-0000-0000EAA40000}"/>
    <cellStyle name="Percent 5 4 3" xfId="42212" xr:uid="{00000000-0005-0000-0000-0000EBA40000}"/>
    <cellStyle name="Percent 5 4 4" xfId="42213" xr:uid="{00000000-0005-0000-0000-0000ECA40000}"/>
    <cellStyle name="Percent 5 5" xfId="42214" xr:uid="{00000000-0005-0000-0000-0000EDA40000}"/>
    <cellStyle name="Percent 5 5 2" xfId="42215" xr:uid="{00000000-0005-0000-0000-0000EEA40000}"/>
    <cellStyle name="Percent 5 6" xfId="42216" xr:uid="{00000000-0005-0000-0000-0000EFA40000}"/>
    <cellStyle name="Percent 5 7" xfId="42217" xr:uid="{00000000-0005-0000-0000-0000F0A40000}"/>
    <cellStyle name="Percent 5 8" xfId="42218" xr:uid="{00000000-0005-0000-0000-0000F1A40000}"/>
    <cellStyle name="Percent 5 9" xfId="42219" xr:uid="{00000000-0005-0000-0000-0000F2A40000}"/>
    <cellStyle name="Percent 50" xfId="42220" xr:uid="{00000000-0005-0000-0000-0000F3A40000}"/>
    <cellStyle name="Percent 51" xfId="42221" xr:uid="{00000000-0005-0000-0000-0000F4A40000}"/>
    <cellStyle name="Percent 52" xfId="42325" xr:uid="{00000000-0005-0000-0000-0000F5A40000}"/>
    <cellStyle name="Percent 53" xfId="42326" xr:uid="{00000000-0005-0000-0000-0000F6A40000}"/>
    <cellStyle name="Percent 6" xfId="42222" xr:uid="{00000000-0005-0000-0000-0000F7A40000}"/>
    <cellStyle name="Percent 6 2" xfId="42223" xr:uid="{00000000-0005-0000-0000-0000F8A40000}"/>
    <cellStyle name="Percent 6 2 2" xfId="42224" xr:uid="{00000000-0005-0000-0000-0000F9A40000}"/>
    <cellStyle name="Percent 6 2 2 2" xfId="42225" xr:uid="{00000000-0005-0000-0000-0000FAA40000}"/>
    <cellStyle name="Percent 6 2 3" xfId="42226" xr:uid="{00000000-0005-0000-0000-0000FBA40000}"/>
    <cellStyle name="Percent 6 2 4" xfId="42227" xr:uid="{00000000-0005-0000-0000-0000FCA40000}"/>
    <cellStyle name="Percent 6 2 5" xfId="42228" xr:uid="{00000000-0005-0000-0000-0000FDA40000}"/>
    <cellStyle name="Percent 6 3" xfId="42229" xr:uid="{00000000-0005-0000-0000-0000FEA40000}"/>
    <cellStyle name="Percent 6 3 2" xfId="42230" xr:uid="{00000000-0005-0000-0000-0000FFA40000}"/>
    <cellStyle name="Percent 6 3 3" xfId="42231" xr:uid="{00000000-0005-0000-0000-000000A50000}"/>
    <cellStyle name="Percent 6 3 4" xfId="42232" xr:uid="{00000000-0005-0000-0000-000001A50000}"/>
    <cellStyle name="Percent 6 4" xfId="42233" xr:uid="{00000000-0005-0000-0000-000002A50000}"/>
    <cellStyle name="Percent 6 4 2" xfId="42234" xr:uid="{00000000-0005-0000-0000-000003A50000}"/>
    <cellStyle name="Percent 6 5" xfId="42235" xr:uid="{00000000-0005-0000-0000-000004A50000}"/>
    <cellStyle name="Percent 6 6" xfId="42236" xr:uid="{00000000-0005-0000-0000-000005A50000}"/>
    <cellStyle name="Percent 6 7" xfId="42237" xr:uid="{00000000-0005-0000-0000-000006A50000}"/>
    <cellStyle name="Percent 6 8" xfId="42238" xr:uid="{00000000-0005-0000-0000-000007A50000}"/>
    <cellStyle name="Percent 7" xfId="42239" xr:uid="{00000000-0005-0000-0000-000008A50000}"/>
    <cellStyle name="Percent 7 2" xfId="42240" xr:uid="{00000000-0005-0000-0000-000009A50000}"/>
    <cellStyle name="Percent 7 2 2" xfId="42241" xr:uid="{00000000-0005-0000-0000-00000AA50000}"/>
    <cellStyle name="Percent 7 2 2 2" xfId="42242" xr:uid="{00000000-0005-0000-0000-00000BA50000}"/>
    <cellStyle name="Percent 7 2 3" xfId="42243" xr:uid="{00000000-0005-0000-0000-00000CA50000}"/>
    <cellStyle name="Percent 7 2 4" xfId="42244" xr:uid="{00000000-0005-0000-0000-00000DA50000}"/>
    <cellStyle name="Percent 7 2 5" xfId="42245" xr:uid="{00000000-0005-0000-0000-00000EA50000}"/>
    <cellStyle name="Percent 7 3" xfId="42246" xr:uid="{00000000-0005-0000-0000-00000FA50000}"/>
    <cellStyle name="Percent 7 3 2" xfId="42247" xr:uid="{00000000-0005-0000-0000-000010A50000}"/>
    <cellStyle name="Percent 7 3 3" xfId="42248" xr:uid="{00000000-0005-0000-0000-000011A50000}"/>
    <cellStyle name="Percent 7 3 4" xfId="42249" xr:uid="{00000000-0005-0000-0000-000012A50000}"/>
    <cellStyle name="Percent 7 4" xfId="42250" xr:uid="{00000000-0005-0000-0000-000013A50000}"/>
    <cellStyle name="Percent 7 4 2" xfId="42251" xr:uid="{00000000-0005-0000-0000-000014A50000}"/>
    <cellStyle name="Percent 7 5" xfId="42252" xr:uid="{00000000-0005-0000-0000-000015A50000}"/>
    <cellStyle name="Percent 7 6" xfId="42253" xr:uid="{00000000-0005-0000-0000-000016A50000}"/>
    <cellStyle name="Percent 7 7" xfId="42254" xr:uid="{00000000-0005-0000-0000-000017A50000}"/>
    <cellStyle name="Percent 7 8" xfId="42255" xr:uid="{00000000-0005-0000-0000-000018A50000}"/>
    <cellStyle name="Percent 8" xfId="42256" xr:uid="{00000000-0005-0000-0000-000019A50000}"/>
    <cellStyle name="Percent 8 2" xfId="42257" xr:uid="{00000000-0005-0000-0000-00001AA50000}"/>
    <cellStyle name="Percent 8 2 2" xfId="42258" xr:uid="{00000000-0005-0000-0000-00001BA50000}"/>
    <cellStyle name="Percent 8 2 3" xfId="42259" xr:uid="{00000000-0005-0000-0000-00001CA50000}"/>
    <cellStyle name="Percent 8 2 4" xfId="42260" xr:uid="{00000000-0005-0000-0000-00001DA50000}"/>
    <cellStyle name="Percent 8 3" xfId="42261" xr:uid="{00000000-0005-0000-0000-00001EA50000}"/>
    <cellStyle name="Percent 8 3 2" xfId="42262" xr:uid="{00000000-0005-0000-0000-00001FA50000}"/>
    <cellStyle name="Percent 8 4" xfId="42263" xr:uid="{00000000-0005-0000-0000-000020A50000}"/>
    <cellStyle name="Percent 8 5" xfId="42264" xr:uid="{00000000-0005-0000-0000-000021A50000}"/>
    <cellStyle name="Percent 8 6" xfId="42265" xr:uid="{00000000-0005-0000-0000-000022A50000}"/>
    <cellStyle name="Percent 8 7" xfId="42266" xr:uid="{00000000-0005-0000-0000-000023A50000}"/>
    <cellStyle name="Percent 9" xfId="42267" xr:uid="{00000000-0005-0000-0000-000024A50000}"/>
    <cellStyle name="Percent 9 2" xfId="42268" xr:uid="{00000000-0005-0000-0000-000025A50000}"/>
    <cellStyle name="Percent 9 2 2" xfId="42269" xr:uid="{00000000-0005-0000-0000-000026A50000}"/>
    <cellStyle name="Percent 9 2 3" xfId="42270" xr:uid="{00000000-0005-0000-0000-000027A50000}"/>
    <cellStyle name="Percent 9 2 4" xfId="42271" xr:uid="{00000000-0005-0000-0000-000028A50000}"/>
    <cellStyle name="Percent 9 3" xfId="42272" xr:uid="{00000000-0005-0000-0000-000029A50000}"/>
    <cellStyle name="Percent 9 3 2" xfId="42273" xr:uid="{00000000-0005-0000-0000-00002AA50000}"/>
    <cellStyle name="Percent 9 4" xfId="42274" xr:uid="{00000000-0005-0000-0000-00002BA50000}"/>
    <cellStyle name="Percent 9 5" xfId="42275" xr:uid="{00000000-0005-0000-0000-00002CA50000}"/>
    <cellStyle name="Percent 9 6" xfId="42276" xr:uid="{00000000-0005-0000-0000-00002DA50000}"/>
    <cellStyle name="PSChar" xfId="42277" xr:uid="{00000000-0005-0000-0000-00002EA50000}"/>
    <cellStyle name="PSDate" xfId="42278" xr:uid="{00000000-0005-0000-0000-00002FA50000}"/>
    <cellStyle name="PSDec" xfId="42279" xr:uid="{00000000-0005-0000-0000-000030A50000}"/>
    <cellStyle name="PSdesc" xfId="42280" xr:uid="{00000000-0005-0000-0000-000031A50000}"/>
    <cellStyle name="PSHeading" xfId="42281" xr:uid="{00000000-0005-0000-0000-000032A50000}"/>
    <cellStyle name="PSInt" xfId="42282" xr:uid="{00000000-0005-0000-0000-000033A50000}"/>
    <cellStyle name="PSSpacer" xfId="42283" xr:uid="{00000000-0005-0000-0000-000034A50000}"/>
    <cellStyle name="PStest" xfId="42284" xr:uid="{00000000-0005-0000-0000-000035A50000}"/>
    <cellStyle name="R00A" xfId="42285" xr:uid="{00000000-0005-0000-0000-000036A50000}"/>
    <cellStyle name="R00B" xfId="42286" xr:uid="{00000000-0005-0000-0000-000037A50000}"/>
    <cellStyle name="R00L" xfId="42287" xr:uid="{00000000-0005-0000-0000-000038A50000}"/>
    <cellStyle name="R01A" xfId="42288" xr:uid="{00000000-0005-0000-0000-000039A50000}"/>
    <cellStyle name="R01B" xfId="42289" xr:uid="{00000000-0005-0000-0000-00003AA50000}"/>
    <cellStyle name="R01H" xfId="42290" xr:uid="{00000000-0005-0000-0000-00003BA50000}"/>
    <cellStyle name="R01L" xfId="42291" xr:uid="{00000000-0005-0000-0000-00003CA50000}"/>
    <cellStyle name="R02A" xfId="42292" xr:uid="{00000000-0005-0000-0000-00003DA50000}"/>
    <cellStyle name="R02B" xfId="42293" xr:uid="{00000000-0005-0000-0000-00003EA50000}"/>
    <cellStyle name="R02H" xfId="42294" xr:uid="{00000000-0005-0000-0000-00003FA50000}"/>
    <cellStyle name="R02L" xfId="42295" xr:uid="{00000000-0005-0000-0000-000040A50000}"/>
    <cellStyle name="R03A" xfId="42296" xr:uid="{00000000-0005-0000-0000-000041A50000}"/>
    <cellStyle name="R03B" xfId="42297" xr:uid="{00000000-0005-0000-0000-000042A50000}"/>
    <cellStyle name="R03H" xfId="42298" xr:uid="{00000000-0005-0000-0000-000043A50000}"/>
    <cellStyle name="R03L" xfId="42299" xr:uid="{00000000-0005-0000-0000-000044A50000}"/>
    <cellStyle name="R04A" xfId="42300" xr:uid="{00000000-0005-0000-0000-000045A50000}"/>
    <cellStyle name="R04B" xfId="42301" xr:uid="{00000000-0005-0000-0000-000046A50000}"/>
    <cellStyle name="R04H" xfId="42302" xr:uid="{00000000-0005-0000-0000-000047A50000}"/>
    <cellStyle name="R04L" xfId="42303" xr:uid="{00000000-0005-0000-0000-000048A50000}"/>
    <cellStyle name="R05A" xfId="42304" xr:uid="{00000000-0005-0000-0000-000049A50000}"/>
    <cellStyle name="R05B" xfId="42305" xr:uid="{00000000-0005-0000-0000-00004AA50000}"/>
    <cellStyle name="R05H" xfId="42306" xr:uid="{00000000-0005-0000-0000-00004BA50000}"/>
    <cellStyle name="R05L" xfId="42307" xr:uid="{00000000-0005-0000-0000-00004CA50000}"/>
    <cellStyle name="R06A" xfId="42308" xr:uid="{00000000-0005-0000-0000-00004DA50000}"/>
    <cellStyle name="R06B" xfId="42309" xr:uid="{00000000-0005-0000-0000-00004EA50000}"/>
    <cellStyle name="R06H" xfId="42310" xr:uid="{00000000-0005-0000-0000-00004FA50000}"/>
    <cellStyle name="R06L" xfId="42311" xr:uid="{00000000-0005-0000-0000-000050A50000}"/>
    <cellStyle name="R07A" xfId="42312" xr:uid="{00000000-0005-0000-0000-000051A50000}"/>
    <cellStyle name="R07B" xfId="42313" xr:uid="{00000000-0005-0000-0000-000052A50000}"/>
    <cellStyle name="R07H" xfId="42314" xr:uid="{00000000-0005-0000-0000-000053A50000}"/>
    <cellStyle name="R07L" xfId="42315" xr:uid="{00000000-0005-0000-0000-000054A50000}"/>
    <cellStyle name="Staff_Days" xfId="42316" xr:uid="{00000000-0005-0000-0000-000055A50000}"/>
    <cellStyle name="STYL1 - Style1" xfId="42317" xr:uid="{00000000-0005-0000-0000-000056A50000}"/>
    <cellStyle name="Total 2" xfId="42318" xr:uid="{00000000-0005-0000-0000-000057A50000}"/>
  </cellStyles>
  <dxfs count="35">
    <dxf>
      <font>
        <b val="0"/>
        <i val="0"/>
        <strike val="0"/>
        <condense val="0"/>
        <extend val="0"/>
        <outline val="0"/>
        <shadow val="0"/>
        <u val="none"/>
        <vertAlign val="baseline"/>
        <sz val="10"/>
        <color auto="1"/>
        <name val="Calibri"/>
        <family val="2"/>
        <scheme val="none"/>
      </font>
      <numFmt numFmtId="167" formatCode="_(&quot;$&quot;* #,##0_);_(&quot;$&quot;* \(#,##0\);_(&quot;$&quot;* &quot;-&quot;??_);_(@_)"/>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0"/>
        <color auto="1"/>
        <name val="Calibri"/>
        <family val="2"/>
        <scheme val="none"/>
      </font>
      <numFmt numFmtId="167" formatCode="_(&quot;$&quot;* #,##0_);_(&quot;$&quot;* \(#,##0\);_(&quot;$&quot;* &quot;-&quot;??_);_(@_)"/>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0"/>
        <color auto="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family val="2"/>
        <scheme val="none"/>
      </font>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0"/>
        <color auto="1"/>
        <name val="Calibri"/>
        <family val="2"/>
        <scheme val="none"/>
      </font>
      <fill>
        <patternFill patternType="none">
          <fgColor rgb="FF000000"/>
          <bgColor rgb="FFFFFFFF"/>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top" textRotation="0" wrapText="0" indent="0" justifyLastLine="0" shrinkToFit="0" readingOrder="0"/>
    </dxf>
    <dxf>
      <font>
        <strike val="0"/>
        <outline val="0"/>
        <shadow val="0"/>
        <vertAlign val="baseline"/>
        <sz val="10"/>
        <color auto="1"/>
        <name val="Calibri"/>
        <family val="2"/>
        <scheme val="none"/>
      </font>
      <alignment horizontal="general" vertical="top"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center" vertical="top" textRotation="0" wrapText="0" indent="0" justifyLastLine="0" shrinkToFit="0" readingOrder="0"/>
    </dxf>
    <dxf>
      <font>
        <strike val="0"/>
        <outline val="0"/>
        <shadow val="0"/>
        <vertAlign val="baseline"/>
        <sz val="10"/>
        <color auto="1"/>
        <name val="Calibri"/>
        <family val="2"/>
      </font>
      <alignment horizontal="center" vertical="top" textRotation="0"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general" vertical="top" textRotation="0" wrapText="0" indent="0" justifyLastLine="0" shrinkToFit="0" readingOrder="0"/>
    </dxf>
    <dxf>
      <font>
        <strike val="0"/>
        <outline val="0"/>
        <shadow val="0"/>
        <vertAlign val="baseline"/>
        <sz val="10"/>
        <color auto="1"/>
        <name val="Calibri"/>
        <family val="2"/>
      </font>
      <fill>
        <patternFill patternType="none">
          <fgColor rgb="FF000000"/>
          <bgColor rgb="FFFFFFFF"/>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1" indent="0" justifyLastLine="0" shrinkToFit="0" readingOrder="0"/>
    </dxf>
    <dxf>
      <font>
        <strike val="0"/>
        <outline val="0"/>
        <shadow val="0"/>
        <u val="none"/>
        <vertAlign val="baseline"/>
        <sz val="10"/>
        <color auto="1"/>
        <name val="Calibri"/>
        <family val="2"/>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0" indent="0" justifyLastLine="0" shrinkToFit="0" readingOrder="0"/>
    </dxf>
    <dxf>
      <font>
        <strike val="0"/>
        <outline val="0"/>
        <shadow val="0"/>
        <vertAlign val="baseline"/>
        <sz val="10"/>
        <color auto="1"/>
        <name val="Calibri"/>
        <family val="2"/>
      </font>
      <fill>
        <patternFill patternType="none">
          <fgColor rgb="FF000000"/>
          <bgColor rgb="FFFFFFFF"/>
        </patternFill>
      </fill>
      <alignment horizontal="center" vertical="top" textRotation="0" wrapText="0" indent="0" justifyLastLine="0" shrinkToFit="0" readingOrder="1"/>
    </dxf>
    <dxf>
      <font>
        <b val="0"/>
        <i val="0"/>
        <strike val="0"/>
        <condense val="0"/>
        <extend val="0"/>
        <outline val="0"/>
        <shadow val="0"/>
        <u val="none"/>
        <vertAlign val="baseline"/>
        <sz val="10"/>
        <color auto="1"/>
        <name val="Calibri"/>
        <family val="2"/>
        <scheme val="none"/>
      </font>
      <fill>
        <patternFill patternType="solid">
          <fgColor indexed="64"/>
          <bgColor theme="0"/>
        </patternFill>
      </fill>
      <alignment horizontal="left" vertical="top" textRotation="0" wrapText="0" indent="0" justifyLastLine="0" shrinkToFit="0" readingOrder="0"/>
      <border diagonalUp="0" diagonalDown="0" outline="0">
        <left style="medium">
          <color indexed="64"/>
        </left>
        <right/>
        <top/>
        <bottom/>
      </border>
    </dxf>
    <dxf>
      <font>
        <strike val="0"/>
        <outline val="0"/>
        <shadow val="0"/>
        <vertAlign val="baseline"/>
        <sz val="10"/>
        <color auto="1"/>
        <name val="Calibri"/>
        <family val="2"/>
      </font>
      <alignment horizontal="left" vertical="top" textRotation="0" wrapText="0" indent="0" justifyLastLine="0" shrinkToFit="0" readingOrder="0"/>
    </dxf>
    <dxf>
      <font>
        <strike val="0"/>
        <outline val="0"/>
        <shadow val="0"/>
        <vertAlign val="baseline"/>
        <sz val="10"/>
        <color auto="1"/>
        <name val="Calibri"/>
        <family val="2"/>
      </font>
      <fill>
        <patternFill patternType="solid">
          <fgColor indexed="64"/>
          <bgColor theme="0"/>
        </patternFill>
      </fill>
    </dxf>
    <dxf>
      <font>
        <strike val="0"/>
        <outline val="0"/>
        <shadow val="0"/>
        <vertAlign val="baseline"/>
        <sz val="10"/>
        <color auto="1"/>
        <name val="Calibri"/>
        <family val="2"/>
      </font>
    </dxf>
    <dxf>
      <font>
        <b/>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1"/>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
      <fill>
        <patternFill patternType="solid">
          <fgColor rgb="FFD9D9D9"/>
          <bgColor rgb="FFD9D9D9"/>
        </patternFill>
      </fill>
    </dxf>
    <dxf>
      <fill>
        <patternFill patternType="solid">
          <fgColor rgb="FFD9D9D9"/>
          <bgColor rgb="FFD9D9D9"/>
        </patternFill>
      </fill>
    </dxf>
    <dxf>
      <font>
        <b/>
        <color rgb="FF000000"/>
      </font>
    </dxf>
    <dxf>
      <font>
        <b/>
        <color rgb="FF000000"/>
      </font>
    </dxf>
    <dxf>
      <font>
        <b/>
        <color rgb="FF000000"/>
      </font>
      <border>
        <top style="thin">
          <color rgb="FF000000"/>
        </top>
      </border>
    </dxf>
    <dxf>
      <font>
        <b/>
        <color rgb="FF000000"/>
      </font>
      <border>
        <bottom style="thin">
          <color rgb="FF000000"/>
        </bottom>
      </border>
    </dxf>
    <dxf>
      <font>
        <color rgb="FF000000"/>
      </font>
      <border>
        <top style="thin">
          <color rgb="FF000000"/>
        </top>
        <bottom style="thin">
          <color rgb="FF000000"/>
        </bottom>
      </border>
    </dxf>
  </dxfs>
  <tableStyles count="2" defaultTableStyle="TableStyleMedium2" defaultPivotStyle="PivotStyleLight16">
    <tableStyle name="TableStyleLight1 2" pivot="0" count="7" xr9:uid="{00000000-0011-0000-FFFF-FFFF00000000}">
      <tableStyleElement type="wholeTable" dxfId="34"/>
      <tableStyleElement type="headerRow" dxfId="33"/>
      <tableStyleElement type="totalRow" dxfId="32"/>
      <tableStyleElement type="firstColumn" dxfId="31"/>
      <tableStyleElement type="lastColumn" dxfId="30"/>
      <tableStyleElement type="firstRowStripe" dxfId="29"/>
      <tableStyleElement type="firstColumnStripe" dxfId="28"/>
    </tableStyle>
    <tableStyle name="TableStyleLight1 3" pivot="0" count="7" xr9:uid="{00000000-0011-0000-FFFF-FFFF01000000}">
      <tableStyleElement type="wholeTable" dxfId="27"/>
      <tableStyleElement type="headerRow" dxfId="26"/>
      <tableStyleElement type="totalRow" dxfId="25"/>
      <tableStyleElement type="firstColumn" dxfId="24"/>
      <tableStyleElement type="lastColumn" dxfId="23"/>
      <tableStyleElement type="firstRowStripe" dxfId="22"/>
      <tableStyleElement type="firstColumnStripe" dxfId="21"/>
    </tableStyle>
  </tableStyles>
  <colors>
    <mruColors>
      <color rgb="FFFFFFCC"/>
      <color rgb="FFE3A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1</xdr:col>
      <xdr:colOff>743933</xdr:colOff>
      <xdr:row>1</xdr:row>
      <xdr:rowOff>444788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8099"/>
          <a:ext cx="4604156" cy="9836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1228AB-F431-40B2-AE8D-6B2E94091CA7}" name="Table1424242" displayName="Table1424242" ref="A6:I821" totalsRowCount="1" headerRowDxfId="20" dataDxfId="19" totalsRowDxfId="18">
  <tableColumns count="9">
    <tableColumn id="1" xr3:uid="{E2F9BA08-D001-4F28-B889-D0C89E043F0E}" name="Line No." dataDxfId="17" totalsRowDxfId="16"/>
    <tableColumn id="14" xr3:uid="{45A3F052-2C1B-44AD-8F26-7B0D4A86A873}" name="FID" dataDxfId="15" totalsRowDxfId="14"/>
    <tableColumn id="2" xr3:uid="{E2976BBA-2827-4B73-842D-5015F0D8A3D7}" name="Facility" dataDxfId="13" totalsRowDxfId="12"/>
    <tableColumn id="3" xr3:uid="{577F3F88-3EEB-4EA2-AEAE-6D69D05F90A8}" name="Plant Included" dataDxfId="11" totalsRowDxfId="10"/>
    <tableColumn id="6" xr3:uid="{15A47EA6-86E5-40C7-849C-B824F97BE5D3}" name="Attach AI Criteria" dataDxfId="9" totalsRowDxfId="8"/>
    <tableColumn id="7" xr3:uid="{D680904B-28F0-45D0-858E-6C158B6940AF}" name="Inclusion Notes" dataDxfId="7" totalsRowDxfId="6"/>
    <tableColumn id="8" xr3:uid="{A7FF82B7-E3DA-49C5-9CAC-BEE429F44C19}" name="Plant Excluded" dataDxfId="5" totalsRowDxfId="4"/>
    <tableColumn id="9" xr3:uid="{53E40C8D-26B9-47A1-A554-C339B56BC773}" name="Exclusion Notes" dataDxfId="3" totalsRowDxfId="2"/>
    <tableColumn id="10" xr3:uid="{90ABAF51-96D9-4475-A32B-05AC4FB44E6C}" name="Changed Facilities" dataDxfId="1" totalsRowDxfId="0" dataCellStyle="Currency"/>
  </tableColumns>
  <tableStyleInfo name="TableStyleLight1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9"/>
  <sheetViews>
    <sheetView view="pageBreakPreview" topLeftCell="A10" zoomScaleNormal="100" zoomScaleSheetLayoutView="100" workbookViewId="0">
      <selection activeCell="A18" sqref="A18"/>
    </sheetView>
  </sheetViews>
  <sheetFormatPr defaultRowHeight="14.5"/>
  <cols>
    <col min="1" max="1" width="55.453125" customWidth="1"/>
    <col min="2" max="3" width="18.54296875" customWidth="1"/>
    <col min="4" max="4" width="30.54296875" customWidth="1"/>
    <col min="5" max="5" width="36" customWidth="1"/>
    <col min="6" max="6" width="15.453125" bestFit="1" customWidth="1"/>
    <col min="7" max="7" width="14.54296875" bestFit="1" customWidth="1"/>
    <col min="8" max="8" width="24.1796875" bestFit="1" customWidth="1"/>
    <col min="10" max="10" width="13.453125" bestFit="1" customWidth="1"/>
  </cols>
  <sheetData>
    <row r="1" spans="1:5" ht="46">
      <c r="A1" s="643"/>
      <c r="B1" s="643"/>
      <c r="C1" s="643"/>
      <c r="D1" s="643"/>
      <c r="E1" s="72"/>
    </row>
    <row r="2" spans="1:5" ht="46">
      <c r="A2" s="643"/>
      <c r="B2" s="643"/>
      <c r="C2" s="643"/>
      <c r="D2" s="643"/>
      <c r="E2" s="72"/>
    </row>
    <row r="3" spans="1:5" ht="46">
      <c r="A3" s="643" t="s">
        <v>0</v>
      </c>
      <c r="B3" s="643"/>
      <c r="C3" s="643"/>
      <c r="D3" s="643"/>
      <c r="E3" s="72"/>
    </row>
    <row r="4" spans="1:5" ht="36">
      <c r="A4" s="647" t="s">
        <v>1</v>
      </c>
      <c r="B4" s="647"/>
      <c r="C4" s="647"/>
      <c r="D4" s="647"/>
      <c r="E4" s="72"/>
    </row>
    <row r="5" spans="1:5" ht="46">
      <c r="A5" s="643" t="s">
        <v>2</v>
      </c>
      <c r="B5" s="643"/>
      <c r="C5" s="643"/>
      <c r="D5" s="643"/>
      <c r="E5" s="72"/>
    </row>
    <row r="6" spans="1:5" ht="46">
      <c r="A6" s="643" t="s">
        <v>3</v>
      </c>
      <c r="B6" s="643"/>
      <c r="C6" s="643"/>
      <c r="D6" s="643"/>
      <c r="E6" s="72"/>
    </row>
    <row r="7" spans="1:5" ht="21.65" customHeight="1">
      <c r="A7" s="92"/>
      <c r="B7" s="92"/>
      <c r="C7" s="85"/>
      <c r="D7" s="85"/>
      <c r="E7" s="72"/>
    </row>
    <row r="8" spans="1:5" ht="46">
      <c r="A8" s="644" t="s">
        <v>4</v>
      </c>
      <c r="B8" s="644"/>
      <c r="C8" s="644"/>
      <c r="D8" s="644"/>
      <c r="E8" s="72"/>
    </row>
    <row r="9" spans="1:5" ht="46">
      <c r="A9" s="92"/>
      <c r="B9" s="92"/>
      <c r="C9" s="85"/>
      <c r="D9" s="85"/>
      <c r="E9" s="72"/>
    </row>
    <row r="10" spans="1:5" ht="46">
      <c r="A10" s="645" t="s">
        <v>5</v>
      </c>
      <c r="B10" s="645"/>
      <c r="C10" s="645"/>
      <c r="D10" s="645"/>
      <c r="E10" s="72"/>
    </row>
    <row r="11" spans="1:5">
      <c r="A11" s="648" t="s">
        <v>6</v>
      </c>
      <c r="B11" s="648"/>
      <c r="C11" s="648"/>
      <c r="D11" s="648"/>
      <c r="E11" s="72"/>
    </row>
    <row r="12" spans="1:5">
      <c r="A12" s="455"/>
      <c r="B12" s="455"/>
      <c r="C12" s="455"/>
      <c r="D12" s="455"/>
      <c r="E12" s="72"/>
    </row>
    <row r="13" spans="1:5">
      <c r="A13" s="455"/>
      <c r="B13" s="455"/>
      <c r="C13" s="455"/>
      <c r="D13" s="455"/>
      <c r="E13" s="72"/>
    </row>
    <row r="14" spans="1:5">
      <c r="A14" s="648" t="s">
        <v>7</v>
      </c>
      <c r="B14" s="648"/>
      <c r="C14" s="648"/>
      <c r="D14" s="648"/>
      <c r="E14" s="72"/>
    </row>
    <row r="15" spans="1:5">
      <c r="A15" s="648" t="s">
        <v>8</v>
      </c>
      <c r="B15" s="648"/>
      <c r="C15" s="648"/>
      <c r="D15" s="648"/>
      <c r="E15" s="72"/>
    </row>
    <row r="16" spans="1:5">
      <c r="A16" s="455"/>
      <c r="B16" s="455"/>
      <c r="C16" s="455"/>
      <c r="D16" s="455"/>
      <c r="E16" s="72"/>
    </row>
    <row r="17" spans="1:5">
      <c r="A17" s="86" t="s">
        <v>9</v>
      </c>
      <c r="B17" s="86" t="s">
        <v>10</v>
      </c>
      <c r="C17" s="455"/>
      <c r="D17" s="455"/>
      <c r="E17" s="72"/>
    </row>
    <row r="18" spans="1:5">
      <c r="A18" s="85" t="s">
        <v>11</v>
      </c>
      <c r="B18" s="646" t="s">
        <v>12</v>
      </c>
      <c r="C18" s="646"/>
      <c r="D18" s="646"/>
      <c r="E18" s="72"/>
    </row>
    <row r="19" spans="1:5">
      <c r="A19" s="85" t="s">
        <v>38</v>
      </c>
      <c r="B19" s="454" t="s">
        <v>13</v>
      </c>
      <c r="C19" s="454"/>
      <c r="D19" s="454"/>
      <c r="E19" s="72"/>
    </row>
    <row r="20" spans="1:5">
      <c r="A20" s="85" t="s">
        <v>14</v>
      </c>
      <c r="B20" s="646" t="s">
        <v>2330</v>
      </c>
      <c r="C20" s="646"/>
      <c r="D20" s="646"/>
      <c r="E20" s="72"/>
    </row>
    <row r="21" spans="1:5">
      <c r="A21" s="85" t="s">
        <v>15</v>
      </c>
      <c r="B21" s="646" t="s">
        <v>2331</v>
      </c>
      <c r="C21" s="646"/>
      <c r="D21" s="646"/>
      <c r="E21" s="72"/>
    </row>
    <row r="22" spans="1:5">
      <c r="A22" s="85" t="s">
        <v>16</v>
      </c>
      <c r="B22" s="646" t="s">
        <v>2332</v>
      </c>
      <c r="C22" s="646"/>
      <c r="D22" s="646"/>
      <c r="E22" s="72"/>
    </row>
    <row r="23" spans="1:5">
      <c r="A23" s="85" t="s">
        <v>17</v>
      </c>
      <c r="B23" s="454" t="s">
        <v>2333</v>
      </c>
      <c r="C23" s="317"/>
      <c r="D23" s="317"/>
      <c r="E23" s="72"/>
    </row>
    <row r="24" spans="1:5">
      <c r="A24" s="85" t="s">
        <v>18</v>
      </c>
      <c r="B24" s="646" t="s">
        <v>19</v>
      </c>
      <c r="C24" s="646"/>
      <c r="D24" s="646"/>
      <c r="E24" s="72"/>
    </row>
    <row r="25" spans="1:5">
      <c r="A25" s="85" t="s">
        <v>20</v>
      </c>
      <c r="B25" s="646" t="s">
        <v>2335</v>
      </c>
      <c r="C25" s="646"/>
      <c r="D25" s="646"/>
      <c r="E25" s="72"/>
    </row>
    <row r="26" spans="1:5">
      <c r="A26" s="85" t="s">
        <v>21</v>
      </c>
      <c r="B26" s="93" t="s">
        <v>2336</v>
      </c>
      <c r="C26" s="93"/>
      <c r="D26" s="85"/>
      <c r="E26" s="72"/>
    </row>
    <row r="27" spans="1:5">
      <c r="A27" s="72"/>
      <c r="B27" s="72"/>
      <c r="C27" s="72"/>
      <c r="D27" s="72"/>
      <c r="E27" s="72"/>
    </row>
    <row r="28" spans="1:5">
      <c r="A28" s="72"/>
      <c r="B28" s="72"/>
      <c r="C28" s="72"/>
      <c r="D28" s="72"/>
      <c r="E28" s="72"/>
    </row>
    <row r="29" spans="1:5">
      <c r="A29" s="72"/>
      <c r="B29" s="72"/>
      <c r="C29" s="72"/>
      <c r="D29" s="72"/>
      <c r="E29" s="72"/>
    </row>
  </sheetData>
  <mergeCells count="17">
    <mergeCell ref="B24:D24"/>
    <mergeCell ref="B25:D25"/>
    <mergeCell ref="A3:D3"/>
    <mergeCell ref="A4:D4"/>
    <mergeCell ref="B22:D22"/>
    <mergeCell ref="A11:D11"/>
    <mergeCell ref="A15:D15"/>
    <mergeCell ref="B18:D18"/>
    <mergeCell ref="B20:D20"/>
    <mergeCell ref="B21:D21"/>
    <mergeCell ref="A14:D14"/>
    <mergeCell ref="A1:D1"/>
    <mergeCell ref="A5:D5"/>
    <mergeCell ref="A6:D6"/>
    <mergeCell ref="A8:D8"/>
    <mergeCell ref="A10:D10"/>
    <mergeCell ref="A2:D2"/>
  </mergeCells>
  <hyperlinks>
    <hyperlink ref="B18:D18" location="'Summary-TrueUp'!A1" display="Worksheet &quot;Summary-TrueUp&quot; -- Calculation of True-ups" xr:uid="{00000000-0004-0000-0000-000000000000}"/>
    <hyperlink ref="B20:D20" location="'WS1-ATRR RateBase'!A1" display="Worksheet 1 -- Calculation of Rate Base" xr:uid="{00000000-0004-0000-0000-000001000000}"/>
    <hyperlink ref="B21:D21" location="'WS2-RevCredits'!A1" display="Worksheet 2 -- Revenue Credit Detail" xr:uid="{00000000-0004-0000-0000-000003000000}"/>
    <hyperlink ref="B22:D22" location="'WS3-CostData'!A1" display="Worksheet 3 -- Cost Data" xr:uid="{00000000-0004-0000-0000-000004000000}"/>
    <hyperlink ref="B23" location="'WS4-TransFac'!A1" display="Worksheet 4 -- Transmission Facility Detail" xr:uid="{00000000-0004-0000-0000-000005000000}"/>
    <hyperlink ref="B24:D24" location="'WS5-FacDetail'!A1" display="Worksheet 5 -- Other Facility Detail" xr:uid="{00000000-0004-0000-0000-000008000000}"/>
    <hyperlink ref="B25:D25" location="'WS6-AI Detail'!A1" display="Worksheet 6 -- AI Facility Information" xr:uid="{00000000-0004-0000-0000-000009000000}"/>
    <hyperlink ref="B19" location="'Rev Log'!Print_Area" display="Log of Revisions" xr:uid="{B56BC9BE-D5F5-4341-9295-993D7636A994}"/>
    <hyperlink ref="B26:C26" location="'WS7-IMEU'!A1" display="Worksheet 7 -- IMEU Calculation" xr:uid="{F498E282-0F73-479E-8EBB-811B130B5480}"/>
  </hyperlinks>
  <printOptions horizontalCentered="1" verticalCentered="1"/>
  <pageMargins left="0.7" right="0.7" top="0.75" bottom="0.75" header="0.3" footer="0.3"/>
  <pageSetup scale="7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48B97-FDE3-4D51-AF46-5878D092F9A9}">
  <sheetPr>
    <pageSetUpPr fitToPage="1"/>
  </sheetPr>
  <dimension ref="A1:K39"/>
  <sheetViews>
    <sheetView view="pageBreakPreview" zoomScaleNormal="100" zoomScaleSheetLayoutView="100" workbookViewId="0"/>
  </sheetViews>
  <sheetFormatPr defaultRowHeight="14.5"/>
  <cols>
    <col min="1" max="2" width="9.1796875" style="87"/>
    <col min="3" max="3" width="72.26953125" customWidth="1"/>
    <col min="4" max="4" width="23.54296875" customWidth="1"/>
    <col min="5" max="5" width="15.1796875" customWidth="1"/>
    <col min="6" max="6" width="15.453125" bestFit="1" customWidth="1"/>
    <col min="7" max="7" width="14.54296875" bestFit="1" customWidth="1"/>
    <col min="8" max="8" width="24.1796875" bestFit="1" customWidth="1"/>
    <col min="10" max="10" width="13.453125" bestFit="1" customWidth="1"/>
  </cols>
  <sheetData>
    <row r="1" spans="1:11">
      <c r="A1" s="538" t="str">
        <f>'Cover Sheets'!A10:D10</f>
        <v>WAPA-UGP 2023 Rate True-up Calculation</v>
      </c>
      <c r="B1" s="115"/>
      <c r="C1" s="108"/>
      <c r="D1" s="85"/>
    </row>
    <row r="2" spans="1:11">
      <c r="A2" s="549" t="s">
        <v>11</v>
      </c>
      <c r="B2" s="85"/>
      <c r="C2" s="108"/>
      <c r="D2" s="85"/>
    </row>
    <row r="3" spans="1:11">
      <c r="A3" s="108" t="s">
        <v>22</v>
      </c>
      <c r="B3" s="108"/>
      <c r="C3" s="108"/>
      <c r="D3" s="85"/>
    </row>
    <row r="4" spans="1:11">
      <c r="A4" s="85"/>
      <c r="B4" s="341">
        <v>-1</v>
      </c>
      <c r="C4" s="341">
        <v>-2</v>
      </c>
      <c r="D4" s="341">
        <v>-3</v>
      </c>
    </row>
    <row r="5" spans="1:11" ht="18" customHeight="1">
      <c r="A5" s="159"/>
      <c r="B5" s="159"/>
      <c r="C5" s="648" t="s">
        <v>7</v>
      </c>
      <c r="D5" s="648"/>
    </row>
    <row r="6" spans="1:11" ht="13.4" customHeight="1" thickBot="1">
      <c r="A6" s="347"/>
      <c r="B6" s="347"/>
      <c r="C6" s="649" t="s">
        <v>2428</v>
      </c>
      <c r="D6" s="649"/>
    </row>
    <row r="7" spans="1:11" ht="21.75" customHeight="1">
      <c r="A7" s="159"/>
      <c r="B7" s="159"/>
      <c r="C7" s="110"/>
      <c r="D7" s="342" t="s">
        <v>23</v>
      </c>
      <c r="F7" s="132"/>
      <c r="G7" s="132"/>
    </row>
    <row r="8" spans="1:11" ht="15" thickBot="1">
      <c r="A8" s="348" t="s">
        <v>24</v>
      </c>
      <c r="B8" s="348"/>
      <c r="C8" s="349" t="s">
        <v>25</v>
      </c>
      <c r="D8" s="350" t="s">
        <v>26</v>
      </c>
      <c r="F8" s="131"/>
      <c r="G8" s="131"/>
    </row>
    <row r="9" spans="1:11">
      <c r="A9" s="159">
        <v>1</v>
      </c>
      <c r="B9" s="156" t="s">
        <v>27</v>
      </c>
      <c r="C9" s="452" t="s">
        <v>28</v>
      </c>
      <c r="D9" s="343">
        <f>'WS1-ATRR RateBase'!V9</f>
        <v>14757784.727725461</v>
      </c>
      <c r="E9" s="72"/>
      <c r="F9" s="113"/>
      <c r="G9" s="113"/>
      <c r="H9" s="73"/>
      <c r="I9" s="73"/>
      <c r="J9" s="33"/>
      <c r="K9" s="33"/>
    </row>
    <row r="10" spans="1:11">
      <c r="A10" s="159">
        <f>A9+1</f>
        <v>2</v>
      </c>
      <c r="B10" s="156" t="s">
        <v>27</v>
      </c>
      <c r="C10" s="453" t="s">
        <v>29</v>
      </c>
      <c r="D10" s="344">
        <f>'WS1-ATRR RateBase'!V12</f>
        <v>288055.63913663721</v>
      </c>
      <c r="F10" s="73"/>
      <c r="G10" s="73"/>
      <c r="H10" s="73"/>
      <c r="I10" s="73"/>
      <c r="J10" s="33"/>
      <c r="K10" s="33"/>
    </row>
    <row r="11" spans="1:11">
      <c r="A11" s="159">
        <f>A10+1</f>
        <v>3</v>
      </c>
      <c r="B11" s="156" t="s">
        <v>27</v>
      </c>
      <c r="C11" s="460" t="s">
        <v>30</v>
      </c>
      <c r="D11" s="459">
        <f>D9+D10</f>
        <v>15045840.366862098</v>
      </c>
      <c r="F11" s="73"/>
      <c r="G11" s="73"/>
      <c r="H11" s="73"/>
      <c r="I11" s="73"/>
      <c r="J11" s="33"/>
      <c r="K11" s="33"/>
    </row>
    <row r="12" spans="1:11">
      <c r="A12" s="159">
        <f t="shared" ref="A12:A19" si="0">A11+1</f>
        <v>4</v>
      </c>
      <c r="B12" s="156" t="s">
        <v>31</v>
      </c>
      <c r="C12" s="461" t="s">
        <v>32</v>
      </c>
      <c r="D12" s="346">
        <f>'WS1-ATRR RateBase'!V17</f>
        <v>1885559.4699973855</v>
      </c>
      <c r="F12" s="73"/>
      <c r="G12" s="73"/>
      <c r="H12" s="73"/>
      <c r="I12" s="73"/>
      <c r="J12" s="33"/>
      <c r="K12" s="33"/>
    </row>
    <row r="13" spans="1:11" ht="15" thickBot="1">
      <c r="A13" s="159">
        <f t="shared" si="0"/>
        <v>5</v>
      </c>
      <c r="B13" s="156"/>
      <c r="C13" s="601" t="s">
        <v>2378</v>
      </c>
      <c r="D13" s="351">
        <f>D11+D12</f>
        <v>16931399.836859483</v>
      </c>
      <c r="E13" s="130"/>
      <c r="F13" s="73"/>
      <c r="G13" s="73"/>
      <c r="H13" s="73"/>
      <c r="I13" s="73"/>
      <c r="J13" s="33"/>
      <c r="K13" s="33"/>
    </row>
    <row r="14" spans="1:11" ht="15" thickTop="1">
      <c r="A14" s="159">
        <f t="shared" si="0"/>
        <v>6</v>
      </c>
      <c r="B14" s="156"/>
      <c r="C14" s="110"/>
      <c r="D14" s="345"/>
      <c r="E14" s="130"/>
      <c r="F14" s="73"/>
      <c r="G14" s="73"/>
      <c r="H14" s="73"/>
      <c r="I14" s="73"/>
      <c r="J14" s="33"/>
      <c r="K14" s="33"/>
    </row>
    <row r="15" spans="1:11" ht="15" thickBot="1">
      <c r="A15" s="159">
        <f t="shared" si="0"/>
        <v>7</v>
      </c>
      <c r="B15" s="156" t="s">
        <v>27</v>
      </c>
      <c r="C15" s="602" t="s">
        <v>2379</v>
      </c>
      <c r="D15" s="352">
        <f>'WS1-ATRR RateBase'!V37</f>
        <v>425857.07654923166</v>
      </c>
    </row>
    <row r="16" spans="1:11" ht="15" thickTop="1">
      <c r="A16" s="159">
        <f t="shared" si="0"/>
        <v>8</v>
      </c>
      <c r="B16" s="156"/>
      <c r="C16" s="110"/>
      <c r="D16" s="345"/>
      <c r="E16" s="130"/>
      <c r="F16" s="73"/>
      <c r="G16" s="73"/>
      <c r="H16" s="73"/>
      <c r="I16" s="73"/>
      <c r="J16" s="33"/>
      <c r="K16" s="33"/>
    </row>
    <row r="17" spans="1:9" ht="15" thickBot="1">
      <c r="A17" s="159">
        <f t="shared" si="0"/>
        <v>9</v>
      </c>
      <c r="B17" s="156"/>
      <c r="C17" s="353" t="s">
        <v>2372</v>
      </c>
      <c r="D17" s="354"/>
    </row>
    <row r="18" spans="1:9">
      <c r="A18" s="159">
        <f t="shared" si="0"/>
        <v>10</v>
      </c>
      <c r="B18" s="156" t="s">
        <v>27</v>
      </c>
      <c r="C18" s="79" t="s">
        <v>33</v>
      </c>
      <c r="D18" s="346">
        <f>'WS1-ATRR RateBase'!V19</f>
        <v>696.68950368183027</v>
      </c>
    </row>
    <row r="19" spans="1:9">
      <c r="A19" s="159">
        <f t="shared" si="0"/>
        <v>11</v>
      </c>
      <c r="B19" s="156" t="s">
        <v>27</v>
      </c>
      <c r="C19" s="79" t="s">
        <v>34</v>
      </c>
      <c r="D19" s="346">
        <f>'WS1-ATRR RateBase'!V20</f>
        <v>29753.097202241683</v>
      </c>
    </row>
    <row r="20" spans="1:9">
      <c r="A20" s="159">
        <f t="shared" ref="A20:A27" si="1">A19+1</f>
        <v>12</v>
      </c>
      <c r="B20" s="156" t="s">
        <v>27</v>
      </c>
      <c r="C20" s="79" t="s">
        <v>35</v>
      </c>
      <c r="D20" s="346">
        <f>'WS1-ATRR RateBase'!V21</f>
        <v>68212.643650865299</v>
      </c>
    </row>
    <row r="21" spans="1:9">
      <c r="A21" s="159">
        <f t="shared" si="1"/>
        <v>13</v>
      </c>
      <c r="B21" s="156" t="s">
        <v>27</v>
      </c>
      <c r="C21" s="79" t="s">
        <v>36</v>
      </c>
      <c r="D21" s="346">
        <f>'WS1-ATRR RateBase'!V22</f>
        <v>5.4187981810808363</v>
      </c>
    </row>
    <row r="22" spans="1:9" ht="15" thickBot="1">
      <c r="A22" s="159">
        <f t="shared" si="1"/>
        <v>14</v>
      </c>
      <c r="B22" s="156"/>
      <c r="C22" s="196" t="s">
        <v>2380</v>
      </c>
      <c r="D22" s="351">
        <f>SUM(D18:D21)</f>
        <v>98667.849154969896</v>
      </c>
    </row>
    <row r="23" spans="1:9" ht="15" thickTop="1">
      <c r="A23" s="159">
        <f t="shared" si="1"/>
        <v>15</v>
      </c>
      <c r="B23" s="156"/>
      <c r="C23" s="133"/>
      <c r="D23" s="345"/>
    </row>
    <row r="24" spans="1:9" ht="15" thickBot="1">
      <c r="A24" s="159">
        <f t="shared" si="1"/>
        <v>16</v>
      </c>
      <c r="B24" s="156"/>
      <c r="C24" s="353" t="s">
        <v>2373</v>
      </c>
      <c r="D24" s="354"/>
    </row>
    <row r="25" spans="1:9">
      <c r="A25" s="159">
        <f t="shared" si="1"/>
        <v>17</v>
      </c>
      <c r="B25" s="156" t="s">
        <v>27</v>
      </c>
      <c r="C25" s="79" t="s">
        <v>34</v>
      </c>
      <c r="D25" s="346">
        <f>'WS1-ATRR RateBase'!V28</f>
        <v>4948.1366120218881</v>
      </c>
    </row>
    <row r="26" spans="1:9" ht="15" thickBot="1">
      <c r="A26" s="159">
        <f t="shared" si="1"/>
        <v>18</v>
      </c>
      <c r="B26" s="156"/>
      <c r="C26" s="196" t="s">
        <v>2381</v>
      </c>
      <c r="D26" s="351">
        <f>SUM(D25)</f>
        <v>4948.1366120218881</v>
      </c>
    </row>
    <row r="27" spans="1:9" ht="15" thickTop="1">
      <c r="A27" s="159">
        <f t="shared" si="1"/>
        <v>19</v>
      </c>
      <c r="B27" s="156"/>
      <c r="C27" s="133"/>
      <c r="D27" s="133"/>
    </row>
    <row r="28" spans="1:9" ht="15" thickBot="1">
      <c r="A28" s="159">
        <f>A27+1</f>
        <v>20</v>
      </c>
      <c r="B28" s="156" t="s">
        <v>27</v>
      </c>
      <c r="C28" s="196" t="s">
        <v>2374</v>
      </c>
      <c r="D28" s="351">
        <f>'WS7-IMEU'!L19</f>
        <v>87303.197711756642</v>
      </c>
    </row>
    <row r="29" spans="1:9" ht="15" thickTop="1">
      <c r="A29" s="159"/>
      <c r="B29" s="156"/>
      <c r="C29" s="133"/>
      <c r="D29" s="133"/>
    </row>
    <row r="30" spans="1:9">
      <c r="A30" s="548" t="s">
        <v>2329</v>
      </c>
      <c r="B30" s="156"/>
      <c r="C30" s="133"/>
      <c r="D30" s="345"/>
    </row>
    <row r="31" spans="1:9">
      <c r="A31" s="462" t="s">
        <v>37</v>
      </c>
      <c r="B31" s="410"/>
      <c r="C31" s="431"/>
      <c r="D31" s="85"/>
      <c r="E31" s="261"/>
      <c r="F31" s="261"/>
      <c r="G31" s="261"/>
      <c r="H31" s="261"/>
      <c r="I31" s="261"/>
    </row>
    <row r="32" spans="1:9">
      <c r="D32" s="72"/>
      <c r="E32" s="261"/>
      <c r="F32" s="261"/>
      <c r="G32" s="261"/>
      <c r="H32" s="261"/>
      <c r="I32" s="261"/>
    </row>
    <row r="33" spans="4:9">
      <c r="D33" s="262"/>
      <c r="E33" s="261"/>
      <c r="F33" s="261"/>
      <c r="G33" s="261"/>
      <c r="H33" s="261"/>
      <c r="I33" s="261"/>
    </row>
    <row r="34" spans="4:9">
      <c r="D34" s="72"/>
      <c r="E34" s="261"/>
      <c r="F34" s="261"/>
      <c r="G34" s="261"/>
      <c r="H34" s="261"/>
      <c r="I34" s="261"/>
    </row>
    <row r="35" spans="4:9">
      <c r="D35" s="72"/>
      <c r="E35" s="261"/>
      <c r="F35" s="261"/>
      <c r="G35" s="261"/>
      <c r="H35" s="261"/>
      <c r="I35" s="261"/>
    </row>
    <row r="36" spans="4:9">
      <c r="D36" s="72"/>
      <c r="E36" s="261"/>
      <c r="F36" s="261"/>
      <c r="G36" s="261"/>
      <c r="H36" s="261"/>
      <c r="I36" s="261"/>
    </row>
    <row r="37" spans="4:9">
      <c r="D37" s="72"/>
      <c r="E37" s="261"/>
      <c r="F37" s="261"/>
      <c r="G37" s="261"/>
      <c r="H37" s="261"/>
      <c r="I37" s="261"/>
    </row>
    <row r="38" spans="4:9">
      <c r="D38" s="72"/>
      <c r="E38" s="261"/>
      <c r="F38" s="261"/>
      <c r="G38" s="261"/>
      <c r="H38" s="261"/>
      <c r="I38" s="261"/>
    </row>
    <row r="39" spans="4:9">
      <c r="D39" s="72"/>
      <c r="E39" s="261"/>
      <c r="F39" s="261"/>
      <c r="G39" s="261"/>
      <c r="H39" s="261"/>
      <c r="I39" s="261"/>
    </row>
  </sheetData>
  <mergeCells count="2">
    <mergeCell ref="C5:D5"/>
    <mergeCell ref="C6:D6"/>
  </mergeCells>
  <printOptions horizontalCentered="1" verticalCentered="1"/>
  <pageMargins left="0.7" right="0.7" top="0.75" bottom="0.75" header="0.3" footer="0.3"/>
  <pageSetup paperSize="1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4384B-E6CB-44CE-B896-2805CDCDEC5C}">
  <sheetPr>
    <pageSetUpPr fitToPage="1"/>
  </sheetPr>
  <dimension ref="A1:G64"/>
  <sheetViews>
    <sheetView workbookViewId="0"/>
  </sheetViews>
  <sheetFormatPr defaultRowHeight="14.5"/>
  <cols>
    <col min="1" max="1" width="3.81640625" customWidth="1"/>
    <col min="2" max="2" width="10.54296875" bestFit="1" customWidth="1"/>
    <col min="3" max="3" width="13.54296875" customWidth="1"/>
    <col min="4" max="4" width="16.54296875" customWidth="1"/>
    <col min="5" max="5" width="18" bestFit="1" customWidth="1"/>
    <col min="6" max="6" width="22.54296875" bestFit="1" customWidth="1"/>
    <col min="7" max="7" width="58.81640625" bestFit="1" customWidth="1"/>
  </cols>
  <sheetData>
    <row r="1" spans="1:7">
      <c r="A1" s="538" t="str">
        <f>'Cover Sheets'!A10:D10</f>
        <v>WAPA-UGP 2023 Rate True-up Calculation</v>
      </c>
      <c r="B1" s="85"/>
      <c r="C1" s="85"/>
      <c r="D1" s="85"/>
      <c r="E1" s="85"/>
      <c r="F1" s="85"/>
      <c r="G1" s="85"/>
    </row>
    <row r="2" spans="1:7" ht="15" customHeight="1">
      <c r="A2" s="538" t="s">
        <v>38</v>
      </c>
      <c r="B2" s="325"/>
      <c r="C2" s="325"/>
      <c r="D2" s="325"/>
      <c r="E2" s="325"/>
      <c r="F2" s="325"/>
      <c r="G2" s="325"/>
    </row>
    <row r="3" spans="1:7">
      <c r="A3" s="91" t="str">
        <f>'Summary-TrueUp'!A3</f>
        <v>12 Months Ending 09/30/2023 True-up</v>
      </c>
      <c r="B3" s="325"/>
      <c r="C3" s="325"/>
      <c r="D3" s="325"/>
      <c r="E3" s="325"/>
      <c r="F3" s="325"/>
      <c r="G3" s="325"/>
    </row>
    <row r="4" spans="1:7" ht="15" thickBot="1">
      <c r="A4" s="650" t="s">
        <v>39</v>
      </c>
      <c r="B4" s="650"/>
      <c r="C4" s="650"/>
      <c r="D4" s="650"/>
      <c r="E4" s="650"/>
      <c r="F4" s="650"/>
      <c r="G4" s="650"/>
    </row>
    <row r="5" spans="1:7">
      <c r="A5" s="85"/>
      <c r="B5" s="85"/>
      <c r="C5" s="85"/>
      <c r="D5" s="85"/>
      <c r="E5" s="85"/>
      <c r="F5" s="85"/>
      <c r="G5" s="85"/>
    </row>
    <row r="6" spans="1:7">
      <c r="A6" s="85" t="s">
        <v>40</v>
      </c>
      <c r="B6" s="318" t="s">
        <v>41</v>
      </c>
      <c r="C6" s="318" t="s">
        <v>42</v>
      </c>
      <c r="D6" s="318" t="s">
        <v>43</v>
      </c>
      <c r="E6" s="318" t="s">
        <v>44</v>
      </c>
      <c r="F6" s="318" t="s">
        <v>45</v>
      </c>
      <c r="G6" s="341">
        <v>-6</v>
      </c>
    </row>
    <row r="7" spans="1:7">
      <c r="A7" s="357" t="s">
        <v>46</v>
      </c>
      <c r="B7" s="319" t="s">
        <v>47</v>
      </c>
      <c r="C7" s="319" t="s">
        <v>48</v>
      </c>
      <c r="D7" s="319" t="s">
        <v>49</v>
      </c>
      <c r="E7" s="324" t="s">
        <v>50</v>
      </c>
      <c r="F7" s="324" t="s">
        <v>51</v>
      </c>
      <c r="G7" s="319" t="s">
        <v>25</v>
      </c>
    </row>
    <row r="8" spans="1:7">
      <c r="A8" s="318">
        <v>1</v>
      </c>
      <c r="B8" s="320"/>
      <c r="C8" s="85"/>
      <c r="D8" s="318"/>
      <c r="E8" s="321"/>
      <c r="F8" s="321"/>
      <c r="G8" s="355"/>
    </row>
    <row r="9" spans="1:7" ht="16.5" customHeight="1">
      <c r="A9" s="318">
        <v>2</v>
      </c>
      <c r="B9" s="320"/>
      <c r="C9" s="85"/>
      <c r="D9" s="318"/>
      <c r="E9" s="321"/>
      <c r="F9" s="322"/>
      <c r="G9" s="355"/>
    </row>
    <row r="10" spans="1:7">
      <c r="A10" s="318">
        <v>3</v>
      </c>
      <c r="B10" s="320"/>
      <c r="C10" s="85"/>
      <c r="D10" s="318"/>
      <c r="E10" s="321"/>
      <c r="F10" s="322"/>
      <c r="G10" s="355"/>
    </row>
    <row r="11" spans="1:7">
      <c r="A11" s="318">
        <v>4</v>
      </c>
      <c r="B11" s="320"/>
      <c r="C11" s="85"/>
      <c r="D11" s="318"/>
      <c r="E11" s="321"/>
      <c r="F11" s="322"/>
      <c r="G11" s="355"/>
    </row>
    <row r="12" spans="1:7">
      <c r="A12" s="318">
        <v>5</v>
      </c>
      <c r="B12" s="320"/>
      <c r="C12" s="85"/>
      <c r="D12" s="318"/>
      <c r="E12" s="321"/>
      <c r="F12" s="322"/>
      <c r="G12" s="355"/>
    </row>
    <row r="13" spans="1:7">
      <c r="A13" s="318">
        <v>6</v>
      </c>
      <c r="B13" s="320"/>
      <c r="C13" s="85"/>
      <c r="D13" s="318"/>
      <c r="E13" s="321"/>
      <c r="F13" s="322"/>
      <c r="G13" s="355"/>
    </row>
    <row r="14" spans="1:7">
      <c r="A14" s="318">
        <v>7</v>
      </c>
      <c r="B14" s="320"/>
      <c r="C14" s="85"/>
      <c r="D14" s="318"/>
      <c r="E14" s="321"/>
      <c r="F14" s="322"/>
      <c r="G14" s="355"/>
    </row>
    <row r="15" spans="1:7">
      <c r="A15" s="318">
        <v>8</v>
      </c>
      <c r="B15" s="320"/>
      <c r="C15" s="85"/>
      <c r="D15" s="318"/>
      <c r="E15" s="321"/>
      <c r="F15" s="321"/>
      <c r="G15" s="355"/>
    </row>
    <row r="16" spans="1:7">
      <c r="A16" s="318">
        <v>9</v>
      </c>
      <c r="B16" s="320"/>
      <c r="C16" s="85"/>
      <c r="D16" s="318"/>
      <c r="E16" s="321"/>
      <c r="F16" s="321"/>
      <c r="G16" s="355"/>
    </row>
    <row r="17" spans="1:7">
      <c r="A17" s="318">
        <v>10</v>
      </c>
      <c r="B17" s="320"/>
      <c r="C17" s="85"/>
      <c r="D17" s="318"/>
      <c r="E17" s="321"/>
      <c r="F17" s="321"/>
      <c r="G17" s="355"/>
    </row>
    <row r="18" spans="1:7">
      <c r="A18" s="318">
        <v>11</v>
      </c>
      <c r="B18" s="320"/>
      <c r="C18" s="85"/>
      <c r="D18" s="318"/>
      <c r="E18" s="322"/>
      <c r="F18" s="322"/>
      <c r="G18" s="355"/>
    </row>
    <row r="19" spans="1:7">
      <c r="A19" s="318">
        <v>12</v>
      </c>
      <c r="B19" s="320"/>
      <c r="C19" s="85"/>
      <c r="D19" s="318"/>
      <c r="E19" s="322"/>
      <c r="F19" s="321"/>
      <c r="G19" s="355"/>
    </row>
    <row r="20" spans="1:7">
      <c r="A20" s="318">
        <v>13</v>
      </c>
      <c r="B20" s="320"/>
      <c r="C20" s="85"/>
      <c r="D20" s="318"/>
      <c r="E20" s="321"/>
      <c r="F20" s="321"/>
      <c r="G20" s="355"/>
    </row>
    <row r="21" spans="1:7">
      <c r="A21" s="318">
        <v>14</v>
      </c>
      <c r="B21" s="320"/>
      <c r="C21" s="85"/>
      <c r="D21" s="318"/>
      <c r="E21" s="323"/>
      <c r="F21" s="323"/>
      <c r="G21" s="85"/>
    </row>
    <row r="22" spans="1:7">
      <c r="A22" s="318">
        <v>15</v>
      </c>
      <c r="B22" s="320"/>
      <c r="C22" s="85"/>
      <c r="D22" s="318"/>
      <c r="E22" s="323"/>
      <c r="F22" s="323"/>
      <c r="G22" s="85"/>
    </row>
    <row r="23" spans="1:7">
      <c r="A23" s="318">
        <v>16</v>
      </c>
      <c r="B23" s="320"/>
      <c r="C23" s="85"/>
      <c r="D23" s="318"/>
      <c r="E23" s="323"/>
      <c r="F23" s="323"/>
      <c r="G23" s="85"/>
    </row>
    <row r="24" spans="1:7">
      <c r="A24" s="318">
        <v>17</v>
      </c>
      <c r="B24" s="320"/>
      <c r="C24" s="85"/>
      <c r="D24" s="318"/>
      <c r="E24" s="322"/>
      <c r="F24" s="322"/>
      <c r="G24" s="85"/>
    </row>
    <row r="25" spans="1:7">
      <c r="A25" s="318">
        <v>18</v>
      </c>
      <c r="B25" s="320"/>
      <c r="C25" s="85"/>
      <c r="D25" s="318"/>
      <c r="E25" s="322"/>
      <c r="F25" s="322"/>
      <c r="G25" s="85"/>
    </row>
    <row r="26" spans="1:7">
      <c r="A26" s="318">
        <v>19</v>
      </c>
      <c r="B26" s="320"/>
      <c r="C26" s="85"/>
      <c r="D26" s="318"/>
      <c r="E26" s="322"/>
      <c r="F26" s="322"/>
      <c r="G26" s="85"/>
    </row>
    <row r="27" spans="1:7">
      <c r="A27" s="318">
        <v>20</v>
      </c>
      <c r="B27" s="320"/>
      <c r="C27" s="85"/>
      <c r="D27" s="318"/>
      <c r="E27" s="322"/>
      <c r="F27" s="322"/>
      <c r="G27" s="85"/>
    </row>
    <row r="28" spans="1:7">
      <c r="A28" s="318">
        <v>21</v>
      </c>
      <c r="B28" s="320"/>
      <c r="C28" s="85"/>
      <c r="D28" s="318"/>
      <c r="E28" s="356"/>
      <c r="F28" s="356"/>
      <c r="G28" s="85"/>
    </row>
    <row r="29" spans="1:7">
      <c r="B29" s="102"/>
      <c r="C29" s="103"/>
      <c r="D29" s="104"/>
      <c r="E29" s="106"/>
      <c r="F29" s="106"/>
      <c r="G29" s="103"/>
    </row>
    <row r="30" spans="1:7">
      <c r="B30" s="102"/>
      <c r="C30" s="103"/>
      <c r="D30" s="104"/>
      <c r="E30" s="106"/>
      <c r="F30" s="106"/>
      <c r="G30" s="103"/>
    </row>
    <row r="31" spans="1:7">
      <c r="B31" s="102"/>
      <c r="C31" s="103"/>
      <c r="D31" s="104"/>
      <c r="E31" s="105"/>
      <c r="F31" s="105"/>
      <c r="G31" s="103"/>
    </row>
    <row r="32" spans="1:7">
      <c r="B32" s="102"/>
      <c r="C32" s="103"/>
      <c r="D32" s="104"/>
      <c r="E32" s="105"/>
      <c r="F32" s="105"/>
      <c r="G32" s="103"/>
    </row>
    <row r="33" spans="2:7">
      <c r="B33" s="102"/>
      <c r="C33" s="103"/>
      <c r="D33" s="104"/>
      <c r="E33" s="105"/>
      <c r="F33" s="105"/>
      <c r="G33" s="103"/>
    </row>
    <row r="34" spans="2:7">
      <c r="B34" s="102"/>
      <c r="C34" s="103"/>
      <c r="D34" s="104"/>
      <c r="E34" s="105"/>
      <c r="F34" s="105"/>
      <c r="G34" s="103"/>
    </row>
    <row r="35" spans="2:7">
      <c r="B35" s="99"/>
      <c r="D35" s="96"/>
      <c r="E35" s="100"/>
      <c r="F35" s="100"/>
    </row>
    <row r="36" spans="2:7">
      <c r="D36" s="96"/>
      <c r="E36" s="100"/>
      <c r="F36" s="100"/>
    </row>
    <row r="37" spans="2:7">
      <c r="D37" s="96"/>
      <c r="E37" s="100"/>
      <c r="F37" s="100"/>
    </row>
    <row r="38" spans="2:7">
      <c r="B38" s="99"/>
      <c r="D38" s="96"/>
      <c r="E38" s="100"/>
      <c r="F38" s="100"/>
    </row>
    <row r="39" spans="2:7">
      <c r="B39" s="99"/>
      <c r="D39" s="96"/>
      <c r="E39" s="100"/>
      <c r="F39" s="100"/>
    </row>
    <row r="40" spans="2:7">
      <c r="B40" s="99"/>
      <c r="D40" s="96"/>
    </row>
    <row r="41" spans="2:7">
      <c r="B41" s="99"/>
      <c r="D41" s="96"/>
      <c r="E41" s="101"/>
      <c r="F41" s="101"/>
    </row>
    <row r="42" spans="2:7">
      <c r="B42" s="99"/>
      <c r="D42" s="96"/>
      <c r="E42" s="101"/>
      <c r="F42" s="101"/>
    </row>
    <row r="43" spans="2:7">
      <c r="B43" s="99"/>
      <c r="D43" s="96"/>
      <c r="E43" s="101"/>
      <c r="F43" s="101"/>
    </row>
    <row r="44" spans="2:7">
      <c r="B44" s="99"/>
      <c r="D44" s="96"/>
      <c r="E44" s="101"/>
    </row>
    <row r="45" spans="2:7">
      <c r="B45" s="99"/>
      <c r="D45" s="96"/>
    </row>
    <row r="46" spans="2:7">
      <c r="B46" s="99"/>
      <c r="D46" s="96"/>
    </row>
    <row r="47" spans="2:7">
      <c r="B47" s="99"/>
      <c r="D47" s="96"/>
    </row>
    <row r="48" spans="2:7">
      <c r="B48" s="99"/>
      <c r="D48" s="96"/>
    </row>
    <row r="49" spans="2:6">
      <c r="B49" s="99"/>
      <c r="D49" s="96"/>
    </row>
    <row r="50" spans="2:6">
      <c r="B50" s="99"/>
      <c r="D50" s="96"/>
    </row>
    <row r="51" spans="2:6">
      <c r="B51" s="99"/>
      <c r="D51" s="96"/>
    </row>
    <row r="52" spans="2:6">
      <c r="B52" s="99"/>
      <c r="D52" s="96"/>
    </row>
    <row r="53" spans="2:6">
      <c r="B53" s="99"/>
      <c r="D53" s="96"/>
      <c r="E53" s="33"/>
      <c r="F53" s="33"/>
    </row>
    <row r="54" spans="2:6">
      <c r="B54" s="99"/>
      <c r="D54" s="96"/>
      <c r="E54" s="101"/>
      <c r="F54" s="101"/>
    </row>
    <row r="55" spans="2:6">
      <c r="B55" s="99"/>
      <c r="D55" s="96"/>
      <c r="E55" s="101"/>
      <c r="F55" s="101"/>
    </row>
    <row r="56" spans="2:6">
      <c r="B56" s="99"/>
      <c r="D56" s="96"/>
      <c r="E56" s="101"/>
      <c r="F56" s="101"/>
    </row>
    <row r="57" spans="2:6">
      <c r="B57" s="99"/>
      <c r="D57" s="96"/>
      <c r="E57" s="101"/>
      <c r="F57" s="101"/>
    </row>
    <row r="58" spans="2:6">
      <c r="B58" s="99"/>
      <c r="D58" s="96"/>
      <c r="E58" s="101"/>
      <c r="F58" s="101"/>
    </row>
    <row r="59" spans="2:6">
      <c r="B59" s="99"/>
      <c r="D59" s="96"/>
      <c r="E59" s="101"/>
      <c r="F59" s="101"/>
    </row>
    <row r="60" spans="2:6">
      <c r="B60" s="99"/>
      <c r="D60" s="96"/>
      <c r="E60" s="101"/>
      <c r="F60" s="101"/>
    </row>
    <row r="61" spans="2:6">
      <c r="B61" s="99"/>
      <c r="D61" s="96"/>
      <c r="E61" s="101"/>
      <c r="F61" s="101"/>
    </row>
    <row r="62" spans="2:6">
      <c r="B62" s="99"/>
      <c r="D62" s="96"/>
      <c r="E62" s="101"/>
      <c r="F62" s="101"/>
    </row>
    <row r="63" spans="2:6">
      <c r="B63" s="99"/>
      <c r="D63" s="96"/>
      <c r="E63" s="101"/>
      <c r="F63" s="101"/>
    </row>
    <row r="64" spans="2:6">
      <c r="B64" s="99"/>
      <c r="D64" s="96"/>
      <c r="E64" s="101"/>
      <c r="F64" s="101"/>
    </row>
  </sheetData>
  <mergeCells count="1">
    <mergeCell ref="A4:G4"/>
  </mergeCells>
  <phoneticPr fontId="61" type="noConversion"/>
  <pageMargins left="0.7" right="0.7" top="0.75" bottom="0.75" header="0.3" footer="0.3"/>
  <pageSetup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30E44-19C6-40D3-9039-ECA6CFDB3858}">
  <sheetPr>
    <pageSetUpPr fitToPage="1"/>
  </sheetPr>
  <dimension ref="A1:X46"/>
  <sheetViews>
    <sheetView tabSelected="1" view="pageBreakPreview" zoomScale="80" zoomScaleNormal="100" zoomScaleSheetLayoutView="80" workbookViewId="0">
      <pane ySplit="5" topLeftCell="A6" activePane="bottomLeft" state="frozen"/>
      <selection activeCell="K1" sqref="K1"/>
      <selection pane="bottomLeft"/>
    </sheetView>
  </sheetViews>
  <sheetFormatPr defaultColWidth="13.1796875" defaultRowHeight="14.5"/>
  <cols>
    <col min="1" max="2" width="9.54296875" style="182" customWidth="1"/>
    <col min="3" max="3" width="12.54296875" style="182" customWidth="1"/>
    <col min="4" max="4" width="52.54296875" style="182" bestFit="1" customWidth="1"/>
    <col min="5" max="5" width="10" style="182" customWidth="1"/>
    <col min="6" max="7" width="13.1796875" style="182"/>
    <col min="8" max="8" width="13.81640625" style="182" bestFit="1" customWidth="1"/>
    <col min="9" max="10" width="13.1796875" style="182"/>
    <col min="11" max="11" width="15.1796875" style="182" customWidth="1"/>
    <col min="12" max="12" width="13.1796875" style="182" bestFit="1"/>
    <col min="13" max="13" width="17" style="182" customWidth="1"/>
    <col min="14" max="14" width="13.1796875" style="182" bestFit="1"/>
    <col min="15" max="15" width="13.54296875" style="182" bestFit="1" customWidth="1"/>
    <col min="16" max="16" width="14.81640625" style="198" bestFit="1" customWidth="1"/>
    <col min="17" max="17" width="16.1796875" style="182" bestFit="1" customWidth="1"/>
    <col min="18" max="19" width="16.1796875" style="182" customWidth="1"/>
    <col min="20" max="20" width="14.26953125" style="182" bestFit="1" customWidth="1"/>
    <col min="21" max="21" width="14.26953125" style="182" customWidth="1"/>
    <col min="22" max="16384" width="13.1796875" style="182"/>
  </cols>
  <sheetData>
    <row r="1" spans="1:24" ht="14.9" customHeight="1">
      <c r="A1" s="538" t="str">
        <f>'Cover Sheets'!A10:D10</f>
        <v>WAPA-UGP 2023 Rate True-up Calculation</v>
      </c>
      <c r="B1" s="115"/>
      <c r="C1" s="115"/>
      <c r="D1" s="228"/>
      <c r="E1" s="537" t="s">
        <v>52</v>
      </c>
      <c r="F1" s="544"/>
      <c r="G1" s="545"/>
      <c r="H1" s="326"/>
      <c r="I1" s="326"/>
      <c r="J1" s="326"/>
      <c r="L1" s="326"/>
      <c r="M1" s="326"/>
      <c r="N1" s="326"/>
      <c r="O1" s="326"/>
      <c r="P1" s="327"/>
      <c r="Q1" s="326"/>
      <c r="R1" s="326"/>
      <c r="S1" s="326"/>
      <c r="T1" s="326"/>
      <c r="U1" s="326"/>
      <c r="V1" s="326"/>
    </row>
    <row r="2" spans="1:24" ht="15" thickBot="1">
      <c r="A2" s="538" t="s">
        <v>53</v>
      </c>
      <c r="B2" s="115"/>
      <c r="C2" s="115"/>
      <c r="D2" s="228"/>
      <c r="E2" s="326"/>
      <c r="F2" s="326"/>
      <c r="G2" s="326"/>
      <c r="H2" s="326"/>
      <c r="I2" s="326"/>
      <c r="J2" s="326"/>
      <c r="K2" s="326"/>
      <c r="L2" s="326"/>
      <c r="M2" s="326"/>
      <c r="N2" s="326"/>
      <c r="O2" s="326"/>
      <c r="P2" s="327"/>
      <c r="Q2" s="328"/>
      <c r="R2" s="328"/>
      <c r="S2" s="328"/>
      <c r="T2" s="328"/>
      <c r="U2" s="328"/>
      <c r="V2" s="326"/>
    </row>
    <row r="3" spans="1:24" ht="15.5" thickTop="1" thickBot="1">
      <c r="A3" s="91" t="str">
        <f>'Summary-TrueUp'!A3</f>
        <v>12 Months Ending 09/30/2023 True-up</v>
      </c>
      <c r="B3" s="91"/>
      <c r="C3" s="91"/>
      <c r="D3" s="326"/>
      <c r="E3" s="326"/>
      <c r="F3" s="326"/>
      <c r="G3" s="326"/>
      <c r="H3" s="326"/>
      <c r="I3" s="326"/>
      <c r="J3" s="326"/>
      <c r="K3" s="326"/>
      <c r="L3" s="326"/>
      <c r="M3" s="326"/>
      <c r="N3" s="326"/>
      <c r="O3" s="326"/>
      <c r="P3" s="327"/>
      <c r="Q3" s="326"/>
      <c r="R3" s="326"/>
      <c r="S3" s="326"/>
      <c r="T3" s="539" t="s">
        <v>2318</v>
      </c>
      <c r="U3" s="328"/>
      <c r="V3" s="326"/>
    </row>
    <row r="4" spans="1:24" ht="40" thickTop="1">
      <c r="A4" s="463"/>
      <c r="B4" s="464" t="s">
        <v>54</v>
      </c>
      <c r="C4" s="465" t="s">
        <v>55</v>
      </c>
      <c r="D4" s="465" t="s">
        <v>56</v>
      </c>
      <c r="E4" s="466" t="s">
        <v>57</v>
      </c>
      <c r="F4" s="467" t="s">
        <v>58</v>
      </c>
      <c r="G4" s="467" t="s">
        <v>59</v>
      </c>
      <c r="H4" s="467" t="s">
        <v>2353</v>
      </c>
      <c r="I4" s="467" t="s">
        <v>60</v>
      </c>
      <c r="J4" s="468" t="s">
        <v>2326</v>
      </c>
      <c r="K4" s="469" t="s">
        <v>61</v>
      </c>
      <c r="L4" s="470" t="s">
        <v>62</v>
      </c>
      <c r="M4" s="470" t="s">
        <v>63</v>
      </c>
      <c r="N4" s="470" t="s">
        <v>64</v>
      </c>
      <c r="O4" s="470" t="s">
        <v>2352</v>
      </c>
      <c r="P4" s="471" t="s">
        <v>2364</v>
      </c>
      <c r="Q4" s="472" t="s">
        <v>2365</v>
      </c>
      <c r="R4" s="472" t="s">
        <v>2351</v>
      </c>
      <c r="S4" s="472" t="s">
        <v>2382</v>
      </c>
      <c r="T4" s="472" t="s">
        <v>2319</v>
      </c>
      <c r="U4" s="473" t="s">
        <v>2363</v>
      </c>
      <c r="V4" s="473" t="s">
        <v>2376</v>
      </c>
    </row>
    <row r="5" spans="1:24" ht="15" thickBot="1">
      <c r="A5" s="474" t="s">
        <v>65</v>
      </c>
      <c r="B5" s="36">
        <v>-1</v>
      </c>
      <c r="C5" s="36">
        <v>-2</v>
      </c>
      <c r="D5" s="36">
        <v>-3</v>
      </c>
      <c r="E5" s="36">
        <v>-4</v>
      </c>
      <c r="F5" s="475">
        <v>-5</v>
      </c>
      <c r="G5" s="475">
        <v>-6</v>
      </c>
      <c r="H5" s="475">
        <v>-7</v>
      </c>
      <c r="I5" s="475">
        <v>-8</v>
      </c>
      <c r="J5" s="476">
        <v>-9</v>
      </c>
      <c r="K5" s="477">
        <v>-10</v>
      </c>
      <c r="L5" s="478">
        <v>-11</v>
      </c>
      <c r="M5" s="478">
        <v>-12</v>
      </c>
      <c r="N5" s="478">
        <f>-13</f>
        <v>-13</v>
      </c>
      <c r="O5" s="478">
        <v>-14</v>
      </c>
      <c r="P5" s="479">
        <v>-15</v>
      </c>
      <c r="Q5" s="480">
        <v>-16</v>
      </c>
      <c r="R5" s="480">
        <v>-17</v>
      </c>
      <c r="S5" s="480">
        <v>-18</v>
      </c>
      <c r="T5" s="480">
        <v>-19</v>
      </c>
      <c r="U5" s="479">
        <v>-20</v>
      </c>
      <c r="V5" s="479">
        <v>-21</v>
      </c>
      <c r="W5" s="651" t="s">
        <v>66</v>
      </c>
      <c r="X5" s="651"/>
    </row>
    <row r="6" spans="1:24">
      <c r="A6" s="359">
        <v>1</v>
      </c>
      <c r="B6" s="329" t="s">
        <v>27</v>
      </c>
      <c r="C6" s="144" t="s">
        <v>67</v>
      </c>
      <c r="D6" s="481" t="s">
        <v>68</v>
      </c>
      <c r="E6" s="144" t="s">
        <v>69</v>
      </c>
      <c r="F6" s="331">
        <f>'WS3-CostData'!C168</f>
        <v>67529871.902780414</v>
      </c>
      <c r="G6" s="330">
        <f>'WS3-CostData'!C79</f>
        <v>28658433.590687506</v>
      </c>
      <c r="H6" s="334">
        <f>N6*O6</f>
        <v>27645902.899120457</v>
      </c>
      <c r="I6" s="330">
        <f>'WS3-CostData'!C143</f>
        <v>21158252.187634699</v>
      </c>
      <c r="J6" s="526">
        <f>F6+G6+H6+I6</f>
        <v>144992460.58022308</v>
      </c>
      <c r="K6" s="330">
        <f>'WS3-CostData'!C15</f>
        <v>1336968418.500447</v>
      </c>
      <c r="L6" s="329"/>
      <c r="M6" s="330">
        <f>'WS3-CostData'!C52</f>
        <v>688994911.31695533</v>
      </c>
      <c r="N6" s="332">
        <f>IF('WS3-CostData'!$K$87&gt;0, 'WS3-CostData'!$K$101/'WS3-CostData'!$K$87,0)-0.0001</f>
        <v>4.2665174721860585E-2</v>
      </c>
      <c r="O6" s="333">
        <f>K6-M6</f>
        <v>647973507.18349171</v>
      </c>
      <c r="P6" s="531">
        <f>ROUND(('WS3-CostData'!C8/'WS3-CostData'!K8)*('WS3-CostData'!C15/'WS3-CostData'!$C$8),4)-0.0001</f>
        <v>0.82679999999999998</v>
      </c>
      <c r="Q6" s="336">
        <f>$Q$18*P6</f>
        <v>-8741214.0688080024</v>
      </c>
      <c r="R6" s="336">
        <f>$R$18*P6</f>
        <v>-101217062.30313601</v>
      </c>
      <c r="S6" s="336">
        <f>$S$18*P6</f>
        <v>-10489291.480202535</v>
      </c>
      <c r="T6" s="336">
        <f>$T$18*P6</f>
        <v>-8055912.5712000001</v>
      </c>
      <c r="U6" s="590">
        <f>V6-R6</f>
        <v>117706042.46001256</v>
      </c>
      <c r="V6" s="521">
        <f>J6+Q6+R6+S6+T6</f>
        <v>16488980.156876555</v>
      </c>
      <c r="W6" s="519">
        <f>V6</f>
        <v>16488980.156876555</v>
      </c>
      <c r="X6" s="519">
        <f t="shared" ref="X6:X28" si="0">V6-W6</f>
        <v>0</v>
      </c>
    </row>
    <row r="7" spans="1:24">
      <c r="A7" s="359">
        <f>A6+1</f>
        <v>2</v>
      </c>
      <c r="B7" s="329" t="s">
        <v>27</v>
      </c>
      <c r="C7" s="144" t="s">
        <v>67</v>
      </c>
      <c r="D7" s="481" t="s">
        <v>70</v>
      </c>
      <c r="E7" s="144" t="s">
        <v>71</v>
      </c>
      <c r="F7" s="331">
        <f>'WS3-CostData'!E168</f>
        <v>342270.36763014068</v>
      </c>
      <c r="G7" s="330">
        <f>'WS3-CostData'!E79</f>
        <v>135261.3723461038</v>
      </c>
      <c r="H7" s="334">
        <f>N7*O7</f>
        <v>105237.72962521619</v>
      </c>
      <c r="I7" s="330">
        <f>'WS3-CostData'!E143</f>
        <v>107004.70901169465</v>
      </c>
      <c r="J7" s="527">
        <f>F7+G7+H7+I7</f>
        <v>689774.17861315538</v>
      </c>
      <c r="K7" s="330">
        <f>'WS3-CostData'!E15</f>
        <v>5408407.9699999988</v>
      </c>
      <c r="L7" s="329"/>
      <c r="M7" s="330">
        <f>'WS3-CostData'!E52</f>
        <v>2941812.4313370581</v>
      </c>
      <c r="N7" s="332">
        <f>IF('WS3-CostData'!$K$87&gt;0, 'WS3-CostData'!$K$101/'WS3-CostData'!$K$87,0)-0.0001</f>
        <v>4.2665174721860585E-2</v>
      </c>
      <c r="O7" s="333">
        <f>K7-M7</f>
        <v>2466595.5386629407</v>
      </c>
      <c r="P7" s="532">
        <f>ROUND(('WS3-CostData'!E8/'WS3-CostData'!K8)*('WS3-CostData'!E15/'WS3-CostData'!$E$8),4)</f>
        <v>3.3E-3</v>
      </c>
      <c r="Q7" s="336">
        <f t="shared" ref="Q7:Q8" si="1">$Q$18*P7</f>
        <v>-34888.735398000012</v>
      </c>
      <c r="R7" s="336">
        <f>$R$18*P7</f>
        <v>-403986.82341600006</v>
      </c>
      <c r="S7" s="336">
        <f>$S$18*P7</f>
        <v>-41865.82230850069</v>
      </c>
      <c r="T7" s="336">
        <f>$T$18*P7</f>
        <v>-32153.497200000002</v>
      </c>
      <c r="U7" s="590">
        <f t="shared" ref="U7:U17" si="2">V7-R7</f>
        <v>580866.12370665465</v>
      </c>
      <c r="V7" s="521">
        <f t="shared" ref="V7:V17" si="3">J7+Q7+R7+S7+T7</f>
        <v>176879.30029065462</v>
      </c>
      <c r="W7" s="519">
        <f>V7</f>
        <v>176879.30029065462</v>
      </c>
      <c r="X7" s="519">
        <f t="shared" si="0"/>
        <v>0</v>
      </c>
    </row>
    <row r="8" spans="1:24">
      <c r="A8" s="359">
        <f t="shared" ref="A8:A17" si="4">A7+1</f>
        <v>3</v>
      </c>
      <c r="B8" s="329" t="s">
        <v>27</v>
      </c>
      <c r="C8" s="144" t="s">
        <v>67</v>
      </c>
      <c r="D8" s="481" t="s">
        <v>72</v>
      </c>
      <c r="E8" s="144" t="s">
        <v>73</v>
      </c>
      <c r="F8" s="331">
        <f>'WS3-CostData'!G168</f>
        <v>3926927.2818451808</v>
      </c>
      <c r="G8" s="330">
        <f>'WS3-CostData'!G79</f>
        <v>1427751.0726601151</v>
      </c>
      <c r="H8" s="334">
        <f>N8*O8</f>
        <v>2031523.8020182936</v>
      </c>
      <c r="I8" s="330">
        <f>'WS3-CostData'!G140</f>
        <v>0</v>
      </c>
      <c r="J8" s="527">
        <f>F8+G8+H8+I8</f>
        <v>7386202.156523589</v>
      </c>
      <c r="K8" s="330">
        <f>'WS3-CostData'!G15</f>
        <v>96597756.770000011</v>
      </c>
      <c r="L8" s="329"/>
      <c r="M8" s="330">
        <f>'WS3-CostData'!G52</f>
        <v>48982252.667132929</v>
      </c>
      <c r="N8" s="332">
        <f>IF('WS3-CostData'!$K$87&gt;0, 'WS3-CostData'!$K$101/'WS3-CostData'!$K$87,0)-0.0001</f>
        <v>4.2665174721860585E-2</v>
      </c>
      <c r="O8" s="333">
        <f>K8-M8</f>
        <v>47615504.102867082</v>
      </c>
      <c r="P8" s="532">
        <f>ROUND(('WS3-CostData'!G8/'WS3-CostData'!K8)*('WS3-CostData'!G15/'WS3-CostData'!G8),4)+0.0001</f>
        <v>5.9800000000000006E-2</v>
      </c>
      <c r="Q8" s="336">
        <f t="shared" si="1"/>
        <v>-632226.17478800029</v>
      </c>
      <c r="R8" s="336">
        <f>$R$18*P8</f>
        <v>-7320730.9212960014</v>
      </c>
      <c r="S8" s="336">
        <f>$S$18*P8</f>
        <v>-758659.44668131554</v>
      </c>
      <c r="T8" s="336">
        <f>$T$18*P8</f>
        <v>-582660.3432</v>
      </c>
      <c r="U8" s="590">
        <f t="shared" si="2"/>
        <v>5412656.1918542739</v>
      </c>
      <c r="V8" s="521">
        <f t="shared" si="3"/>
        <v>-1908074.729441728</v>
      </c>
      <c r="W8" s="519">
        <f>V8</f>
        <v>-1908074.729441728</v>
      </c>
      <c r="X8" s="519">
        <f t="shared" si="0"/>
        <v>0</v>
      </c>
    </row>
    <row r="9" spans="1:24" s="201" customFormat="1">
      <c r="A9" s="359">
        <f t="shared" si="4"/>
        <v>4</v>
      </c>
      <c r="B9" s="337"/>
      <c r="C9" s="337"/>
      <c r="D9" s="482" t="s">
        <v>2320</v>
      </c>
      <c r="E9" s="485"/>
      <c r="F9" s="486">
        <f t="shared" ref="F9:K9" si="5">SUM(F6:F8)</f>
        <v>71799069.552255735</v>
      </c>
      <c r="G9" s="486">
        <f t="shared" si="5"/>
        <v>30221446.035693724</v>
      </c>
      <c r="H9" s="486">
        <f t="shared" si="5"/>
        <v>29782664.430763967</v>
      </c>
      <c r="I9" s="486">
        <f t="shared" si="5"/>
        <v>21265256.896646395</v>
      </c>
      <c r="J9" s="528">
        <f t="shared" si="5"/>
        <v>153068436.91535982</v>
      </c>
      <c r="K9" s="486">
        <f t="shared" si="5"/>
        <v>1438974583.240447</v>
      </c>
      <c r="L9" s="487">
        <v>1</v>
      </c>
      <c r="M9" s="486">
        <f>SUM(M6:M8)</f>
        <v>740918976.4154253</v>
      </c>
      <c r="N9" s="488"/>
      <c r="O9" s="486">
        <f t="shared" ref="O9:T9" si="6">SUM(O6:O8)</f>
        <v>698055606.82502174</v>
      </c>
      <c r="P9" s="533">
        <f t="shared" si="6"/>
        <v>0.88989999999999991</v>
      </c>
      <c r="Q9" s="486">
        <f t="shared" si="6"/>
        <v>-9408328.9789940026</v>
      </c>
      <c r="R9" s="486">
        <f t="shared" si="6"/>
        <v>-108941780.047848</v>
      </c>
      <c r="S9" s="486">
        <f t="shared" si="6"/>
        <v>-11289816.749192351</v>
      </c>
      <c r="T9" s="486">
        <f t="shared" si="6"/>
        <v>-8670726.4116000012</v>
      </c>
      <c r="U9" s="522">
        <f t="shared" si="2"/>
        <v>123699564.77557346</v>
      </c>
      <c r="V9" s="522">
        <f>J9+Q9+R9+S9+T9</f>
        <v>14757784.727725461</v>
      </c>
      <c r="W9" s="509">
        <f>SUM(W6:W8)</f>
        <v>14757784.727725482</v>
      </c>
      <c r="X9" s="519">
        <f t="shared" si="0"/>
        <v>-2.0489096641540527E-8</v>
      </c>
    </row>
    <row r="10" spans="1:24">
      <c r="A10" s="359">
        <f t="shared" si="4"/>
        <v>5</v>
      </c>
      <c r="B10" s="329" t="s">
        <v>27</v>
      </c>
      <c r="C10" s="144" t="s">
        <v>2362</v>
      </c>
      <c r="D10" s="338" t="str">
        <f>'WS4-TransFac'!E509</f>
        <v>MILES CITY CONVERTER STATION - BEPS</v>
      </c>
      <c r="E10" s="339" t="s">
        <v>74</v>
      </c>
      <c r="F10" s="334">
        <f>$F$12*L10</f>
        <v>1004675.8775234701</v>
      </c>
      <c r="G10" s="334">
        <f>$G$12*L10</f>
        <v>426365.93413983053</v>
      </c>
      <c r="H10" s="334">
        <f>N10*O10</f>
        <v>411302.0056529814</v>
      </c>
      <c r="I10" s="334">
        <f>$I$12*L10</f>
        <v>314781.96218227316</v>
      </c>
      <c r="J10" s="527">
        <f t="shared" ref="J10:J11" si="7">F10+G10+H10+I10</f>
        <v>2157125.7794985552</v>
      </c>
      <c r="K10" s="334">
        <f>'WS4-TransFac'!K509</f>
        <v>19890751.77</v>
      </c>
      <c r="L10" s="332">
        <f>K10/K12</f>
        <v>0.83844512346331235</v>
      </c>
      <c r="M10" s="340">
        <f>$M$12*L10</f>
        <v>10250523.918261228</v>
      </c>
      <c r="N10" s="332">
        <f>IF('WS3-CostData'!$K$87&gt;0, 'WS3-CostData'!$K$101/'WS3-CostData'!$K$87,0)-0.0001</f>
        <v>4.2665174721860585E-2</v>
      </c>
      <c r="O10" s="334">
        <f>K10-M10</f>
        <v>9640227.8517387714</v>
      </c>
      <c r="P10" s="532">
        <f>ROUND(('WS3-CostData'!C8/'WS3-CostData'!K8)*(('WS3-CostData'!C22-K11)/'WS3-CostData'!$C$8),4)</f>
        <v>1.23E-2</v>
      </c>
      <c r="Q10" s="336">
        <f>$Q$18*P10</f>
        <v>-130039.83193800006</v>
      </c>
      <c r="R10" s="336">
        <f>$R$18*P10</f>
        <v>-1505769.0690960002</v>
      </c>
      <c r="S10" s="336">
        <f>$S$18*P10</f>
        <v>-156045.33769532075</v>
      </c>
      <c r="T10" s="336">
        <f>$T$18*P10</f>
        <v>-119844.8532</v>
      </c>
      <c r="U10" s="590">
        <f t="shared" si="2"/>
        <v>1751195.7566652345</v>
      </c>
      <c r="V10" s="521">
        <f t="shared" si="3"/>
        <v>245426.68756923417</v>
      </c>
      <c r="W10" s="519">
        <f>V10</f>
        <v>245426.68756923417</v>
      </c>
      <c r="X10" s="519">
        <f t="shared" si="0"/>
        <v>0</v>
      </c>
    </row>
    <row r="11" spans="1:24">
      <c r="A11" s="359">
        <f t="shared" si="4"/>
        <v>6</v>
      </c>
      <c r="B11" s="329" t="s">
        <v>27</v>
      </c>
      <c r="C11" s="144" t="s">
        <v>2362</v>
      </c>
      <c r="D11" s="338" t="str">
        <f>'WS4-TransFac'!E510</f>
        <v>MILES CITY CONVERTER STATION - BEFP</v>
      </c>
      <c r="E11" s="339" t="s">
        <v>74</v>
      </c>
      <c r="F11" s="334">
        <f>$F$12*L11</f>
        <v>193584.86657093038</v>
      </c>
      <c r="G11" s="334">
        <f>$G$12*L11</f>
        <v>82153.851124907713</v>
      </c>
      <c r="H11" s="334">
        <f>N11*O11</f>
        <v>79251.274630935324</v>
      </c>
      <c r="I11" s="334">
        <f>$I$12*L11</f>
        <v>60653.416202448287</v>
      </c>
      <c r="J11" s="527">
        <f t="shared" si="7"/>
        <v>415643.40852922172</v>
      </c>
      <c r="K11" s="334">
        <f>'WS4-TransFac'!K510</f>
        <v>3832627.63</v>
      </c>
      <c r="L11" s="335">
        <f>K11/K12</f>
        <v>0.16155487653668768</v>
      </c>
      <c r="M11" s="340">
        <f>$M$12*L11</f>
        <v>1975110.9282031849</v>
      </c>
      <c r="N11" s="332">
        <f>IF('WS3-CostData'!$K$87&gt;0, 'WS3-CostData'!$K$101/'WS3-CostData'!$K$87,0)-0.0001</f>
        <v>4.2665174721860585E-2</v>
      </c>
      <c r="O11" s="333">
        <f>K11-M11</f>
        <v>1857516.701796815</v>
      </c>
      <c r="P11" s="532">
        <f>ROUND(('WS3-CostData'!C8/'WS3-CostData'!K8)*(('WS3-CostData'!C22-K10)/'WS3-CostData'!$C$8),4)</f>
        <v>2.3999999999999998E-3</v>
      </c>
      <c r="Q11" s="336">
        <f>$Q$18*P11</f>
        <v>-25373.625744000008</v>
      </c>
      <c r="R11" s="336">
        <f>$R$18*P11</f>
        <v>-293808.59884799999</v>
      </c>
      <c r="S11" s="336">
        <f>$S$18*P11</f>
        <v>-30447.870769818677</v>
      </c>
      <c r="T11" s="336">
        <f>$T$18*P11</f>
        <v>-23384.361599999997</v>
      </c>
      <c r="U11" s="590">
        <f t="shared" si="2"/>
        <v>336437.55041540304</v>
      </c>
      <c r="V11" s="521">
        <f t="shared" si="3"/>
        <v>42628.951567403034</v>
      </c>
      <c r="W11" s="519">
        <f>V11</f>
        <v>42628.951567403034</v>
      </c>
      <c r="X11" s="519">
        <f t="shared" si="0"/>
        <v>0</v>
      </c>
    </row>
    <row r="12" spans="1:24" s="199" customFormat="1">
      <c r="A12" s="359">
        <f t="shared" si="4"/>
        <v>7</v>
      </c>
      <c r="B12" s="144"/>
      <c r="C12" s="144"/>
      <c r="D12" s="495" t="s">
        <v>2321</v>
      </c>
      <c r="E12" s="485"/>
      <c r="F12" s="486">
        <f>'WS3-CostData'!C171</f>
        <v>1198260.7440944004</v>
      </c>
      <c r="G12" s="486">
        <f>'WS3-CostData'!C82</f>
        <v>508519.7852647382</v>
      </c>
      <c r="H12" s="486">
        <f>SUM(H10:H11)</f>
        <v>490553.28028391674</v>
      </c>
      <c r="I12" s="486">
        <f>'WS3-CostData'!C146</f>
        <v>375435.37838472141</v>
      </c>
      <c r="J12" s="528">
        <f>SUM(J10:J11)</f>
        <v>2572769.1880277768</v>
      </c>
      <c r="K12" s="486">
        <f>SUM(K10:K11)</f>
        <v>23723379.399999999</v>
      </c>
      <c r="L12" s="487">
        <v>1</v>
      </c>
      <c r="M12" s="486">
        <f>'WS3-CostData'!C55</f>
        <v>12225634.846464412</v>
      </c>
      <c r="N12" s="488"/>
      <c r="O12" s="486">
        <f t="shared" ref="O12:T12" si="8">SUM(O10:O11)</f>
        <v>11497744.553535586</v>
      </c>
      <c r="P12" s="533">
        <f t="shared" si="8"/>
        <v>1.47E-2</v>
      </c>
      <c r="Q12" s="486">
        <f t="shared" si="8"/>
        <v>-155413.45768200007</v>
      </c>
      <c r="R12" s="486">
        <f t="shared" si="8"/>
        <v>-1799577.6679440001</v>
      </c>
      <c r="S12" s="486">
        <f t="shared" si="8"/>
        <v>-186493.20846513944</v>
      </c>
      <c r="T12" s="486">
        <f t="shared" si="8"/>
        <v>-143229.21479999999</v>
      </c>
      <c r="U12" s="522">
        <f t="shared" si="2"/>
        <v>2087633.3070806372</v>
      </c>
      <c r="V12" s="522">
        <f t="shared" si="3"/>
        <v>288055.63913663721</v>
      </c>
      <c r="W12" s="509">
        <f>SUM(W10:W11)</f>
        <v>288055.63913663721</v>
      </c>
      <c r="X12" s="519">
        <f t="shared" si="0"/>
        <v>0</v>
      </c>
    </row>
    <row r="13" spans="1:24">
      <c r="A13" s="359">
        <f t="shared" si="4"/>
        <v>8</v>
      </c>
      <c r="B13" s="144"/>
      <c r="C13" s="144"/>
      <c r="D13" s="490" t="s">
        <v>2322</v>
      </c>
      <c r="E13" s="491"/>
      <c r="F13" s="492">
        <f t="shared" ref="F13:K13" si="9">F9+F12</f>
        <v>72997330.296350136</v>
      </c>
      <c r="G13" s="492">
        <f t="shared" si="9"/>
        <v>30729965.820958462</v>
      </c>
      <c r="H13" s="492">
        <f t="shared" si="9"/>
        <v>30273217.711047884</v>
      </c>
      <c r="I13" s="492">
        <f t="shared" si="9"/>
        <v>21640692.275031116</v>
      </c>
      <c r="J13" s="529">
        <f t="shared" si="9"/>
        <v>155641206.10338759</v>
      </c>
      <c r="K13" s="492">
        <f t="shared" si="9"/>
        <v>1462697962.6404471</v>
      </c>
      <c r="L13" s="493">
        <v>1</v>
      </c>
      <c r="M13" s="492">
        <f>M9+M12</f>
        <v>753144611.2618897</v>
      </c>
      <c r="N13" s="494"/>
      <c r="O13" s="492">
        <f>O9+O12</f>
        <v>709553351.37855732</v>
      </c>
      <c r="P13" s="534"/>
      <c r="Q13" s="492">
        <f>Q9+Q12</f>
        <v>-9563742.436676003</v>
      </c>
      <c r="R13" s="492">
        <f>R9+R12</f>
        <v>-110741357.715792</v>
      </c>
      <c r="S13" s="492">
        <f>S9+S12</f>
        <v>-11476309.957657492</v>
      </c>
      <c r="T13" s="492">
        <f>T9+T12</f>
        <v>-8813955.6264000013</v>
      </c>
      <c r="U13" s="524">
        <f t="shared" si="2"/>
        <v>125787198.0826541</v>
      </c>
      <c r="V13" s="524">
        <f t="shared" si="3"/>
        <v>15045840.366862103</v>
      </c>
      <c r="W13" s="509">
        <f>W9+W12</f>
        <v>15045840.366862118</v>
      </c>
      <c r="X13" s="519">
        <f t="shared" si="0"/>
        <v>-1.4901161193847656E-8</v>
      </c>
    </row>
    <row r="14" spans="1:24">
      <c r="A14" s="359">
        <f t="shared" si="4"/>
        <v>9</v>
      </c>
      <c r="B14" s="329" t="s">
        <v>31</v>
      </c>
      <c r="C14" s="144" t="s">
        <v>67</v>
      </c>
      <c r="D14" s="481" t="s">
        <v>68</v>
      </c>
      <c r="E14" s="144" t="s">
        <v>69</v>
      </c>
      <c r="F14" s="331">
        <f>'WS3-CostData'!C169</f>
        <v>7472905.0271970807</v>
      </c>
      <c r="G14" s="330">
        <f>'WS3-CostData'!C80</f>
        <v>3171363.2266289648</v>
      </c>
      <c r="H14" s="334">
        <f>N14*O14</f>
        <v>3059315.8395689707</v>
      </c>
      <c r="I14" s="330">
        <f>'WS3-CostData'!C144</f>
        <v>2341387.6657030792</v>
      </c>
      <c r="J14" s="527">
        <f t="shared" ref="J14:J16" si="10">F14+G14+H14+I14</f>
        <v>16044971.759098094</v>
      </c>
      <c r="K14" s="330">
        <f>'WS3-CostData'!C16</f>
        <v>147949903.26946497</v>
      </c>
      <c r="L14" s="329"/>
      <c r="M14" s="330">
        <f>'WS3-CostData'!C53</f>
        <v>76244680.93033196</v>
      </c>
      <c r="N14" s="332">
        <f>IF('WS3-CostData'!$K$87&gt;0, 'WS3-CostData'!$K$101/'WS3-CostData'!$K$87,0)-0.0001</f>
        <v>4.2665174721860585E-2</v>
      </c>
      <c r="O14" s="333">
        <f>K14-M14</f>
        <v>71705222.339133009</v>
      </c>
      <c r="P14" s="532">
        <f>ROUND(('WS3-CostData'!C8/'WS3-CostData'!K8)*('WS3-CostData'!C16/'WS3-CostData'!$C$8),4)</f>
        <v>9.1499999999999998E-2</v>
      </c>
      <c r="Q14" s="336">
        <f>$Q$18*P14</f>
        <v>-967369.48149000038</v>
      </c>
      <c r="R14" s="336">
        <f>$R$18*P14</f>
        <v>-11201452.831080001</v>
      </c>
      <c r="S14" s="336">
        <f>$S$18*P14</f>
        <v>-1160825.0730993373</v>
      </c>
      <c r="T14" s="336">
        <f>$T$18*P14</f>
        <v>-891528.78599999996</v>
      </c>
      <c r="U14" s="590">
        <f t="shared" si="2"/>
        <v>13025248.418508755</v>
      </c>
      <c r="V14" s="521">
        <f>J14+Q14+R14+S14+T14</f>
        <v>1823795.5874287547</v>
      </c>
      <c r="W14" s="519">
        <f>V14</f>
        <v>1823795.5874287547</v>
      </c>
      <c r="X14" s="519">
        <f t="shared" si="0"/>
        <v>0</v>
      </c>
    </row>
    <row r="15" spans="1:24">
      <c r="A15" s="359">
        <f t="shared" si="4"/>
        <v>10</v>
      </c>
      <c r="B15" s="329" t="s">
        <v>31</v>
      </c>
      <c r="C15" s="144" t="s">
        <v>67</v>
      </c>
      <c r="D15" s="481" t="s">
        <v>70</v>
      </c>
      <c r="E15" s="144" t="s">
        <v>71</v>
      </c>
      <c r="F15" s="331">
        <f>'WS3-CostData'!E169</f>
        <v>232608.45505141711</v>
      </c>
      <c r="G15" s="330">
        <f>'WS3-CostData'!E80</f>
        <v>91924.226649853343</v>
      </c>
      <c r="H15" s="334">
        <f>N15*O15</f>
        <v>71520.026319347147</v>
      </c>
      <c r="I15" s="330">
        <f>'WS3-CostData'!E144</f>
        <v>72720.873322382482</v>
      </c>
      <c r="J15" s="527">
        <f t="shared" si="10"/>
        <v>468773.58134300006</v>
      </c>
      <c r="K15" s="330">
        <f>'WS3-CostData'!E16</f>
        <v>3675577.9675000012</v>
      </c>
      <c r="L15" s="329"/>
      <c r="M15" s="330">
        <f>'WS3-CostData'!E53</f>
        <v>1999268.7343702926</v>
      </c>
      <c r="N15" s="332">
        <f>IF('WS3-CostData'!$K$87&gt;0, 'WS3-CostData'!$K$101/'WS3-CostData'!$K$87,0)-0.0001</f>
        <v>4.2665174721860585E-2</v>
      </c>
      <c r="O15" s="333">
        <f>K15-M15</f>
        <v>1676309.2331297086</v>
      </c>
      <c r="P15" s="532">
        <f>ROUND(('WS3-CostData'!E8/'WS3-CostData'!K8)*('WS3-CostData'!E16/'WS3-CostData'!$E$8),4)</f>
        <v>2.3E-3</v>
      </c>
      <c r="Q15" s="336">
        <f t="shared" ref="Q15:Q16" si="11">$Q$18*P15</f>
        <v>-24316.391338000009</v>
      </c>
      <c r="R15" s="336">
        <f>$R$18*P15</f>
        <v>-281566.57389600005</v>
      </c>
      <c r="S15" s="336">
        <f>$S$18*P15</f>
        <v>-29179.209487742901</v>
      </c>
      <c r="T15" s="336">
        <f>$T$18*P15</f>
        <v>-22410.013200000001</v>
      </c>
      <c r="U15" s="590">
        <f t="shared" si="2"/>
        <v>392867.96731725713</v>
      </c>
      <c r="V15" s="521">
        <f t="shared" si="3"/>
        <v>111301.3934212571</v>
      </c>
      <c r="W15" s="519">
        <f>V15</f>
        <v>111301.3934212571</v>
      </c>
      <c r="X15" s="519">
        <f t="shared" si="0"/>
        <v>0</v>
      </c>
    </row>
    <row r="16" spans="1:24">
      <c r="A16" s="359">
        <f t="shared" si="4"/>
        <v>11</v>
      </c>
      <c r="B16" s="329" t="s">
        <v>31</v>
      </c>
      <c r="C16" s="144" t="s">
        <v>67</v>
      </c>
      <c r="D16" s="481" t="s">
        <v>72</v>
      </c>
      <c r="E16" s="144" t="s">
        <v>73</v>
      </c>
      <c r="F16" s="331">
        <f>'WS3-CostData'!G169</f>
        <v>105873.56609397163</v>
      </c>
      <c r="G16" s="330">
        <f>'WS3-CostData'!G80</f>
        <v>38493.480196555145</v>
      </c>
      <c r="H16" s="334">
        <f>N16*O16</f>
        <v>54771.747498058219</v>
      </c>
      <c r="I16" s="330">
        <f>'WS3-CostData'!G144</f>
        <v>0</v>
      </c>
      <c r="J16" s="527">
        <f t="shared" si="10"/>
        <v>199138.793788585</v>
      </c>
      <c r="K16" s="330">
        <f>'WS3-CostData'!G16</f>
        <v>2604364.2400000002</v>
      </c>
      <c r="L16" s="329"/>
      <c r="M16" s="330">
        <f>'WS3-CostData'!G53</f>
        <v>1320606.5182721077</v>
      </c>
      <c r="N16" s="332">
        <f>IF('WS3-CostData'!$K$87&gt;0, 'WS3-CostData'!$K$101/'WS3-CostData'!$K$87,0)-0.0001</f>
        <v>4.2665174721860585E-2</v>
      </c>
      <c r="O16" s="333">
        <f>K16-M16</f>
        <v>1283757.7217278925</v>
      </c>
      <c r="P16" s="532">
        <f>ROUND(('WS3-CostData'!G8/'WS3-CostData'!K8)*('WS3-CostData'!G16/'WS3-CostData'!$G$8),4)</f>
        <v>1.6000000000000001E-3</v>
      </c>
      <c r="Q16" s="336">
        <f t="shared" si="11"/>
        <v>-16915.750496000008</v>
      </c>
      <c r="R16" s="336">
        <f>$R$18*P16</f>
        <v>-195872.39923200003</v>
      </c>
      <c r="S16" s="336">
        <f>$S$18*P16</f>
        <v>-20298.580513212455</v>
      </c>
      <c r="T16" s="336">
        <f>$T$18*P16</f>
        <v>-15589.574400000001</v>
      </c>
      <c r="U16" s="590">
        <f t="shared" si="2"/>
        <v>146334.88837937254</v>
      </c>
      <c r="V16" s="521">
        <f t="shared" si="3"/>
        <v>-49537.510852627471</v>
      </c>
      <c r="W16" s="519">
        <f>V16</f>
        <v>-49537.510852627471</v>
      </c>
      <c r="X16" s="519">
        <f t="shared" si="0"/>
        <v>0</v>
      </c>
    </row>
    <row r="17" spans="1:24" ht="15" thickBot="1">
      <c r="A17" s="359">
        <f t="shared" si="4"/>
        <v>12</v>
      </c>
      <c r="B17" s="144"/>
      <c r="C17" s="144"/>
      <c r="D17" s="482" t="s">
        <v>2323</v>
      </c>
      <c r="E17" s="489"/>
      <c r="F17" s="486">
        <f t="shared" ref="F17:K17" si="12">SUM(F14:F16)</f>
        <v>7811387.0483424701</v>
      </c>
      <c r="G17" s="486">
        <f t="shared" si="12"/>
        <v>3301780.9334753733</v>
      </c>
      <c r="H17" s="486">
        <f t="shared" si="12"/>
        <v>3185607.6133863763</v>
      </c>
      <c r="I17" s="486">
        <f t="shared" si="12"/>
        <v>2414108.5390254618</v>
      </c>
      <c r="J17" s="528">
        <f t="shared" si="12"/>
        <v>16712884.134229681</v>
      </c>
      <c r="K17" s="486">
        <f t="shared" si="12"/>
        <v>154229845.47696498</v>
      </c>
      <c r="L17" s="487">
        <v>1</v>
      </c>
      <c r="M17" s="486">
        <f>SUM(M14:M16)</f>
        <v>79564556.182974353</v>
      </c>
      <c r="N17" s="488"/>
      <c r="O17" s="486">
        <f t="shared" ref="O17:T17" si="13">SUM(O14:O16)</f>
        <v>74665289.293990612</v>
      </c>
      <c r="P17" s="533">
        <f t="shared" si="13"/>
        <v>9.5399999999999999E-2</v>
      </c>
      <c r="Q17" s="486">
        <f t="shared" si="13"/>
        <v>-1008601.6233240004</v>
      </c>
      <c r="R17" s="486">
        <f t="shared" si="13"/>
        <v>-11678891.804208001</v>
      </c>
      <c r="S17" s="486">
        <f t="shared" si="13"/>
        <v>-1210302.8631002926</v>
      </c>
      <c r="T17" s="540">
        <f t="shared" si="13"/>
        <v>-929528.37360000005</v>
      </c>
      <c r="U17" s="591">
        <f t="shared" si="2"/>
        <v>13564451.274205387</v>
      </c>
      <c r="V17" s="522">
        <f t="shared" si="3"/>
        <v>1885559.4699973855</v>
      </c>
      <c r="W17" s="509">
        <f>SUM(W14:W16)</f>
        <v>1885559.4699973844</v>
      </c>
      <c r="X17" s="519">
        <f t="shared" si="0"/>
        <v>0</v>
      </c>
    </row>
    <row r="18" spans="1:24" ht="15" thickBot="1">
      <c r="A18" s="359">
        <f t="shared" ref="A18:A37" si="14">A17+1</f>
        <v>13</v>
      </c>
      <c r="B18" s="144"/>
      <c r="C18" s="144"/>
      <c r="D18" s="484" t="s">
        <v>75</v>
      </c>
      <c r="E18" s="496"/>
      <c r="F18" s="497">
        <f t="shared" ref="F18:K18" si="15">F9+F12+F17</f>
        <v>80808717.344692603</v>
      </c>
      <c r="G18" s="497">
        <f t="shared" si="15"/>
        <v>34031746.754433833</v>
      </c>
      <c r="H18" s="497">
        <f t="shared" si="15"/>
        <v>33458825.324434262</v>
      </c>
      <c r="I18" s="497">
        <f t="shared" si="15"/>
        <v>24054800.814056579</v>
      </c>
      <c r="J18" s="530">
        <f t="shared" si="15"/>
        <v>172354090.23761728</v>
      </c>
      <c r="K18" s="497">
        <f t="shared" si="15"/>
        <v>1616927808.1174121</v>
      </c>
      <c r="L18" s="498">
        <v>1</v>
      </c>
      <c r="M18" s="497">
        <f>M9+M12+M17</f>
        <v>832709167.44486403</v>
      </c>
      <c r="N18" s="499"/>
      <c r="O18" s="497">
        <f>O9+O12+O17</f>
        <v>784218640.67254794</v>
      </c>
      <c r="P18" s="535">
        <f>SUM(P9,P12,P17)</f>
        <v>1</v>
      </c>
      <c r="Q18" s="497">
        <f>'WS2-RevCredits'!D31+'WS2-RevCredits'!D44+'WS2-RevCredits'!D57+'WS2-RevCredits'!D70+'WS2-RevCredits'!D83</f>
        <v>-10572344.060000004</v>
      </c>
      <c r="R18" s="497">
        <f>'WS2-RevCredits'!D18</f>
        <v>-122420249.52000001</v>
      </c>
      <c r="S18" s="497">
        <f>-(J37)</f>
        <v>-12686612.820757784</v>
      </c>
      <c r="T18" s="541">
        <v>-9743484</v>
      </c>
      <c r="U18" s="596">
        <f t="shared" ref="U18:U28" si="16">V18-R18</f>
        <v>139351649.35685951</v>
      </c>
      <c r="V18" s="592">
        <f>J18+Q18+R18+S18+T18</f>
        <v>16931399.836859487</v>
      </c>
      <c r="W18" s="509">
        <f>W17+W13</f>
        <v>16931399.836859502</v>
      </c>
      <c r="X18" s="519">
        <f t="shared" si="0"/>
        <v>0</v>
      </c>
    </row>
    <row r="19" spans="1:24" ht="15" thickTop="1">
      <c r="A19" s="359">
        <f t="shared" si="14"/>
        <v>14</v>
      </c>
      <c r="B19" s="329" t="s">
        <v>27</v>
      </c>
      <c r="C19" s="144" t="s">
        <v>76</v>
      </c>
      <c r="D19" s="338" t="str">
        <f>'WS5-FacDetail'!E6</f>
        <v>LEWIS-RICHLAND 115 kV Ckt 1, 72052</v>
      </c>
      <c r="E19" s="339" t="s">
        <v>77</v>
      </c>
      <c r="F19" s="334">
        <f>$F$23*L19</f>
        <v>2617.0746733744786</v>
      </c>
      <c r="G19" s="334">
        <f>$G$23*L19</f>
        <v>1110.6382792603026</v>
      </c>
      <c r="H19" s="334">
        <f>N19*O19</f>
        <v>1071.3983347105877</v>
      </c>
      <c r="I19" s="334">
        <f>$I$23*L19</f>
        <v>819.97380378340495</v>
      </c>
      <c r="J19" s="527">
        <f>F19+G19+H19+I19</f>
        <v>5619.0850911287744</v>
      </c>
      <c r="K19" s="334">
        <f>'WS5-FacDetail'!K6</f>
        <v>51813.31</v>
      </c>
      <c r="L19" s="332">
        <f>K19/K23</f>
        <v>7.0609576437365568E-3</v>
      </c>
      <c r="M19" s="340">
        <f>$M$23*L19</f>
        <v>26701.53343526863</v>
      </c>
      <c r="N19" s="332">
        <f>IF('WS3-CostData'!$K$87&gt;0, 'WS3-CostData'!$K$101/'WS3-CostData'!$K$87,0)-0.0001</f>
        <v>4.2665174721860585E-2</v>
      </c>
      <c r="O19" s="334">
        <f>K19-M19</f>
        <v>25111.776564731368</v>
      </c>
      <c r="P19" s="503" t="s">
        <v>78</v>
      </c>
      <c r="Q19" s="333">
        <f>$Q$23*L19</f>
        <v>-332.02995322617835</v>
      </c>
      <c r="R19" s="333">
        <f>$R$23*L19</f>
        <v>-3698.2348188075835</v>
      </c>
      <c r="S19" s="503" t="s">
        <v>78</v>
      </c>
      <c r="T19" s="333">
        <f>$T$23*L19</f>
        <v>-892.13081541318275</v>
      </c>
      <c r="U19" s="521">
        <f t="shared" si="16"/>
        <v>4394.9243224894135</v>
      </c>
      <c r="V19" s="521">
        <f t="shared" ref="V19:V25" si="17">J19+Q19+R19+T19</f>
        <v>696.68950368183027</v>
      </c>
      <c r="W19" s="519">
        <f>V19</f>
        <v>696.68950368183027</v>
      </c>
      <c r="X19" s="519">
        <f t="shared" si="0"/>
        <v>0</v>
      </c>
    </row>
    <row r="20" spans="1:24">
      <c r="A20" s="359">
        <f t="shared" si="14"/>
        <v>15</v>
      </c>
      <c r="B20" s="329" t="s">
        <v>27</v>
      </c>
      <c r="C20" s="144" t="s">
        <v>76</v>
      </c>
      <c r="D20" s="338" t="str">
        <f>'WS5-FacDetail'!E7</f>
        <v>ROBERTS COUNTY 115 kV SUBSTATION, 71926</v>
      </c>
      <c r="E20" s="339" t="s">
        <v>79</v>
      </c>
      <c r="F20" s="334">
        <f>$F$23*L20</f>
        <v>111765.8249922426</v>
      </c>
      <c r="G20" s="334">
        <f>$G$23*L20</f>
        <v>47431.357160870131</v>
      </c>
      <c r="H20" s="334">
        <f>N20*O20</f>
        <v>45755.560585454208</v>
      </c>
      <c r="I20" s="334">
        <f>$I$23*L20</f>
        <v>35018.125231295598</v>
      </c>
      <c r="J20" s="527">
        <f t="shared" ref="J20:J24" si="18">F20+G20+H20+I20</f>
        <v>239970.86796986253</v>
      </c>
      <c r="K20" s="334">
        <f>'WS5-FacDetail'!K7</f>
        <v>2212759.6880000001</v>
      </c>
      <c r="L20" s="335">
        <f>K20/K23</f>
        <v>0.30154804687706149</v>
      </c>
      <c r="M20" s="340">
        <f>$M$23*L20</f>
        <v>1140326.2365084682</v>
      </c>
      <c r="N20" s="332">
        <f>IF('WS3-CostData'!$K$87&gt;0, 'WS3-CostData'!$K$101/'WS3-CostData'!$K$87,0)-0.0001</f>
        <v>4.2665174721860585E-2</v>
      </c>
      <c r="O20" s="333">
        <f>K20-M20</f>
        <v>1072433.4514915319</v>
      </c>
      <c r="P20" s="503" t="s">
        <v>78</v>
      </c>
      <c r="Q20" s="333">
        <f>$Q$23*L20</f>
        <v>-14179.802365597046</v>
      </c>
      <c r="R20" s="333">
        <f>$R$23*L20</f>
        <v>-157938.27732324772</v>
      </c>
      <c r="S20" s="503" t="s">
        <v>78</v>
      </c>
      <c r="T20" s="333">
        <f>$T$23*L20</f>
        <v>-38099.691078776086</v>
      </c>
      <c r="U20" s="521">
        <f t="shared" si="16"/>
        <v>187691.3745254894</v>
      </c>
      <c r="V20" s="521">
        <f t="shared" si="17"/>
        <v>29753.097202241683</v>
      </c>
      <c r="W20" s="519">
        <f>V20</f>
        <v>29753.097202241683</v>
      </c>
      <c r="X20" s="519">
        <f t="shared" si="0"/>
        <v>0</v>
      </c>
    </row>
    <row r="21" spans="1:24">
      <c r="A21" s="359">
        <f t="shared" si="14"/>
        <v>16</v>
      </c>
      <c r="B21" s="329" t="s">
        <v>27</v>
      </c>
      <c r="C21" s="144" t="s">
        <v>76</v>
      </c>
      <c r="D21" s="338" t="str">
        <f>'WS5-FacDetail'!E8</f>
        <v>ROBERTS COUNTY 115/69 kV TRANSFORMER, 71927</v>
      </c>
      <c r="E21" s="339" t="s">
        <v>79</v>
      </c>
      <c r="F21" s="334">
        <f>$F$23*L21</f>
        <v>256236.93361128177</v>
      </c>
      <c r="G21" s="334">
        <f>$G$23*L21</f>
        <v>108742.2341915915</v>
      </c>
      <c r="H21" s="334">
        <f>N21*O21</f>
        <v>104900.26393037195</v>
      </c>
      <c r="I21" s="334">
        <f>$I$23*L21</f>
        <v>80283.369542575558</v>
      </c>
      <c r="J21" s="527">
        <f t="shared" si="18"/>
        <v>550162.80127582082</v>
      </c>
      <c r="K21" s="334">
        <f>'WS5-FacDetail'!K8</f>
        <v>5073024.4000000004</v>
      </c>
      <c r="L21" s="335">
        <f>K21/K23</f>
        <v>0.69133607588556034</v>
      </c>
      <c r="M21" s="340">
        <f>$M$23*L21</f>
        <v>2614338.4901395719</v>
      </c>
      <c r="N21" s="332">
        <f>IF('WS3-CostData'!$K$87&gt;0, 'WS3-CostData'!$K$101/'WS3-CostData'!$K$87,0)-0.0001</f>
        <v>4.2665174721860585E-2</v>
      </c>
      <c r="O21" s="333">
        <f>K21-M21</f>
        <v>2458685.9098604284</v>
      </c>
      <c r="P21" s="503" t="s">
        <v>78</v>
      </c>
      <c r="Q21" s="333">
        <f>$Q$23*L21</f>
        <v>-32508.945177354271</v>
      </c>
      <c r="R21" s="333">
        <f>$R$23*L21</f>
        <v>-362092.97326768836</v>
      </c>
      <c r="S21" s="503" t="s">
        <v>78</v>
      </c>
      <c r="T21" s="333">
        <f>$T$23*L21</f>
        <v>-87348.239179912896</v>
      </c>
      <c r="U21" s="521">
        <f t="shared" si="16"/>
        <v>430305.61691855366</v>
      </c>
      <c r="V21" s="521">
        <f t="shared" si="17"/>
        <v>68212.643650865299</v>
      </c>
      <c r="W21" s="519">
        <f>V21</f>
        <v>68212.643650865299</v>
      </c>
      <c r="X21" s="519">
        <f t="shared" si="0"/>
        <v>0</v>
      </c>
    </row>
    <row r="22" spans="1:24" ht="15" thickBot="1">
      <c r="A22" s="359">
        <f t="shared" si="14"/>
        <v>17</v>
      </c>
      <c r="B22" s="329" t="s">
        <v>27</v>
      </c>
      <c r="C22" s="144" t="s">
        <v>76</v>
      </c>
      <c r="D22" s="338" t="str">
        <f>'WS5-FacDetail'!E9</f>
        <v>WILLISTON SUBSTATION 115 kV TERMINAL UPGRADES, 61856</v>
      </c>
      <c r="E22" s="339" t="s">
        <v>79</v>
      </c>
      <c r="F22" s="334">
        <f>$F$23*L22</f>
        <v>20.355408549847812</v>
      </c>
      <c r="G22" s="334">
        <f>$G$23*L22</f>
        <v>8.6384603983397703</v>
      </c>
      <c r="H22" s="333">
        <f>N22*O22</f>
        <v>8.3332550823015712</v>
      </c>
      <c r="I22" s="334">
        <f>$I$23*L22</f>
        <v>6.3776941277195425</v>
      </c>
      <c r="J22" s="527">
        <f t="shared" si="18"/>
        <v>43.704818158208695</v>
      </c>
      <c r="K22" s="334">
        <f>'WS5-FacDetail'!K9</f>
        <v>403</v>
      </c>
      <c r="L22" s="335">
        <f>K22/K23</f>
        <v>5.4919593641591953E-5</v>
      </c>
      <c r="M22" s="340">
        <f>$M$23*L22</f>
        <v>207.68250425254166</v>
      </c>
      <c r="N22" s="332">
        <f>IF('WS3-CostData'!$K$87&gt;0, 'WS3-CostData'!$K$101/'WS3-CostData'!$K$87,0)-0.0001</f>
        <v>4.2665174721860585E-2</v>
      </c>
      <c r="O22" s="333">
        <f>K22-M22</f>
        <v>195.31749574745834</v>
      </c>
      <c r="P22" s="503" t="s">
        <v>78</v>
      </c>
      <c r="Q22" s="333">
        <f>$Q$23*L22</f>
        <v>-2.582503822862309</v>
      </c>
      <c r="R22" s="333">
        <f>$R$23*L22</f>
        <v>-28.764590256431333</v>
      </c>
      <c r="S22" s="503" t="s">
        <v>78</v>
      </c>
      <c r="T22" s="333">
        <f>$T$23*L22</f>
        <v>-6.9389258978342188</v>
      </c>
      <c r="U22" s="521">
        <f t="shared" si="16"/>
        <v>34.183388437512171</v>
      </c>
      <c r="V22" s="521">
        <f t="shared" si="17"/>
        <v>5.4187981810808363</v>
      </c>
      <c r="W22" s="519">
        <f>V22</f>
        <v>5.4187981810808363</v>
      </c>
      <c r="X22" s="519">
        <f t="shared" si="0"/>
        <v>0</v>
      </c>
    </row>
    <row r="23" spans="1:24" ht="15" thickBot="1">
      <c r="A23" s="359">
        <f t="shared" si="14"/>
        <v>18</v>
      </c>
      <c r="B23" s="144"/>
      <c r="C23" s="144"/>
      <c r="D23" s="495" t="s">
        <v>2324</v>
      </c>
      <c r="E23" s="489"/>
      <c r="F23" s="486">
        <f>'WS3-CostData'!C161</f>
        <v>370640.18868544872</v>
      </c>
      <c r="G23" s="486">
        <f>'WS3-CostData'!C72</f>
        <v>157292.86809212028</v>
      </c>
      <c r="H23" s="486">
        <f>SUM(H19:H22)</f>
        <v>151735.55610561906</v>
      </c>
      <c r="I23" s="486">
        <f>'WS3-CostData'!C136</f>
        <v>116127.84627178228</v>
      </c>
      <c r="J23" s="528">
        <f>SUM(J19:J22)</f>
        <v>795796.45915497025</v>
      </c>
      <c r="K23" s="486">
        <f>SUM(K19:K22)</f>
        <v>7338000.398</v>
      </c>
      <c r="L23" s="487">
        <v>1</v>
      </c>
      <c r="M23" s="486">
        <f>'WS3-CostData'!C45</f>
        <v>3781573.9425875614</v>
      </c>
      <c r="N23" s="488"/>
      <c r="O23" s="486">
        <f>SUM(O19:O22)</f>
        <v>3556426.4554124391</v>
      </c>
      <c r="P23" s="597" t="s">
        <v>78</v>
      </c>
      <c r="Q23" s="486">
        <f>'WS2-RevCredits'!D139</f>
        <v>-47023.360000000357</v>
      </c>
      <c r="R23" s="486">
        <f>'WS2-RevCredits'!D126</f>
        <v>-523758.25000000012</v>
      </c>
      <c r="S23" s="597" t="s">
        <v>78</v>
      </c>
      <c r="T23" s="541">
        <v>-126347</v>
      </c>
      <c r="U23" s="522">
        <f t="shared" si="16"/>
        <v>622426.09915496991</v>
      </c>
      <c r="V23" s="522">
        <f t="shared" si="17"/>
        <v>98667.849154969794</v>
      </c>
      <c r="W23" s="509">
        <f>SUM(W19:W22)</f>
        <v>98667.849154969896</v>
      </c>
      <c r="X23" s="519">
        <f>V23-W23</f>
        <v>0</v>
      </c>
    </row>
    <row r="24" spans="1:24" s="612" customFormat="1" ht="15" thickBot="1">
      <c r="A24" s="359">
        <f t="shared" si="14"/>
        <v>19</v>
      </c>
      <c r="B24" s="542" t="s">
        <v>2420</v>
      </c>
      <c r="C24" s="621" t="s">
        <v>76</v>
      </c>
      <c r="D24" s="622" t="str">
        <f>'WS5-FacDetail'!E11</f>
        <v>NO PROJECTS TO DATE</v>
      </c>
      <c r="E24" s="623"/>
      <c r="F24" s="624">
        <f>$F$25*L24</f>
        <v>5.0509698634858097E-7</v>
      </c>
      <c r="G24" s="624">
        <f>$G$25*L24</f>
        <v>2.1435385603820775E-7</v>
      </c>
      <c r="H24" s="624">
        <f>N24*O24</f>
        <v>2.0678052313403406E-7</v>
      </c>
      <c r="I24" s="624">
        <f>$I$25*L24</f>
        <v>1.5825543741239557E-7</v>
      </c>
      <c r="J24" s="625">
        <f t="shared" si="18"/>
        <v>1.0844868029332185E-6</v>
      </c>
      <c r="K24" s="624">
        <f>'WS5-FacDetail'!K11</f>
        <v>1.0000000000000001E-5</v>
      </c>
      <c r="L24" s="626">
        <f>K24/K25</f>
        <v>1</v>
      </c>
      <c r="M24" s="627">
        <f>$M$25*L24</f>
        <v>5.1534120161921012E-6</v>
      </c>
      <c r="N24" s="628">
        <f>IF('WS3-CostData'!$K$87&gt;0, 'WS3-CostData'!$K$101/'WS3-CostData'!$K$87,0)-0.0001</f>
        <v>4.2665174721860585E-2</v>
      </c>
      <c r="O24" s="629">
        <f>K24-M24</f>
        <v>4.8465879838078996E-6</v>
      </c>
      <c r="P24" s="503" t="s">
        <v>78</v>
      </c>
      <c r="Q24" s="629">
        <f>$Q$25*L24</f>
        <v>0</v>
      </c>
      <c r="R24" s="629">
        <f>$R$25*L24</f>
        <v>0</v>
      </c>
      <c r="S24" s="503" t="s">
        <v>78</v>
      </c>
      <c r="T24" s="629">
        <f>$T$25*L24</f>
        <v>0</v>
      </c>
      <c r="U24" s="630">
        <f>V24-R24</f>
        <v>1.0844868029332185E-6</v>
      </c>
      <c r="V24" s="630">
        <f t="shared" si="17"/>
        <v>1.0844868029332185E-6</v>
      </c>
      <c r="W24" s="619">
        <f>V24</f>
        <v>1.0844868029332185E-6</v>
      </c>
      <c r="X24" s="619">
        <f>V24-W24</f>
        <v>0</v>
      </c>
    </row>
    <row r="25" spans="1:24" ht="15" thickBot="1">
      <c r="A25" s="359">
        <f t="shared" si="14"/>
        <v>20</v>
      </c>
      <c r="B25" s="501"/>
      <c r="C25" s="502"/>
      <c r="D25" s="495" t="s">
        <v>2314</v>
      </c>
      <c r="E25" s="489"/>
      <c r="F25" s="486">
        <f>'WS3-CostData'!C162</f>
        <v>5.0509698634858097E-7</v>
      </c>
      <c r="G25" s="486">
        <f>'WS3-CostData'!C73</f>
        <v>2.1435385603820775E-7</v>
      </c>
      <c r="H25" s="486">
        <f>SUM(H24)</f>
        <v>2.0678052313403406E-7</v>
      </c>
      <c r="I25" s="486">
        <f>'WS3-CostData'!C137</f>
        <v>1.5825543741239557E-7</v>
      </c>
      <c r="J25" s="528">
        <f>SUM(J24)</f>
        <v>1.0844868029332185E-6</v>
      </c>
      <c r="K25" s="486">
        <f>SUM(K24)</f>
        <v>1.0000000000000001E-5</v>
      </c>
      <c r="L25" s="487">
        <v>1</v>
      </c>
      <c r="M25" s="486">
        <f>'WS3-CostData'!C46</f>
        <v>5.1534120161921012E-6</v>
      </c>
      <c r="N25" s="488"/>
      <c r="O25" s="486">
        <f>SUM(O24)</f>
        <v>4.8465879838078996E-6</v>
      </c>
      <c r="P25" s="597" t="s">
        <v>78</v>
      </c>
      <c r="Q25" s="486">
        <f>'WS2-RevCredits'!E139</f>
        <v>0</v>
      </c>
      <c r="R25" s="486">
        <f>'WS2-RevCredits'!E126</f>
        <v>0</v>
      </c>
      <c r="S25" s="597" t="s">
        <v>78</v>
      </c>
      <c r="T25" s="541">
        <v>0</v>
      </c>
      <c r="U25" s="522">
        <f t="shared" ref="U25" si="19">V25-R25</f>
        <v>1.0844868029332185E-6</v>
      </c>
      <c r="V25" s="522">
        <f t="shared" si="17"/>
        <v>1.0844868029332185E-6</v>
      </c>
      <c r="W25" s="509">
        <f>SUM(W24)</f>
        <v>1.0844868029332185E-6</v>
      </c>
      <c r="X25" s="519">
        <f>SUM(X24)</f>
        <v>0</v>
      </c>
    </row>
    <row r="26" spans="1:24" ht="15" thickBot="1">
      <c r="A26" s="359">
        <f t="shared" si="14"/>
        <v>21</v>
      </c>
      <c r="B26" s="502"/>
      <c r="C26" s="502"/>
      <c r="D26" s="510" t="s">
        <v>2315</v>
      </c>
      <c r="E26" s="511"/>
      <c r="F26" s="512">
        <f t="shared" ref="F26:I26" si="20">F23+F25</f>
        <v>370640.18868595385</v>
      </c>
      <c r="G26" s="512">
        <f t="shared" si="20"/>
        <v>157292.86809233463</v>
      </c>
      <c r="H26" s="512">
        <f t="shared" si="20"/>
        <v>151735.55610582585</v>
      </c>
      <c r="I26" s="512">
        <f t="shared" si="20"/>
        <v>116127.84627194054</v>
      </c>
      <c r="J26" s="513">
        <f>J23+J25</f>
        <v>795796.45915605477</v>
      </c>
      <c r="K26" s="514">
        <f>K23+K25</f>
        <v>7338000.3980099997</v>
      </c>
      <c r="L26" s="515"/>
      <c r="M26" s="512">
        <f>M23+M25</f>
        <v>3781573.9425927149</v>
      </c>
      <c r="N26" s="516"/>
      <c r="O26" s="512">
        <f>O23+O25</f>
        <v>3556426.4554172857</v>
      </c>
      <c r="P26" s="599" t="s">
        <v>78</v>
      </c>
      <c r="Q26" s="518">
        <f>Q23+Q25</f>
        <v>-47023.360000000357</v>
      </c>
      <c r="R26" s="518">
        <f>R23+R25</f>
        <v>-523758.25000000012</v>
      </c>
      <c r="S26" s="599" t="s">
        <v>78</v>
      </c>
      <c r="T26" s="497"/>
      <c r="U26" s="514">
        <f>U23+U25</f>
        <v>622426.09915605444</v>
      </c>
      <c r="V26" s="514">
        <f>V23+V25</f>
        <v>98667.849156054275</v>
      </c>
      <c r="W26" s="509">
        <f>V26</f>
        <v>98667.849156054275</v>
      </c>
      <c r="X26" s="519">
        <f>V26-W26</f>
        <v>0</v>
      </c>
    </row>
    <row r="27" spans="1:24" ht="15.5" thickTop="1" thickBot="1">
      <c r="A27" s="359">
        <f t="shared" si="14"/>
        <v>22</v>
      </c>
      <c r="B27" s="329" t="s">
        <v>27</v>
      </c>
      <c r="C27" s="144" t="s">
        <v>80</v>
      </c>
      <c r="D27" s="338" t="str">
        <f>'WS5-FacDetail'!E13</f>
        <v>ROBERTS COUNTY 115 kV SUBSTATION, 71926</v>
      </c>
      <c r="E27" s="339" t="s">
        <v>79</v>
      </c>
      <c r="F27" s="333">
        <f>F28*L27</f>
        <v>55048.839175283676</v>
      </c>
      <c r="G27" s="334">
        <f>$G$28*L27</f>
        <v>23361.713228488279</v>
      </c>
      <c r="H27" s="333">
        <f>N27*O27</f>
        <v>22536.320885372967</v>
      </c>
      <c r="I27" s="334">
        <f>$I$28*L27</f>
        <v>17247.733322876935</v>
      </c>
      <c r="J27" s="527">
        <f>(H27+F27+I27+G27)</f>
        <v>118194.60661202186</v>
      </c>
      <c r="K27" s="334">
        <f>'WS5-FacDetail'!K13</f>
        <v>1089866.7120000001</v>
      </c>
      <c r="L27" s="618">
        <f>K27/K28</f>
        <v>1</v>
      </c>
      <c r="M27" s="333">
        <f>$M$28*L27</f>
        <v>561653.22096685751</v>
      </c>
      <c r="N27" s="332">
        <f>IF('WS3-CostData'!$K$87&gt;0, 'WS3-CostData'!$K$101/'WS3-CostData'!$K$87,0)-0.0001</f>
        <v>4.2665174721860585E-2</v>
      </c>
      <c r="O27" s="333">
        <f>K27-M27</f>
        <v>528213.49103314255</v>
      </c>
      <c r="P27" s="503" t="s">
        <v>78</v>
      </c>
      <c r="Q27" s="333">
        <f>$Q$28*L27</f>
        <v>-5343.3999999999533</v>
      </c>
      <c r="R27" s="333">
        <f>$R$28*L27</f>
        <v>-80130.070000000022</v>
      </c>
      <c r="S27" s="503" t="s">
        <v>78</v>
      </c>
      <c r="T27" s="333">
        <f>$T$28*L27</f>
        <v>-27773</v>
      </c>
      <c r="U27" s="521">
        <f t="shared" si="16"/>
        <v>85078.20661202191</v>
      </c>
      <c r="V27" s="521">
        <f>J27+Q27+R27+T27</f>
        <v>4948.1366120218881</v>
      </c>
      <c r="W27" s="519">
        <f>V27</f>
        <v>4948.1366120218881</v>
      </c>
      <c r="X27" s="519">
        <f t="shared" si="0"/>
        <v>0</v>
      </c>
    </row>
    <row r="28" spans="1:24" ht="15" thickBot="1">
      <c r="A28" s="359">
        <f t="shared" si="14"/>
        <v>23</v>
      </c>
      <c r="B28" s="329"/>
      <c r="C28" s="144"/>
      <c r="D28" s="495" t="s">
        <v>2313</v>
      </c>
      <c r="E28" s="489"/>
      <c r="F28" s="486">
        <f>'WS3-CostData'!C163</f>
        <v>55048.839175283676</v>
      </c>
      <c r="G28" s="486">
        <f>'WS3-CostData'!C74</f>
        <v>23361.713228488279</v>
      </c>
      <c r="H28" s="486">
        <f>SUM(H27)</f>
        <v>22536.320885372967</v>
      </c>
      <c r="I28" s="486">
        <f>'WS3-CostData'!C138</f>
        <v>17247.733322876935</v>
      </c>
      <c r="J28" s="528">
        <f>SUM(J27)</f>
        <v>118194.60661202186</v>
      </c>
      <c r="K28" s="486">
        <f>SUM(K27)</f>
        <v>1089866.7120000001</v>
      </c>
      <c r="L28" s="487">
        <v>1</v>
      </c>
      <c r="M28" s="486">
        <f>'WS3-CostData'!C47</f>
        <v>561653.22096685751</v>
      </c>
      <c r="N28" s="488"/>
      <c r="O28" s="486">
        <f>SUM(O27)</f>
        <v>528213.49103314255</v>
      </c>
      <c r="P28" s="597" t="s">
        <v>78</v>
      </c>
      <c r="Q28" s="486">
        <f>'WS2-RevCredits'!D165</f>
        <v>-5343.3999999999533</v>
      </c>
      <c r="R28" s="486">
        <f>'WS2-RevCredits'!D152</f>
        <v>-80130.070000000022</v>
      </c>
      <c r="S28" s="597" t="s">
        <v>78</v>
      </c>
      <c r="T28" s="541">
        <v>-27773</v>
      </c>
      <c r="U28" s="522">
        <f t="shared" si="16"/>
        <v>85078.20661202191</v>
      </c>
      <c r="V28" s="522">
        <f>J28+Q28+R28+T28</f>
        <v>4948.1366120218881</v>
      </c>
      <c r="W28" s="509">
        <f>SUM(W27)</f>
        <v>4948.1366120218881</v>
      </c>
      <c r="X28" s="519">
        <f t="shared" si="0"/>
        <v>0</v>
      </c>
    </row>
    <row r="29" spans="1:24" s="612" customFormat="1" ht="15" thickBot="1">
      <c r="A29" s="359">
        <f t="shared" si="14"/>
        <v>24</v>
      </c>
      <c r="B29" s="329" t="s">
        <v>2420</v>
      </c>
      <c r="C29" s="621" t="s">
        <v>80</v>
      </c>
      <c r="D29" s="622" t="str">
        <f>'WS5-FacDetail'!E15</f>
        <v>NO PROJECTS TO DATE</v>
      </c>
      <c r="E29" s="623"/>
      <c r="F29" s="629">
        <f>F30*L29</f>
        <v>5.0509698634858097E-7</v>
      </c>
      <c r="G29" s="624">
        <f>$G$30*L29</f>
        <v>2.1435385603820775E-7</v>
      </c>
      <c r="H29" s="624">
        <f>N29*O29</f>
        <v>2.0678052313403406E-7</v>
      </c>
      <c r="I29" s="624">
        <f>$I$30*L29</f>
        <v>1.5825543741239557E-7</v>
      </c>
      <c r="J29" s="625">
        <f>(H29+F29+I29+G29)</f>
        <v>1.0844868029332183E-6</v>
      </c>
      <c r="K29" s="624">
        <f>'WS5-FacDetail'!K15</f>
        <v>1.0000000000000001E-5</v>
      </c>
      <c r="L29" s="626">
        <f>K29/K30</f>
        <v>1</v>
      </c>
      <c r="M29" s="631">
        <f>$M$30*L29</f>
        <v>5.1534120161921012E-6</v>
      </c>
      <c r="N29" s="628">
        <f>IF('WS3-CostData'!$K$87&gt;0, 'WS3-CostData'!$K$101/'WS3-CostData'!$K$87,0)-0.0001</f>
        <v>4.2665174721860585E-2</v>
      </c>
      <c r="O29" s="629">
        <f>K29-M29</f>
        <v>4.8465879838078996E-6</v>
      </c>
      <c r="P29" s="503" t="s">
        <v>78</v>
      </c>
      <c r="Q29" s="629">
        <f>$Q$30*L29</f>
        <v>0</v>
      </c>
      <c r="R29" s="632">
        <f>$R$30*L29</f>
        <v>0</v>
      </c>
      <c r="S29" s="503" t="s">
        <v>78</v>
      </c>
      <c r="T29" s="629">
        <f>$T$30*L29</f>
        <v>0</v>
      </c>
      <c r="U29" s="630">
        <f>V29-R29</f>
        <v>1.0844868029332183E-6</v>
      </c>
      <c r="V29" s="630">
        <f>J29+Q29+R29+T29</f>
        <v>1.0844868029332183E-6</v>
      </c>
      <c r="W29" s="619">
        <f>V29</f>
        <v>1.0844868029332183E-6</v>
      </c>
      <c r="X29" s="619">
        <f>V29-W29</f>
        <v>0</v>
      </c>
    </row>
    <row r="30" spans="1:24" ht="15" thickBot="1">
      <c r="A30" s="359">
        <f t="shared" si="14"/>
        <v>25</v>
      </c>
      <c r="B30" s="502"/>
      <c r="C30" s="502"/>
      <c r="D30" s="483" t="s">
        <v>2312</v>
      </c>
      <c r="E30" s="504"/>
      <c r="F30" s="505">
        <f>'WS3-CostData'!C164</f>
        <v>5.0509698634858097E-7</v>
      </c>
      <c r="G30" s="486">
        <f>'WS3-CostData'!C75</f>
        <v>2.1435385603820775E-7</v>
      </c>
      <c r="H30" s="505">
        <f>SUM(H29)</f>
        <v>2.0678052313403406E-7</v>
      </c>
      <c r="I30" s="505">
        <f>'WS3-CostData'!C139</f>
        <v>1.5825543741239557E-7</v>
      </c>
      <c r="J30" s="506">
        <f>J29</f>
        <v>1.0844868029332183E-6</v>
      </c>
      <c r="K30" s="486">
        <f>SUM(K29:K29)</f>
        <v>1.0000000000000001E-5</v>
      </c>
      <c r="L30" s="507">
        <v>1</v>
      </c>
      <c r="M30" s="505">
        <f>'WS3-CostData'!C48</f>
        <v>5.1534120161921012E-6</v>
      </c>
      <c r="N30" s="508"/>
      <c r="O30" s="505">
        <f>SUM(O29)</f>
        <v>4.8465879838078996E-6</v>
      </c>
      <c r="P30" s="598" t="s">
        <v>78</v>
      </c>
      <c r="Q30" s="486">
        <f>'WS2-RevCredits'!E165</f>
        <v>0</v>
      </c>
      <c r="R30" s="505">
        <f>'WS2-RevCredits'!E152</f>
        <v>0</v>
      </c>
      <c r="S30" s="598" t="s">
        <v>78</v>
      </c>
      <c r="T30" s="541">
        <v>0</v>
      </c>
      <c r="U30" s="593">
        <f t="shared" ref="U30" si="21">V30-R30</f>
        <v>1.0844868029332183E-6</v>
      </c>
      <c r="V30" s="593">
        <f>J30+Q30+R30+T30</f>
        <v>1.0844868029332183E-6</v>
      </c>
      <c r="W30" s="509">
        <f>SUM(W29)</f>
        <v>1.0844868029332183E-6</v>
      </c>
      <c r="X30" s="519">
        <f>SUM(X29)</f>
        <v>0</v>
      </c>
    </row>
    <row r="31" spans="1:24" ht="15" thickBot="1">
      <c r="A31" s="359">
        <f t="shared" si="14"/>
        <v>26</v>
      </c>
      <c r="B31" s="502"/>
      <c r="C31" s="502"/>
      <c r="D31" s="510" t="s">
        <v>81</v>
      </c>
      <c r="E31" s="511"/>
      <c r="F31" s="512">
        <f t="shared" ref="F31:I31" si="22">F28+F30</f>
        <v>55048.839175788773</v>
      </c>
      <c r="G31" s="512">
        <f t="shared" si="22"/>
        <v>23361.713228702632</v>
      </c>
      <c r="H31" s="512">
        <f t="shared" si="22"/>
        <v>22536.320885579746</v>
      </c>
      <c r="I31" s="512">
        <f t="shared" si="22"/>
        <v>17247.733323035191</v>
      </c>
      <c r="J31" s="513">
        <f>J28+J30</f>
        <v>118194.60661310634</v>
      </c>
      <c r="K31" s="514">
        <f>K28+K30</f>
        <v>1089866.7120100001</v>
      </c>
      <c r="L31" s="515"/>
      <c r="M31" s="512">
        <f>M28+M30</f>
        <v>561653.22097201087</v>
      </c>
      <c r="N31" s="516"/>
      <c r="O31" s="512">
        <f>O28+O30</f>
        <v>528213.49103798915</v>
      </c>
      <c r="P31" s="599" t="s">
        <v>78</v>
      </c>
      <c r="Q31" s="518">
        <f>Q28+Q30</f>
        <v>-5343.3999999999533</v>
      </c>
      <c r="R31" s="518">
        <f>R28+R30</f>
        <v>-80130.070000000022</v>
      </c>
      <c r="S31" s="599" t="s">
        <v>78</v>
      </c>
      <c r="T31" s="512"/>
      <c r="U31" s="514">
        <f>U28+U30</f>
        <v>85078.206613106391</v>
      </c>
      <c r="V31" s="514">
        <f>V28+V30</f>
        <v>4948.1366131063751</v>
      </c>
      <c r="W31" s="509">
        <f>V31</f>
        <v>4948.1366131063751</v>
      </c>
      <c r="X31" s="519">
        <f>V31-W31</f>
        <v>0</v>
      </c>
    </row>
    <row r="32" spans="1:24" ht="40" thickTop="1">
      <c r="A32" s="500"/>
      <c r="B32" s="464" t="s">
        <v>54</v>
      </c>
      <c r="C32" s="465" t="s">
        <v>55</v>
      </c>
      <c r="D32" s="465" t="s">
        <v>56</v>
      </c>
      <c r="E32" s="466" t="s">
        <v>57</v>
      </c>
      <c r="F32" s="467" t="s">
        <v>58</v>
      </c>
      <c r="G32" s="467" t="s">
        <v>59</v>
      </c>
      <c r="H32" s="467" t="s">
        <v>2353</v>
      </c>
      <c r="I32" s="467" t="s">
        <v>60</v>
      </c>
      <c r="J32" s="468" t="s">
        <v>2326</v>
      </c>
      <c r="K32" s="469" t="s">
        <v>61</v>
      </c>
      <c r="L32" s="470" t="s">
        <v>62</v>
      </c>
      <c r="M32" s="470" t="s">
        <v>63</v>
      </c>
      <c r="N32" s="470" t="s">
        <v>64</v>
      </c>
      <c r="O32" s="470" t="s">
        <v>2352</v>
      </c>
      <c r="P32" s="580" t="s">
        <v>2349</v>
      </c>
      <c r="Q32" s="585" t="s">
        <v>2350</v>
      </c>
      <c r="R32" s="472" t="s">
        <v>2351</v>
      </c>
      <c r="S32" s="472"/>
      <c r="T32" s="472" t="s">
        <v>2319</v>
      </c>
      <c r="U32" s="473" t="s">
        <v>2363</v>
      </c>
      <c r="V32" s="473" t="s">
        <v>2375</v>
      </c>
      <c r="W32" s="509"/>
      <c r="X32" s="509"/>
    </row>
    <row r="33" spans="1:24" ht="15" thickBot="1">
      <c r="A33" s="359">
        <f>A31+1</f>
        <v>27</v>
      </c>
      <c r="B33" s="36">
        <v>-1</v>
      </c>
      <c r="C33" s="36">
        <v>-2</v>
      </c>
      <c r="D33" s="36">
        <v>-3</v>
      </c>
      <c r="E33" s="36">
        <v>-4</v>
      </c>
      <c r="F33" s="475">
        <v>-5</v>
      </c>
      <c r="G33" s="475">
        <v>-6</v>
      </c>
      <c r="H33" s="475">
        <v>-7</v>
      </c>
      <c r="I33" s="475">
        <v>-8</v>
      </c>
      <c r="J33" s="476">
        <v>-9</v>
      </c>
      <c r="K33" s="477">
        <v>-10</v>
      </c>
      <c r="L33" s="478">
        <v>-11</v>
      </c>
      <c r="M33" s="478">
        <v>-12</v>
      </c>
      <c r="N33" s="478">
        <f>-13</f>
        <v>-13</v>
      </c>
      <c r="O33" s="478">
        <v>-14</v>
      </c>
      <c r="P33" s="479">
        <v>-15</v>
      </c>
      <c r="Q33" s="480">
        <v>-16</v>
      </c>
      <c r="R33" s="480">
        <v>-17</v>
      </c>
      <c r="S33" s="480">
        <v>-18</v>
      </c>
      <c r="T33" s="480">
        <v>-19</v>
      </c>
      <c r="U33" s="479">
        <v>-20</v>
      </c>
      <c r="V33" s="479">
        <v>-21</v>
      </c>
    </row>
    <row r="34" spans="1:24">
      <c r="A34" s="359">
        <f t="shared" si="14"/>
        <v>28</v>
      </c>
      <c r="B34" s="338" t="s">
        <v>2316</v>
      </c>
      <c r="C34" s="144" t="s">
        <v>82</v>
      </c>
      <c r="D34" s="338" t="str">
        <f>'WS5-FacDetail'!E18</f>
        <v>WATERTOWN ALTERNATE OPERATIONS CENTER</v>
      </c>
      <c r="E34" s="339" t="s">
        <v>83</v>
      </c>
      <c r="F34" s="333">
        <f>$F$37*L34</f>
        <v>4488763.9923464265</v>
      </c>
      <c r="G34" s="333">
        <f>$G$37*L34</f>
        <v>152923.41375558215</v>
      </c>
      <c r="H34" s="334">
        <f>N34*O34</f>
        <v>147639.47743660075</v>
      </c>
      <c r="I34" s="333">
        <f>$I$37*L34</f>
        <v>112901.91919931068</v>
      </c>
      <c r="J34" s="520">
        <f>H34+F34+I34+G34</f>
        <v>4902228.8027379196</v>
      </c>
      <c r="K34" s="536">
        <f>'WS5-FacDetail'!I65</f>
        <v>7134157.3499999996</v>
      </c>
      <c r="L34" s="335">
        <f>K34/$K$37</f>
        <v>0.38640958560009908</v>
      </c>
      <c r="M34" s="333">
        <f>$M$37*L34</f>
        <v>3676525.2212895192</v>
      </c>
      <c r="N34" s="332">
        <f>'WS3-CostData'!$K$115</f>
        <v>4.2699590916764965E-2</v>
      </c>
      <c r="O34" s="333">
        <f>K34-M34</f>
        <v>3457632.1287104804</v>
      </c>
      <c r="P34" s="583">
        <f>'WS4-TransFac'!$G$537/('WS4-TransFac'!$K$537+'WS4-TransFac'!$G$537)</f>
        <v>5.6441181292847184E-2</v>
      </c>
      <c r="Q34" s="333">
        <f>J34*-P34</f>
        <v>-276687.5845943481</v>
      </c>
      <c r="R34" s="333">
        <f>$R$37*L34</f>
        <v>-4307681.8226783294</v>
      </c>
      <c r="S34" s="594" t="s">
        <v>78</v>
      </c>
      <c r="T34" s="333">
        <f>$T$37*L34</f>
        <v>-153304.13899098331</v>
      </c>
      <c r="U34" s="521">
        <f>V34-R34</f>
        <v>4472237.0791525878</v>
      </c>
      <c r="V34" s="520">
        <f>J34+Q34+R34+T34</f>
        <v>164555.25647425844</v>
      </c>
      <c r="W34" s="519">
        <f>V34</f>
        <v>164555.25647425844</v>
      </c>
      <c r="X34" s="519">
        <f>V34-W34</f>
        <v>0</v>
      </c>
    </row>
    <row r="35" spans="1:24">
      <c r="A35" s="359">
        <f t="shared" si="14"/>
        <v>29</v>
      </c>
      <c r="B35" s="338" t="s">
        <v>2316</v>
      </c>
      <c r="C35" s="144" t="s">
        <v>82</v>
      </c>
      <c r="D35" s="338" t="str">
        <f>'WS5-FacDetail'!E19</f>
        <v>WATERTOWN OPERATIONS CENTER</v>
      </c>
      <c r="E35" s="339" t="s">
        <v>83</v>
      </c>
      <c r="F35" s="333">
        <f>$F$37*L35</f>
        <v>811135.66476626368</v>
      </c>
      <c r="G35" s="333">
        <f>$G$37*L35</f>
        <v>27633.806341001196</v>
      </c>
      <c r="H35" s="334">
        <f>N35*O35</f>
        <v>26678.980200445039</v>
      </c>
      <c r="I35" s="333">
        <f>$I$37*L35</f>
        <v>20401.779518652882</v>
      </c>
      <c r="J35" s="521">
        <f>H35+F35+I35+G35</f>
        <v>885850.23082636285</v>
      </c>
      <c r="K35" s="523">
        <f>'WS5-FacDetail'!I71+'WS5-FacDetail'!I82</f>
        <v>1289167.6805700001</v>
      </c>
      <c r="L35" s="335">
        <f>K35/$K$37</f>
        <v>6.9825590434740639E-2</v>
      </c>
      <c r="M35" s="333">
        <f t="shared" ref="M35:M36" si="23">$M$37*L35</f>
        <v>664361.22159359383</v>
      </c>
      <c r="N35" s="332">
        <f>'WS3-CostData'!$K$115</f>
        <v>4.2699590916764965E-2</v>
      </c>
      <c r="O35" s="333">
        <f>K35-M35</f>
        <v>624806.45897640625</v>
      </c>
      <c r="P35" s="584">
        <f>'WS4-TransFac'!$G$537/('WS4-TransFac'!$K$537+'WS4-TransFac'!$G$537)</f>
        <v>5.6441181292847184E-2</v>
      </c>
      <c r="Q35" s="333">
        <f>J35*-P35</f>
        <v>-49998.433476381273</v>
      </c>
      <c r="R35" s="333">
        <f>$R$37*L35</f>
        <v>-778413.47079003975</v>
      </c>
      <c r="S35" s="525" t="s">
        <v>78</v>
      </c>
      <c r="T35" s="333">
        <f>$T$37*L35</f>
        <v>-27702.604749079001</v>
      </c>
      <c r="U35" s="521">
        <f>V35-R35</f>
        <v>808149.19260090264</v>
      </c>
      <c r="V35" s="521">
        <f>J35+Q35+R35+T35</f>
        <v>29735.721810862866</v>
      </c>
      <c r="W35" s="519">
        <f>V35</f>
        <v>29735.721810862866</v>
      </c>
      <c r="X35" s="519">
        <f>V35-W35</f>
        <v>0</v>
      </c>
    </row>
    <row r="36" spans="1:24" ht="15" thickBot="1">
      <c r="A36" s="359">
        <f t="shared" si="14"/>
        <v>30</v>
      </c>
      <c r="B36" s="338" t="s">
        <v>2316</v>
      </c>
      <c r="C36" s="144" t="s">
        <v>82</v>
      </c>
      <c r="D36" s="338" t="str">
        <f>'WS5-FacDetail'!E20</f>
        <v xml:space="preserve">WATERTOWN OPERATIONS CENTER (BFPS) </v>
      </c>
      <c r="E36" s="339" t="s">
        <v>83</v>
      </c>
      <c r="F36" s="333">
        <f>$F$37*L36</f>
        <v>6316696.2028873088</v>
      </c>
      <c r="G36" s="333">
        <f>$G$37*L36</f>
        <v>215197.49058972148</v>
      </c>
      <c r="H36" s="334">
        <f>N36*O36</f>
        <v>207761.8088431833</v>
      </c>
      <c r="I36" s="333">
        <f>$I$37*L36</f>
        <v>158878.28487328856</v>
      </c>
      <c r="J36" s="521">
        <f>H36+F36+I36+G36</f>
        <v>6898533.7871935014</v>
      </c>
      <c r="K36" s="523">
        <f>'WS5-FacDetail'!I137+'WS5-FacDetail'!I156</f>
        <v>10039357.09705</v>
      </c>
      <c r="L36" s="335">
        <f>K36/$K$37</f>
        <v>0.54376482396516024</v>
      </c>
      <c r="M36" s="333">
        <f t="shared" si="23"/>
        <v>5173694.3498780914</v>
      </c>
      <c r="N36" s="332">
        <f>'WS3-CostData'!$K$115</f>
        <v>4.2699590916764965E-2</v>
      </c>
      <c r="O36" s="333">
        <f>K36-M36</f>
        <v>4865662.7471719086</v>
      </c>
      <c r="P36" s="584">
        <f>'WS4-TransFac'!$G$537/('WS4-TransFac'!$K$537+'WS4-TransFac'!$G$537)</f>
        <v>5.6441181292847184E-2</v>
      </c>
      <c r="Q36" s="333">
        <f>J36*-P36</f>
        <v>-389361.39613782009</v>
      </c>
      <c r="R36" s="333">
        <f>$R$37*L36</f>
        <v>-6061873.0365316328</v>
      </c>
      <c r="S36" s="595" t="s">
        <v>78</v>
      </c>
      <c r="T36" s="333">
        <f>$T$37*L36</f>
        <v>-215733.25625993768</v>
      </c>
      <c r="U36" s="521">
        <f>V36-R36</f>
        <v>6293439.134795743</v>
      </c>
      <c r="V36" s="521">
        <f>J36+Q36+R36+T36</f>
        <v>231566.09826411036</v>
      </c>
      <c r="W36" s="519">
        <f>V36</f>
        <v>231566.09826411036</v>
      </c>
      <c r="X36" s="519">
        <f>V36-W36</f>
        <v>0</v>
      </c>
    </row>
    <row r="37" spans="1:24" ht="15" thickBot="1">
      <c r="A37" s="359">
        <f t="shared" si="14"/>
        <v>31</v>
      </c>
      <c r="B37" s="144"/>
      <c r="C37" s="144"/>
      <c r="D37" s="510" t="s">
        <v>2317</v>
      </c>
      <c r="E37" s="511"/>
      <c r="F37" s="512">
        <f>'WS3-CostData'!C170</f>
        <v>11616595.859999999</v>
      </c>
      <c r="G37" s="512">
        <f>'WS3-CostData'!C81</f>
        <v>395754.71068630484</v>
      </c>
      <c r="H37" s="512">
        <f>SUM(H34:H36)</f>
        <v>382080.2664802291</v>
      </c>
      <c r="I37" s="512">
        <f>'WS3-CostData'!C145</f>
        <v>292181.98359125212</v>
      </c>
      <c r="J37" s="514">
        <f>SUM(J34:J36)</f>
        <v>12686612.820757784</v>
      </c>
      <c r="K37" s="514">
        <f>SUM(K34:K36)</f>
        <v>18462682.12762</v>
      </c>
      <c r="L37" s="515">
        <v>1</v>
      </c>
      <c r="M37" s="512">
        <f>'WS3-CostData'!C54</f>
        <v>9514580.7927612048</v>
      </c>
      <c r="N37" s="516"/>
      <c r="O37" s="512">
        <f>SUM(O34:O36)</f>
        <v>8948101.3348587956</v>
      </c>
      <c r="P37" s="517"/>
      <c r="Q37" s="512">
        <f>SUM(Q34:Q36)</f>
        <v>-716047.41420854954</v>
      </c>
      <c r="R37" s="512">
        <f>'WS2-RevCredits'!D96</f>
        <v>-11147968.330000002</v>
      </c>
      <c r="S37" s="512"/>
      <c r="T37" s="541">
        <v>-396740</v>
      </c>
      <c r="U37" s="596">
        <f>V37-R37</f>
        <v>11573825.406549234</v>
      </c>
      <c r="V37" s="514">
        <f>SUM(V34:V36)</f>
        <v>425857.07654923166</v>
      </c>
      <c r="W37" s="509">
        <f>SUM(W34:W36)</f>
        <v>425857.07654923166</v>
      </c>
      <c r="X37" s="519">
        <f>V37-W37</f>
        <v>0</v>
      </c>
    </row>
    <row r="38" spans="1:24" ht="15" customHeight="1" thickTop="1">
      <c r="A38" s="359"/>
      <c r="B38" s="144"/>
      <c r="C38" s="144"/>
      <c r="D38" s="183"/>
      <c r="E38" s="184"/>
      <c r="F38" s="185"/>
      <c r="G38" s="185"/>
      <c r="H38" s="185"/>
      <c r="I38" s="185"/>
      <c r="J38" s="185"/>
      <c r="K38" s="185"/>
      <c r="L38" s="186"/>
      <c r="M38" s="185"/>
      <c r="N38" s="187"/>
      <c r="O38" s="185"/>
      <c r="P38" s="197"/>
      <c r="Q38" s="185"/>
      <c r="R38" s="185"/>
      <c r="S38" s="185"/>
      <c r="T38" s="185"/>
      <c r="U38" s="185"/>
      <c r="V38" s="185"/>
    </row>
    <row r="39" spans="1:24">
      <c r="A39" s="543" t="s">
        <v>2427</v>
      </c>
      <c r="B39" s="144"/>
      <c r="C39" s="144"/>
      <c r="D39" s="183"/>
      <c r="E39" s="184"/>
      <c r="F39" s="185"/>
      <c r="G39" s="185"/>
      <c r="H39" s="185"/>
      <c r="I39" s="185"/>
      <c r="J39" s="185"/>
      <c r="K39" s="185"/>
      <c r="L39" s="186"/>
      <c r="M39" s="185"/>
      <c r="N39" s="187"/>
      <c r="O39" s="185"/>
      <c r="P39" s="581"/>
      <c r="Q39" s="185"/>
      <c r="R39" s="185"/>
      <c r="S39" s="185"/>
      <c r="T39" s="547"/>
      <c r="U39" s="547"/>
      <c r="V39" s="547"/>
    </row>
    <row r="40" spans="1:24">
      <c r="A40" s="542" t="s">
        <v>2366</v>
      </c>
      <c r="B40" s="144"/>
      <c r="C40" s="144"/>
      <c r="D40" s="183"/>
      <c r="E40" s="184"/>
      <c r="F40" s="185"/>
      <c r="G40" s="185"/>
      <c r="H40" s="185"/>
      <c r="I40" s="185"/>
      <c r="J40" s="185"/>
      <c r="K40" s="185"/>
      <c r="L40" s="186"/>
      <c r="M40" s="185"/>
      <c r="N40" s="187"/>
      <c r="O40" s="185"/>
      <c r="P40" s="581"/>
      <c r="Q40" s="185"/>
      <c r="R40" s="185"/>
      <c r="S40" s="185"/>
      <c r="T40" s="547"/>
      <c r="U40" s="547"/>
      <c r="V40" s="546"/>
    </row>
    <row r="41" spans="1:24">
      <c r="A41" s="600" t="s">
        <v>2377</v>
      </c>
      <c r="B41" s="144"/>
      <c r="C41" s="144"/>
      <c r="D41" s="183"/>
      <c r="E41" s="184"/>
      <c r="F41" s="185"/>
      <c r="G41" s="185"/>
      <c r="H41" s="185"/>
      <c r="I41" s="185"/>
      <c r="J41" s="185"/>
      <c r="K41" s="185"/>
      <c r="L41" s="186"/>
      <c r="M41" s="185"/>
      <c r="N41" s="187"/>
      <c r="O41" s="185"/>
      <c r="P41" s="581"/>
      <c r="Q41" s="185"/>
      <c r="R41" s="185"/>
      <c r="S41" s="185"/>
      <c r="T41" s="547"/>
      <c r="U41" s="547"/>
      <c r="V41" s="546"/>
    </row>
    <row r="42" spans="1:24">
      <c r="A42" s="329" t="s">
        <v>2325</v>
      </c>
      <c r="B42" s="329"/>
      <c r="D42" s="329"/>
      <c r="E42" s="329"/>
      <c r="F42" s="329"/>
      <c r="G42" s="329"/>
      <c r="H42" s="329"/>
      <c r="I42" s="329"/>
      <c r="J42" s="329"/>
      <c r="K42" s="329"/>
      <c r="L42" s="329"/>
      <c r="M42" s="329"/>
      <c r="N42" s="329"/>
      <c r="O42" s="329"/>
      <c r="P42" s="582"/>
      <c r="Q42" s="329"/>
      <c r="R42" s="329"/>
      <c r="S42" s="329"/>
      <c r="T42" s="329"/>
      <c r="U42" s="329"/>
      <c r="V42" s="329"/>
    </row>
    <row r="43" spans="1:24">
      <c r="A43" s="358"/>
      <c r="B43" s="358"/>
      <c r="C43" s="358"/>
      <c r="D43" s="358"/>
      <c r="E43" s="358"/>
      <c r="F43" s="358"/>
      <c r="G43" s="358"/>
      <c r="H43" s="358"/>
      <c r="I43" s="358"/>
      <c r="J43" s="358"/>
      <c r="K43" s="358"/>
      <c r="L43" s="358"/>
      <c r="M43" s="358"/>
      <c r="N43" s="358"/>
      <c r="O43" s="358"/>
      <c r="P43" s="360"/>
      <c r="Q43" s="358"/>
      <c r="R43" s="358"/>
      <c r="S43" s="358"/>
      <c r="T43" s="358"/>
      <c r="U43" s="358"/>
      <c r="V43" s="358"/>
    </row>
    <row r="44" spans="1:24">
      <c r="A44" s="358"/>
      <c r="B44" s="358"/>
      <c r="C44" s="358"/>
      <c r="D44" s="358"/>
      <c r="E44" s="358"/>
      <c r="F44" s="358"/>
      <c r="G44" s="358"/>
      <c r="H44" s="358"/>
      <c r="I44" s="358"/>
      <c r="J44" s="358"/>
      <c r="K44" s="358"/>
      <c r="L44" s="358"/>
      <c r="M44" s="358"/>
      <c r="N44" s="358"/>
      <c r="O44" s="358"/>
      <c r="P44" s="360"/>
      <c r="Q44" s="358"/>
      <c r="R44" s="358"/>
      <c r="S44" s="358"/>
      <c r="T44" s="358"/>
      <c r="U44" s="358"/>
      <c r="V44" s="358"/>
    </row>
    <row r="45" spans="1:24">
      <c r="A45" s="358"/>
      <c r="B45" s="358"/>
      <c r="C45" s="358"/>
      <c r="D45" s="358"/>
      <c r="E45" s="358"/>
      <c r="F45" s="358"/>
      <c r="G45" s="358"/>
      <c r="H45" s="358"/>
      <c r="I45" s="358"/>
      <c r="J45" s="358"/>
      <c r="K45" s="358"/>
      <c r="L45" s="358"/>
      <c r="M45" s="358"/>
      <c r="N45" s="358"/>
      <c r="O45" s="358"/>
      <c r="P45" s="360"/>
      <c r="Q45" s="358"/>
      <c r="R45" s="358"/>
      <c r="S45" s="358"/>
      <c r="T45" s="358"/>
      <c r="U45" s="358"/>
      <c r="V45" s="358"/>
    </row>
    <row r="46" spans="1:24">
      <c r="A46" s="358"/>
      <c r="B46" s="358"/>
      <c r="C46" s="358"/>
      <c r="D46" s="358"/>
      <c r="E46" s="358"/>
      <c r="F46" s="358"/>
      <c r="G46" s="358"/>
      <c r="H46" s="358"/>
      <c r="I46" s="358"/>
      <c r="J46" s="358"/>
      <c r="K46" s="358"/>
      <c r="L46" s="358"/>
      <c r="M46" s="358"/>
      <c r="N46" s="358"/>
      <c r="O46" s="358"/>
      <c r="P46" s="360"/>
      <c r="Q46" s="358"/>
      <c r="R46" s="358"/>
      <c r="S46" s="358"/>
      <c r="T46" s="358"/>
      <c r="U46" s="358"/>
      <c r="V46" s="358"/>
    </row>
  </sheetData>
  <mergeCells count="1">
    <mergeCell ref="W5:X5"/>
  </mergeCells>
  <hyperlinks>
    <hyperlink ref="E1" location="'Cover Sheets'!A18" display="(Back to Worksheet Links)" xr:uid="{D76F432E-769B-4978-99A0-E2434AC865CB}"/>
  </hyperlinks>
  <pageMargins left="0.7" right="0.7" top="0.75" bottom="0.75" header="0.3" footer="0.3"/>
  <pageSetup paperSize="17" scale="58"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168"/>
  <sheetViews>
    <sheetView view="pageBreakPreview" zoomScaleNormal="100" zoomScaleSheetLayoutView="100" workbookViewId="0"/>
  </sheetViews>
  <sheetFormatPr defaultRowHeight="14.5"/>
  <cols>
    <col min="3" max="3" width="44.1796875" customWidth="1"/>
    <col min="4" max="5" width="23.54296875" customWidth="1"/>
    <col min="6" max="6" width="18.54296875" customWidth="1"/>
    <col min="7" max="7" width="15.81640625" customWidth="1"/>
    <col min="8" max="8" width="12.54296875" bestFit="1" customWidth="1"/>
    <col min="9" max="9" width="12.453125" customWidth="1"/>
    <col min="10" max="10" width="11.453125" bestFit="1" customWidth="1"/>
    <col min="11" max="11" width="11" customWidth="1"/>
  </cols>
  <sheetData>
    <row r="1" spans="1:13">
      <c r="A1" s="133" t="str">
        <f>'Cover Sheets'!A10:D10</f>
        <v>WAPA-UGP 2023 Rate True-up Calculation</v>
      </c>
      <c r="B1" s="35"/>
      <c r="C1" s="85"/>
      <c r="D1" s="93" t="s">
        <v>52</v>
      </c>
      <c r="E1" s="72"/>
      <c r="F1" s="72"/>
      <c r="G1" s="72"/>
      <c r="H1" s="72"/>
    </row>
    <row r="2" spans="1:13">
      <c r="A2" s="133" t="s">
        <v>85</v>
      </c>
      <c r="B2" s="35"/>
      <c r="C2" s="85"/>
      <c r="D2" s="108"/>
      <c r="E2" s="652"/>
      <c r="F2" s="652"/>
      <c r="G2" s="652"/>
      <c r="H2" s="652"/>
      <c r="I2" s="72"/>
    </row>
    <row r="3" spans="1:13">
      <c r="A3" s="91" t="str">
        <f>'Summary-TrueUp'!A3</f>
        <v>12 Months Ending 09/30/2023 True-up</v>
      </c>
      <c r="B3" s="91"/>
      <c r="C3" s="91"/>
      <c r="D3" s="114"/>
      <c r="E3" s="72"/>
      <c r="F3" s="72"/>
      <c r="G3" s="72"/>
      <c r="H3" s="72"/>
      <c r="I3" s="72"/>
    </row>
    <row r="4" spans="1:13">
      <c r="A4" s="158" t="s">
        <v>40</v>
      </c>
      <c r="B4" s="84" t="s">
        <v>86</v>
      </c>
      <c r="C4" s="84" t="s">
        <v>87</v>
      </c>
      <c r="D4" s="84" t="s">
        <v>88</v>
      </c>
      <c r="E4" s="84"/>
      <c r="F4" s="84"/>
      <c r="G4" s="84"/>
      <c r="H4" s="72"/>
      <c r="I4" s="72"/>
    </row>
    <row r="5" spans="1:13">
      <c r="A5" s="365" t="s">
        <v>46</v>
      </c>
      <c r="B5" s="365" t="s">
        <v>41</v>
      </c>
      <c r="C5" s="366">
        <v>-2</v>
      </c>
      <c r="D5" s="366">
        <v>-3</v>
      </c>
      <c r="E5" s="366">
        <v>-4</v>
      </c>
      <c r="F5" s="84"/>
      <c r="G5" s="84"/>
      <c r="H5" s="190"/>
      <c r="I5" s="72"/>
      <c r="M5" s="96"/>
    </row>
    <row r="6" spans="1:13">
      <c r="A6" s="29">
        <v>1</v>
      </c>
      <c r="B6" s="161">
        <f t="shared" ref="B6:B16" si="0">B20</f>
        <v>44958</v>
      </c>
      <c r="C6" s="193" t="s">
        <v>89</v>
      </c>
      <c r="D6" s="109">
        <v>-10201687.16</v>
      </c>
      <c r="E6" s="85"/>
      <c r="F6" s="72"/>
      <c r="G6" s="72"/>
      <c r="H6" s="72"/>
    </row>
    <row r="7" spans="1:13">
      <c r="A7" s="29">
        <f>A6+1</f>
        <v>2</v>
      </c>
      <c r="B7" s="161">
        <f t="shared" si="0"/>
        <v>44986</v>
      </c>
      <c r="C7" s="193" t="s">
        <v>89</v>
      </c>
      <c r="D7" s="109">
        <v>-10201687.459999999</v>
      </c>
      <c r="E7" s="85"/>
      <c r="F7" s="72"/>
      <c r="G7" s="72"/>
      <c r="H7" s="72"/>
    </row>
    <row r="8" spans="1:13">
      <c r="A8" s="29">
        <f t="shared" ref="A8:A71" si="1">A7+1</f>
        <v>3</v>
      </c>
      <c r="B8" s="161">
        <f t="shared" si="0"/>
        <v>45017</v>
      </c>
      <c r="C8" s="193" t="s">
        <v>89</v>
      </c>
      <c r="D8" s="109">
        <v>-10201687.459999999</v>
      </c>
      <c r="E8" s="85"/>
      <c r="F8" s="72"/>
      <c r="G8" s="72"/>
      <c r="H8" s="72"/>
    </row>
    <row r="9" spans="1:13">
      <c r="A9" s="29">
        <f t="shared" si="1"/>
        <v>4</v>
      </c>
      <c r="B9" s="161">
        <f t="shared" si="0"/>
        <v>45047</v>
      </c>
      <c r="C9" s="193" t="s">
        <v>89</v>
      </c>
      <c r="D9" s="109">
        <v>-10201687.460000001</v>
      </c>
      <c r="E9" s="85"/>
      <c r="F9" s="72"/>
      <c r="G9" s="72"/>
      <c r="H9" s="72"/>
    </row>
    <row r="10" spans="1:13">
      <c r="A10" s="29">
        <f t="shared" si="1"/>
        <v>5</v>
      </c>
      <c r="B10" s="161">
        <f t="shared" si="0"/>
        <v>45078</v>
      </c>
      <c r="C10" s="193" t="s">
        <v>89</v>
      </c>
      <c r="D10" s="109">
        <v>-10201687.460000001</v>
      </c>
      <c r="E10" s="85"/>
      <c r="F10" s="72"/>
      <c r="G10" s="72"/>
      <c r="H10" s="72"/>
    </row>
    <row r="11" spans="1:13">
      <c r="A11" s="29">
        <f t="shared" si="1"/>
        <v>6</v>
      </c>
      <c r="B11" s="161">
        <f t="shared" si="0"/>
        <v>45108</v>
      </c>
      <c r="C11" s="193" t="s">
        <v>89</v>
      </c>
      <c r="D11" s="109">
        <v>-10201687.460000001</v>
      </c>
      <c r="E11" s="85"/>
      <c r="F11" s="72"/>
      <c r="G11" s="72"/>
      <c r="H11" s="72"/>
    </row>
    <row r="12" spans="1:13">
      <c r="A12" s="29">
        <f t="shared" si="1"/>
        <v>7</v>
      </c>
      <c r="B12" s="161">
        <f t="shared" si="0"/>
        <v>45139</v>
      </c>
      <c r="C12" s="193" t="s">
        <v>89</v>
      </c>
      <c r="D12" s="109">
        <v>-10201687.460000001</v>
      </c>
      <c r="E12" s="85"/>
      <c r="F12" s="72"/>
      <c r="G12" s="72"/>
      <c r="H12" s="72"/>
    </row>
    <row r="13" spans="1:13">
      <c r="A13" s="29">
        <f t="shared" si="1"/>
        <v>8</v>
      </c>
      <c r="B13" s="161">
        <f t="shared" si="0"/>
        <v>45170</v>
      </c>
      <c r="C13" s="193" t="s">
        <v>89</v>
      </c>
      <c r="D13" s="109">
        <v>-10201687.460000001</v>
      </c>
      <c r="E13" s="85"/>
      <c r="F13" s="72"/>
      <c r="G13" s="72"/>
      <c r="H13" s="72"/>
    </row>
    <row r="14" spans="1:13">
      <c r="A14" s="29">
        <f t="shared" si="1"/>
        <v>9</v>
      </c>
      <c r="B14" s="161">
        <f t="shared" si="0"/>
        <v>45200</v>
      </c>
      <c r="C14" s="193" t="s">
        <v>89</v>
      </c>
      <c r="D14" s="109">
        <v>-10201687.460000001</v>
      </c>
      <c r="E14" s="85"/>
      <c r="F14" s="72"/>
      <c r="G14" s="72"/>
      <c r="H14" s="72"/>
    </row>
    <row r="15" spans="1:13">
      <c r="A15" s="29">
        <f t="shared" si="1"/>
        <v>10</v>
      </c>
      <c r="B15" s="161">
        <f t="shared" si="0"/>
        <v>45231</v>
      </c>
      <c r="C15" s="193" t="s">
        <v>89</v>
      </c>
      <c r="D15" s="109">
        <v>-10201687.76</v>
      </c>
      <c r="E15" s="85"/>
      <c r="F15" s="72"/>
      <c r="G15" s="72"/>
      <c r="H15" s="72"/>
    </row>
    <row r="16" spans="1:13">
      <c r="A16" s="29">
        <f t="shared" si="1"/>
        <v>11</v>
      </c>
      <c r="B16" s="161">
        <f t="shared" si="0"/>
        <v>45261</v>
      </c>
      <c r="C16" s="193" t="s">
        <v>89</v>
      </c>
      <c r="D16" s="109">
        <v>-10201687.460000001</v>
      </c>
      <c r="E16" s="85"/>
      <c r="F16" s="72"/>
      <c r="G16" s="72"/>
      <c r="H16" s="72"/>
    </row>
    <row r="17" spans="1:12">
      <c r="A17" s="29">
        <f t="shared" si="1"/>
        <v>12</v>
      </c>
      <c r="B17" s="161">
        <f>B95</f>
        <v>45292</v>
      </c>
      <c r="C17" s="193" t="s">
        <v>89</v>
      </c>
      <c r="D17" s="109">
        <v>-10201687.460000001</v>
      </c>
      <c r="E17" s="85"/>
      <c r="F17" s="72"/>
      <c r="G17" s="72"/>
      <c r="H17" s="72"/>
    </row>
    <row r="18" spans="1:12" ht="15" thickBot="1">
      <c r="A18" s="29">
        <f t="shared" si="1"/>
        <v>13</v>
      </c>
      <c r="B18" s="195"/>
      <c r="C18" s="194" t="s">
        <v>90</v>
      </c>
      <c r="D18" s="164">
        <f>SUM(D6:D17)</f>
        <v>-122420249.52000001</v>
      </c>
      <c r="E18" s="85"/>
      <c r="F18" s="72"/>
      <c r="G18" s="72"/>
      <c r="H18" s="72"/>
    </row>
    <row r="19" spans="1:12" ht="15" thickTop="1">
      <c r="A19" s="29">
        <f t="shared" si="1"/>
        <v>14</v>
      </c>
      <c r="B19" s="162">
        <v>44927</v>
      </c>
      <c r="C19" s="193" t="s">
        <v>91</v>
      </c>
      <c r="D19" s="163">
        <f>469.87-0.69-3.12-137.71+47.25</f>
        <v>375.6</v>
      </c>
      <c r="E19" s="85"/>
      <c r="F19" s="72"/>
      <c r="G19" s="72"/>
      <c r="H19" s="72"/>
      <c r="I19" s="72"/>
    </row>
    <row r="20" spans="1:12">
      <c r="A20" s="29">
        <f t="shared" si="1"/>
        <v>15</v>
      </c>
      <c r="B20" s="162">
        <v>44958</v>
      </c>
      <c r="C20" s="193" t="s">
        <v>91</v>
      </c>
      <c r="D20" s="109">
        <f>300.24-0.69-3.59-144.46+32.54</f>
        <v>184.04000000000002</v>
      </c>
      <c r="E20" s="85"/>
      <c r="F20" s="134"/>
      <c r="G20" s="157"/>
      <c r="H20" s="134"/>
      <c r="I20" s="191"/>
      <c r="J20" s="116"/>
      <c r="K20" s="117"/>
      <c r="L20" s="117"/>
    </row>
    <row r="21" spans="1:12">
      <c r="A21" s="29">
        <f t="shared" si="1"/>
        <v>16</v>
      </c>
      <c r="B21" s="162">
        <v>44986</v>
      </c>
      <c r="C21" s="193" t="s">
        <v>91</v>
      </c>
      <c r="D21" s="109">
        <f>300.24+0.06+1.08+170.21+32.54</f>
        <v>504.13000000000005</v>
      </c>
      <c r="E21" s="85"/>
      <c r="F21" s="134"/>
      <c r="G21" s="157"/>
      <c r="H21" s="134"/>
      <c r="I21" s="191"/>
      <c r="J21" s="116"/>
      <c r="K21" s="117"/>
      <c r="L21" s="117"/>
    </row>
    <row r="22" spans="1:12">
      <c r="A22" s="29">
        <f t="shared" si="1"/>
        <v>17</v>
      </c>
      <c r="B22" s="162">
        <v>45017</v>
      </c>
      <c r="C22" s="193" t="s">
        <v>91</v>
      </c>
      <c r="D22" s="109">
        <f>304.84+0.04+1.08+172.05+32.54</f>
        <v>510.55</v>
      </c>
      <c r="E22" s="85"/>
      <c r="F22" s="134"/>
      <c r="G22" s="157"/>
      <c r="H22" s="134"/>
      <c r="I22" s="191"/>
      <c r="J22" s="116"/>
      <c r="K22" s="117"/>
      <c r="L22" s="116"/>
    </row>
    <row r="23" spans="1:12">
      <c r="A23" s="29">
        <f t="shared" si="1"/>
        <v>18</v>
      </c>
      <c r="B23" s="162">
        <v>45047</v>
      </c>
      <c r="C23" s="193" t="s">
        <v>91</v>
      </c>
      <c r="D23" s="109">
        <f>304.6+0.06+1.07+171.25+32.48</f>
        <v>509.46000000000004</v>
      </c>
      <c r="E23" s="85"/>
      <c r="F23" s="134"/>
      <c r="G23" s="157"/>
      <c r="H23" s="134"/>
      <c r="I23" s="191"/>
      <c r="J23" s="117"/>
      <c r="K23" s="117"/>
      <c r="L23" s="117"/>
    </row>
    <row r="24" spans="1:12">
      <c r="A24" s="29">
        <f t="shared" si="1"/>
        <v>19</v>
      </c>
      <c r="B24" s="162">
        <v>45078</v>
      </c>
      <c r="C24" s="193" t="s">
        <v>91</v>
      </c>
      <c r="D24" s="109">
        <f>305.29+0.04+1.06+171.3+63.46</f>
        <v>541.15000000000009</v>
      </c>
      <c r="E24" s="85"/>
      <c r="F24" s="134"/>
      <c r="G24" s="72"/>
      <c r="H24" s="134"/>
      <c r="I24" s="191"/>
      <c r="J24" s="117"/>
      <c r="K24" s="117"/>
      <c r="L24" s="117"/>
    </row>
    <row r="25" spans="1:12">
      <c r="A25" s="29">
        <f t="shared" si="1"/>
        <v>20</v>
      </c>
      <c r="B25" s="162">
        <v>45108</v>
      </c>
      <c r="C25" s="193" t="s">
        <v>91</v>
      </c>
      <c r="D25" s="109">
        <f>309.11+0.06+1.08+171.75+63.75</f>
        <v>545.75</v>
      </c>
      <c r="E25" s="85"/>
      <c r="F25" s="134"/>
      <c r="G25" s="72"/>
      <c r="H25" s="72"/>
      <c r="I25" s="191"/>
      <c r="J25" s="117"/>
      <c r="K25" s="117"/>
      <c r="L25" s="117"/>
    </row>
    <row r="26" spans="1:12">
      <c r="A26" s="29">
        <f t="shared" si="1"/>
        <v>21</v>
      </c>
      <c r="B26" s="162">
        <v>45139</v>
      </c>
      <c r="C26" s="193" t="s">
        <v>91</v>
      </c>
      <c r="D26" s="109">
        <f>307.62+2.57+17.23+2730.07+63.16</f>
        <v>3120.65</v>
      </c>
      <c r="E26" s="85"/>
      <c r="F26" s="134"/>
      <c r="G26" s="157"/>
      <c r="H26" s="134"/>
      <c r="I26" s="191"/>
      <c r="J26" s="117"/>
      <c r="L26" s="117"/>
    </row>
    <row r="27" spans="1:12">
      <c r="A27" s="29">
        <f t="shared" si="1"/>
        <v>22</v>
      </c>
      <c r="B27" s="162">
        <v>45170</v>
      </c>
      <c r="C27" s="193" t="s">
        <v>91</v>
      </c>
      <c r="D27" s="109">
        <f>306.04+2.7+18.11+2865.45+63.16</f>
        <v>3255.4599999999996</v>
      </c>
      <c r="E27" s="85"/>
      <c r="F27" s="192"/>
      <c r="G27" s="72"/>
      <c r="H27" s="192"/>
      <c r="I27" s="191"/>
      <c r="J27" s="117"/>
      <c r="K27" s="117"/>
      <c r="L27" s="117"/>
    </row>
    <row r="28" spans="1:12">
      <c r="A28" s="29">
        <f t="shared" si="1"/>
        <v>23</v>
      </c>
      <c r="B28" s="162">
        <v>45200</v>
      </c>
      <c r="C28" s="193" t="s">
        <v>91</v>
      </c>
      <c r="D28" s="109">
        <f>306.11+2.86+18.22+2865.22+72.79</f>
        <v>3265.2</v>
      </c>
      <c r="E28" s="85"/>
      <c r="F28" s="192"/>
      <c r="G28" s="72"/>
      <c r="H28" s="192"/>
      <c r="I28" s="191"/>
      <c r="J28" s="116"/>
      <c r="K28" s="117"/>
    </row>
    <row r="29" spans="1:12">
      <c r="A29" s="29">
        <f t="shared" si="1"/>
        <v>24</v>
      </c>
      <c r="B29" s="162">
        <v>45231</v>
      </c>
      <c r="C29" s="193" t="s">
        <v>91</v>
      </c>
      <c r="D29" s="109">
        <f>310.24+1.48+10.35+1631.02+94.19</f>
        <v>2047.2800000000002</v>
      </c>
      <c r="E29" s="85"/>
      <c r="F29" s="72"/>
      <c r="G29" s="72"/>
      <c r="H29" s="72"/>
      <c r="I29" s="191"/>
      <c r="J29" s="116"/>
      <c r="K29" s="117"/>
    </row>
    <row r="30" spans="1:12">
      <c r="A30" s="29">
        <f t="shared" si="1"/>
        <v>25</v>
      </c>
      <c r="B30" s="162">
        <v>45261</v>
      </c>
      <c r="C30" s="193" t="s">
        <v>91</v>
      </c>
      <c r="D30" s="109">
        <f>312.58+2.76+17.89+2812.93+94.19</f>
        <v>3240.35</v>
      </c>
      <c r="E30" s="85"/>
      <c r="F30" s="134"/>
      <c r="G30" s="157"/>
      <c r="H30" s="192"/>
      <c r="I30" s="191"/>
      <c r="J30" s="117"/>
      <c r="K30" s="117"/>
    </row>
    <row r="31" spans="1:12" ht="15" thickBot="1">
      <c r="A31" s="29">
        <f t="shared" si="1"/>
        <v>26</v>
      </c>
      <c r="B31" s="195"/>
      <c r="C31" s="194" t="s">
        <v>90</v>
      </c>
      <c r="D31" s="164">
        <f>SUM(D19:D30)</f>
        <v>18099.62</v>
      </c>
      <c r="E31" s="85"/>
      <c r="F31" s="134"/>
      <c r="G31" s="72"/>
      <c r="H31" s="72"/>
      <c r="I31" s="72"/>
    </row>
    <row r="32" spans="1:12" ht="15" thickTop="1">
      <c r="A32" s="29">
        <f t="shared" si="1"/>
        <v>27</v>
      </c>
      <c r="B32" s="161">
        <f t="shared" ref="B32:B43" si="2">B19</f>
        <v>44927</v>
      </c>
      <c r="C32" s="193" t="s">
        <v>92</v>
      </c>
      <c r="D32" s="163">
        <v>-613276.7599999964</v>
      </c>
      <c r="E32" s="85"/>
      <c r="F32" s="175"/>
      <c r="G32" s="107"/>
      <c r="H32" s="107"/>
      <c r="I32" s="116"/>
    </row>
    <row r="33" spans="1:9">
      <c r="A33" s="29">
        <f t="shared" si="1"/>
        <v>28</v>
      </c>
      <c r="B33" s="161">
        <f t="shared" si="2"/>
        <v>44958</v>
      </c>
      <c r="C33" s="193" t="s">
        <v>92</v>
      </c>
      <c r="D33" s="109">
        <v>-602239.0600000025</v>
      </c>
      <c r="E33" s="85"/>
      <c r="F33" s="176"/>
      <c r="G33" s="176"/>
      <c r="H33" s="107"/>
      <c r="I33" s="116"/>
    </row>
    <row r="34" spans="1:9">
      <c r="A34" s="29">
        <f t="shared" si="1"/>
        <v>29</v>
      </c>
      <c r="B34" s="161">
        <f t="shared" si="2"/>
        <v>44986</v>
      </c>
      <c r="C34" s="193" t="s">
        <v>92</v>
      </c>
      <c r="D34" s="109">
        <v>-468612.46999999887</v>
      </c>
      <c r="E34" s="85"/>
      <c r="F34" s="361"/>
      <c r="G34" s="361"/>
      <c r="H34" s="361"/>
      <c r="I34" s="116"/>
    </row>
    <row r="35" spans="1:9">
      <c r="A35" s="29">
        <f t="shared" si="1"/>
        <v>30</v>
      </c>
      <c r="B35" s="161">
        <f t="shared" si="2"/>
        <v>45017</v>
      </c>
      <c r="C35" s="193" t="s">
        <v>92</v>
      </c>
      <c r="D35" s="109">
        <v>-524528.47000000079</v>
      </c>
      <c r="E35" s="85"/>
      <c r="F35" s="362"/>
      <c r="G35" s="361"/>
      <c r="H35" s="361"/>
      <c r="I35" s="116"/>
    </row>
    <row r="36" spans="1:9">
      <c r="A36" s="29">
        <f t="shared" si="1"/>
        <v>31</v>
      </c>
      <c r="B36" s="161">
        <f t="shared" si="2"/>
        <v>45047</v>
      </c>
      <c r="C36" s="193" t="s">
        <v>92</v>
      </c>
      <c r="D36" s="109">
        <v>-347637.95999999996</v>
      </c>
      <c r="E36" s="85"/>
      <c r="F36" s="362"/>
      <c r="G36" s="361"/>
      <c r="H36" s="361"/>
      <c r="I36" s="116"/>
    </row>
    <row r="37" spans="1:9">
      <c r="A37" s="29">
        <f t="shared" si="1"/>
        <v>32</v>
      </c>
      <c r="B37" s="161">
        <f t="shared" si="2"/>
        <v>45078</v>
      </c>
      <c r="C37" s="193" t="s">
        <v>92</v>
      </c>
      <c r="D37" s="109">
        <v>-444065.20000000193</v>
      </c>
      <c r="E37" s="85"/>
      <c r="F37" s="362"/>
      <c r="G37" s="362"/>
      <c r="H37" s="361"/>
      <c r="I37" s="116"/>
    </row>
    <row r="38" spans="1:9">
      <c r="A38" s="29">
        <f t="shared" si="1"/>
        <v>33</v>
      </c>
      <c r="B38" s="161">
        <f t="shared" si="2"/>
        <v>45108</v>
      </c>
      <c r="C38" s="193" t="s">
        <v>92</v>
      </c>
      <c r="D38" s="109">
        <v>-600457.53999999876</v>
      </c>
      <c r="E38" s="85"/>
      <c r="F38" s="362"/>
      <c r="G38" s="362"/>
      <c r="H38" s="361"/>
      <c r="I38" s="116"/>
    </row>
    <row r="39" spans="1:9">
      <c r="A39" s="29">
        <f t="shared" si="1"/>
        <v>34</v>
      </c>
      <c r="B39" s="161">
        <f t="shared" si="2"/>
        <v>45139</v>
      </c>
      <c r="C39" s="193" t="s">
        <v>92</v>
      </c>
      <c r="D39" s="109">
        <v>-624366.84000000032</v>
      </c>
      <c r="E39" s="85"/>
      <c r="F39" s="363"/>
      <c r="G39" s="363"/>
      <c r="H39" s="364"/>
      <c r="I39" s="116"/>
    </row>
    <row r="40" spans="1:9">
      <c r="A40" s="29">
        <f t="shared" si="1"/>
        <v>35</v>
      </c>
      <c r="B40" s="161">
        <f t="shared" si="2"/>
        <v>45170</v>
      </c>
      <c r="C40" s="193" t="s">
        <v>92</v>
      </c>
      <c r="D40" s="109">
        <v>-611552.84000000288</v>
      </c>
      <c r="E40" s="85"/>
      <c r="F40" s="363"/>
      <c r="G40" s="363"/>
      <c r="H40" s="364"/>
      <c r="I40" s="116"/>
    </row>
    <row r="41" spans="1:9">
      <c r="A41" s="29">
        <f t="shared" si="1"/>
        <v>36</v>
      </c>
      <c r="B41" s="161">
        <f t="shared" si="2"/>
        <v>45200</v>
      </c>
      <c r="C41" s="193" t="s">
        <v>92</v>
      </c>
      <c r="D41" s="109">
        <v>-507659.48000000208</v>
      </c>
      <c r="E41" s="85"/>
      <c r="F41" s="363"/>
      <c r="G41" s="363"/>
      <c r="H41" s="364"/>
      <c r="I41" s="116"/>
    </row>
    <row r="42" spans="1:9">
      <c r="A42" s="29">
        <f t="shared" si="1"/>
        <v>37</v>
      </c>
      <c r="B42" s="161">
        <f t="shared" si="2"/>
        <v>45231</v>
      </c>
      <c r="C42" s="193" t="s">
        <v>92</v>
      </c>
      <c r="D42" s="109">
        <v>-534892.5</v>
      </c>
      <c r="E42" s="85"/>
      <c r="F42" s="72"/>
      <c r="G42" s="72"/>
      <c r="H42" s="72"/>
      <c r="I42" s="116"/>
    </row>
    <row r="43" spans="1:9">
      <c r="A43" s="29">
        <f t="shared" si="1"/>
        <v>38</v>
      </c>
      <c r="B43" s="161">
        <f t="shared" si="2"/>
        <v>45261</v>
      </c>
      <c r="C43" s="193" t="s">
        <v>92</v>
      </c>
      <c r="D43" s="109">
        <v>-509771.18999999762</v>
      </c>
      <c r="E43" s="85"/>
      <c r="F43" s="72"/>
      <c r="G43" s="72"/>
      <c r="H43" s="72"/>
      <c r="I43" s="116"/>
    </row>
    <row r="44" spans="1:9" ht="15" thickBot="1">
      <c r="A44" s="29">
        <f t="shared" si="1"/>
        <v>39</v>
      </c>
      <c r="B44" s="195"/>
      <c r="C44" s="194" t="str">
        <f>$C$31</f>
        <v>Subtotal</v>
      </c>
      <c r="D44" s="164">
        <f>SUM(D32:D43)</f>
        <v>-6389060.3100000015</v>
      </c>
      <c r="E44" s="85"/>
      <c r="F44" s="72"/>
      <c r="G44" s="72"/>
      <c r="H44" s="72"/>
    </row>
    <row r="45" spans="1:9" ht="15" thickTop="1">
      <c r="A45" s="29">
        <f t="shared" si="1"/>
        <v>40</v>
      </c>
      <c r="B45" s="161">
        <f t="shared" ref="B45:B56" si="3">B19</f>
        <v>44927</v>
      </c>
      <c r="C45" s="193" t="s">
        <v>93</v>
      </c>
      <c r="D45" s="163">
        <v>-388616.3000000004</v>
      </c>
      <c r="E45" s="85"/>
      <c r="F45" s="72"/>
      <c r="G45" s="72"/>
      <c r="H45" s="72"/>
      <c r="I45" s="116"/>
    </row>
    <row r="46" spans="1:9">
      <c r="A46" s="29">
        <f t="shared" si="1"/>
        <v>41</v>
      </c>
      <c r="B46" s="161">
        <f t="shared" si="3"/>
        <v>44958</v>
      </c>
      <c r="C46" s="193" t="s">
        <v>93</v>
      </c>
      <c r="D46" s="109">
        <v>-560833.20000000298</v>
      </c>
      <c r="E46" s="85"/>
      <c r="F46" s="72"/>
      <c r="G46" s="72"/>
      <c r="H46" s="72"/>
      <c r="I46" s="116"/>
    </row>
    <row r="47" spans="1:9">
      <c r="A47" s="29">
        <f t="shared" si="1"/>
        <v>42</v>
      </c>
      <c r="B47" s="161">
        <f t="shared" si="3"/>
        <v>44986</v>
      </c>
      <c r="C47" s="193" t="s">
        <v>93</v>
      </c>
      <c r="D47" s="109">
        <v>-423710.10999999958</v>
      </c>
      <c r="E47" s="85"/>
      <c r="F47" s="72"/>
      <c r="G47" s="72"/>
      <c r="H47" s="72"/>
      <c r="I47" s="116"/>
    </row>
    <row r="48" spans="1:9">
      <c r="A48" s="29">
        <f t="shared" si="1"/>
        <v>43</v>
      </c>
      <c r="B48" s="161">
        <f t="shared" si="3"/>
        <v>45017</v>
      </c>
      <c r="C48" s="193" t="s">
        <v>93</v>
      </c>
      <c r="D48" s="109">
        <v>-480770.11000000045</v>
      </c>
      <c r="E48" s="85"/>
      <c r="F48" s="72"/>
      <c r="G48" s="72"/>
      <c r="H48" s="72"/>
      <c r="I48" s="116"/>
    </row>
    <row r="49" spans="1:9">
      <c r="A49" s="29">
        <f t="shared" si="1"/>
        <v>44</v>
      </c>
      <c r="B49" s="161">
        <f t="shared" si="3"/>
        <v>45047</v>
      </c>
      <c r="C49" s="193" t="s">
        <v>93</v>
      </c>
      <c r="D49" s="109">
        <v>-97149.680000000168</v>
      </c>
      <c r="E49" s="85"/>
      <c r="F49" s="72"/>
      <c r="G49" s="72"/>
      <c r="H49" s="72"/>
      <c r="I49" s="116"/>
    </row>
    <row r="50" spans="1:9">
      <c r="A50" s="29">
        <f t="shared" si="1"/>
        <v>45</v>
      </c>
      <c r="B50" s="161">
        <f t="shared" si="3"/>
        <v>45078</v>
      </c>
      <c r="C50" s="193" t="s">
        <v>93</v>
      </c>
      <c r="D50" s="109">
        <v>-112842.86</v>
      </c>
      <c r="E50" s="85"/>
      <c r="F50" s="72"/>
      <c r="G50" s="72"/>
      <c r="H50" s="72"/>
      <c r="I50" s="116"/>
    </row>
    <row r="51" spans="1:9">
      <c r="A51" s="29">
        <f t="shared" si="1"/>
        <v>46</v>
      </c>
      <c r="B51" s="161">
        <f t="shared" si="3"/>
        <v>45108</v>
      </c>
      <c r="C51" s="193" t="s">
        <v>93</v>
      </c>
      <c r="D51" s="109">
        <v>-150145.64000000007</v>
      </c>
      <c r="E51" s="85"/>
      <c r="F51" s="72"/>
      <c r="G51" s="72"/>
      <c r="H51" s="72"/>
      <c r="I51" s="116"/>
    </row>
    <row r="52" spans="1:9">
      <c r="A52" s="29">
        <f t="shared" si="1"/>
        <v>47</v>
      </c>
      <c r="B52" s="161">
        <f t="shared" si="3"/>
        <v>45139</v>
      </c>
      <c r="C52" s="193" t="s">
        <v>93</v>
      </c>
      <c r="D52" s="109">
        <v>-194139.75000000015</v>
      </c>
      <c r="E52" s="85"/>
      <c r="F52" s="72"/>
      <c r="G52" s="72"/>
      <c r="H52" s="72"/>
      <c r="I52" s="116"/>
    </row>
    <row r="53" spans="1:9">
      <c r="A53" s="29">
        <f t="shared" si="1"/>
        <v>48</v>
      </c>
      <c r="B53" s="161">
        <f t="shared" si="3"/>
        <v>45170</v>
      </c>
      <c r="C53" s="193" t="s">
        <v>93</v>
      </c>
      <c r="D53" s="109">
        <v>-122481.40000000008</v>
      </c>
      <c r="E53" s="85"/>
      <c r="F53" s="72"/>
      <c r="G53" s="72"/>
      <c r="H53" s="72"/>
      <c r="I53" s="116"/>
    </row>
    <row r="54" spans="1:9">
      <c r="A54" s="29">
        <f t="shared" si="1"/>
        <v>49</v>
      </c>
      <c r="B54" s="161">
        <f t="shared" si="3"/>
        <v>45200</v>
      </c>
      <c r="C54" s="193" t="s">
        <v>93</v>
      </c>
      <c r="D54" s="109">
        <v>-141488.84999999974</v>
      </c>
      <c r="E54" s="85"/>
      <c r="F54" s="72"/>
      <c r="G54" s="72"/>
      <c r="H54" s="72"/>
      <c r="I54" s="116"/>
    </row>
    <row r="55" spans="1:9">
      <c r="A55" s="29">
        <f t="shared" si="1"/>
        <v>50</v>
      </c>
      <c r="B55" s="161">
        <f t="shared" si="3"/>
        <v>45231</v>
      </c>
      <c r="C55" s="193" t="s">
        <v>93</v>
      </c>
      <c r="D55" s="109">
        <v>-188008.29</v>
      </c>
      <c r="E55" s="85"/>
      <c r="F55" s="72"/>
      <c r="G55" s="72"/>
      <c r="H55" s="72"/>
      <c r="I55" s="116"/>
    </row>
    <row r="56" spans="1:9">
      <c r="A56" s="29">
        <f t="shared" si="1"/>
        <v>51</v>
      </c>
      <c r="B56" s="161">
        <f t="shared" si="3"/>
        <v>45261</v>
      </c>
      <c r="C56" s="193" t="s">
        <v>93</v>
      </c>
      <c r="D56" s="109">
        <v>-134718.8000000001</v>
      </c>
      <c r="E56" s="85"/>
      <c r="F56" s="72"/>
      <c r="G56" s="72"/>
      <c r="H56" s="72"/>
      <c r="I56" s="116"/>
    </row>
    <row r="57" spans="1:9" ht="15" thickBot="1">
      <c r="A57" s="29">
        <f t="shared" si="1"/>
        <v>52</v>
      </c>
      <c r="B57" s="195"/>
      <c r="C57" s="194" t="str">
        <f>$C$31</f>
        <v>Subtotal</v>
      </c>
      <c r="D57" s="164">
        <f>SUM(D45:D56)</f>
        <v>-2994904.9900000035</v>
      </c>
      <c r="E57" s="85"/>
      <c r="F57" s="72"/>
      <c r="G57" s="72"/>
      <c r="H57" s="72"/>
    </row>
    <row r="58" spans="1:9" ht="15" thickTop="1">
      <c r="A58" s="29">
        <f t="shared" si="1"/>
        <v>53</v>
      </c>
      <c r="B58" s="161">
        <f t="shared" ref="B58:B69" si="4">B19</f>
        <v>44927</v>
      </c>
      <c r="C58" s="193" t="s">
        <v>94</v>
      </c>
      <c r="D58" s="109">
        <f>-768.02-67490.23-30678.77</f>
        <v>-98937.02</v>
      </c>
      <c r="E58" s="85"/>
      <c r="F58" s="72"/>
      <c r="G58" s="72"/>
      <c r="H58" s="72"/>
    </row>
    <row r="59" spans="1:9">
      <c r="A59" s="29">
        <f t="shared" si="1"/>
        <v>54</v>
      </c>
      <c r="B59" s="161">
        <f t="shared" si="4"/>
        <v>44958</v>
      </c>
      <c r="C59" s="193" t="s">
        <v>94</v>
      </c>
      <c r="D59" s="109">
        <f>-598.23-53493.2-25580.75</f>
        <v>-79672.179999999993</v>
      </c>
      <c r="E59" s="85"/>
      <c r="F59" s="72"/>
      <c r="G59" s="72"/>
      <c r="H59" s="72"/>
    </row>
    <row r="60" spans="1:9">
      <c r="A60" s="29">
        <f t="shared" si="1"/>
        <v>55</v>
      </c>
      <c r="B60" s="161">
        <f t="shared" si="4"/>
        <v>44986</v>
      </c>
      <c r="C60" s="193" t="s">
        <v>94</v>
      </c>
      <c r="D60" s="109">
        <f>-528.57-75604.82-24641.58</f>
        <v>-100774.97000000002</v>
      </c>
      <c r="E60" s="85"/>
      <c r="F60" s="72"/>
      <c r="G60" s="72"/>
      <c r="H60" s="72"/>
    </row>
    <row r="61" spans="1:9">
      <c r="A61" s="29">
        <f t="shared" si="1"/>
        <v>56</v>
      </c>
      <c r="B61" s="161">
        <f t="shared" si="4"/>
        <v>45017</v>
      </c>
      <c r="C61" s="193" t="s">
        <v>94</v>
      </c>
      <c r="D61" s="109">
        <f>-614.17-70294.89-29865.91</f>
        <v>-100774.97</v>
      </c>
      <c r="E61" s="85"/>
      <c r="F61" s="72"/>
      <c r="G61" s="72"/>
      <c r="H61" s="72"/>
    </row>
    <row r="62" spans="1:9">
      <c r="A62" s="29">
        <f t="shared" si="1"/>
        <v>57</v>
      </c>
      <c r="B62" s="161">
        <f t="shared" si="4"/>
        <v>45047</v>
      </c>
      <c r="C62" s="193" t="s">
        <v>94</v>
      </c>
      <c r="D62" s="109">
        <f>-717.77-65738.33-36334.34</f>
        <v>-102790.44</v>
      </c>
      <c r="E62" s="85"/>
      <c r="F62" s="72"/>
      <c r="G62" s="72"/>
      <c r="H62" s="72"/>
    </row>
    <row r="63" spans="1:9">
      <c r="A63" s="29">
        <f t="shared" si="1"/>
        <v>58</v>
      </c>
      <c r="B63" s="161">
        <f t="shared" si="4"/>
        <v>45078</v>
      </c>
      <c r="C63" s="193" t="s">
        <v>94</v>
      </c>
      <c r="D63" s="109">
        <f>-753.55-65658.05-36378.84</f>
        <v>-102790.44</v>
      </c>
      <c r="E63" s="85"/>
      <c r="F63" s="72"/>
      <c r="G63" s="72"/>
      <c r="H63" s="72"/>
    </row>
    <row r="64" spans="1:9">
      <c r="A64" s="29">
        <f t="shared" si="1"/>
        <v>59</v>
      </c>
      <c r="B64" s="161">
        <f t="shared" si="4"/>
        <v>45108</v>
      </c>
      <c r="C64" s="193" t="s">
        <v>94</v>
      </c>
      <c r="D64" s="109">
        <f>-727.76-66369.04-35693.67</f>
        <v>-102790.46999999999</v>
      </c>
      <c r="E64" s="85"/>
      <c r="F64" s="72"/>
      <c r="G64" s="72"/>
      <c r="H64" s="72"/>
    </row>
    <row r="65" spans="1:8">
      <c r="A65" s="29">
        <f t="shared" si="1"/>
        <v>60</v>
      </c>
      <c r="B65" s="161">
        <f t="shared" si="4"/>
        <v>45139</v>
      </c>
      <c r="C65" s="193" t="s">
        <v>94</v>
      </c>
      <c r="D65" s="109">
        <f>-720.5-66936.41-35133.54</f>
        <v>-102790.45000000001</v>
      </c>
      <c r="E65" s="85"/>
      <c r="F65" s="72"/>
      <c r="G65" s="72"/>
      <c r="H65" s="72"/>
    </row>
    <row r="66" spans="1:8">
      <c r="A66" s="29">
        <f t="shared" si="1"/>
        <v>61</v>
      </c>
      <c r="B66" s="161">
        <f t="shared" si="4"/>
        <v>45170</v>
      </c>
      <c r="C66" s="193" t="s">
        <v>94</v>
      </c>
      <c r="D66" s="109">
        <f>-715.45-67665.59-34409.42</f>
        <v>-102790.45999999999</v>
      </c>
      <c r="E66" s="85"/>
      <c r="F66" s="72"/>
      <c r="G66" s="72"/>
      <c r="H66" s="72"/>
    </row>
    <row r="67" spans="1:8">
      <c r="A67" s="29">
        <f t="shared" si="1"/>
        <v>62</v>
      </c>
      <c r="B67" s="161">
        <f t="shared" si="4"/>
        <v>45200</v>
      </c>
      <c r="C67" s="193" t="s">
        <v>94</v>
      </c>
      <c r="D67" s="109">
        <f>-711.04-68408.42-33671</f>
        <v>-102790.45999999999</v>
      </c>
      <c r="E67" s="85"/>
      <c r="F67" s="72"/>
      <c r="G67" s="72"/>
      <c r="H67" s="72"/>
    </row>
    <row r="68" spans="1:8">
      <c r="A68" s="29">
        <f t="shared" si="1"/>
        <v>63</v>
      </c>
      <c r="B68" s="161">
        <f t="shared" si="4"/>
        <v>45231</v>
      </c>
      <c r="C68" s="193" t="s">
        <v>94</v>
      </c>
      <c r="D68" s="109">
        <f>-732.05-68522.53-33535.87</f>
        <v>-102790.45000000001</v>
      </c>
      <c r="E68" s="85"/>
      <c r="F68" s="72"/>
      <c r="G68" s="72"/>
      <c r="H68" s="72"/>
    </row>
    <row r="69" spans="1:8">
      <c r="A69" s="29">
        <f t="shared" si="1"/>
        <v>64</v>
      </c>
      <c r="B69" s="161">
        <f t="shared" si="4"/>
        <v>45261</v>
      </c>
      <c r="C69" s="193" t="s">
        <v>94</v>
      </c>
      <c r="D69" s="109">
        <f>-719.19-68769.42-33057.62</f>
        <v>-102546.23000000001</v>
      </c>
      <c r="E69" s="85"/>
      <c r="F69" s="72"/>
      <c r="G69" s="72"/>
      <c r="H69" s="72"/>
    </row>
    <row r="70" spans="1:8" ht="15" thickBot="1">
      <c r="A70" s="29">
        <f t="shared" si="1"/>
        <v>65</v>
      </c>
      <c r="B70" s="195"/>
      <c r="C70" s="194" t="str">
        <f>$C$31</f>
        <v>Subtotal</v>
      </c>
      <c r="D70" s="164">
        <f>SUM(D58:D69)</f>
        <v>-1202238.5399999998</v>
      </c>
      <c r="E70" s="85"/>
      <c r="F70" s="72"/>
      <c r="G70" s="72"/>
      <c r="H70" s="72"/>
    </row>
    <row r="71" spans="1:8" ht="15" thickTop="1">
      <c r="A71" s="29">
        <f t="shared" si="1"/>
        <v>66</v>
      </c>
      <c r="B71" s="161">
        <f t="shared" ref="B71:B82" si="5">B19</f>
        <v>44927</v>
      </c>
      <c r="C71" s="193" t="s">
        <v>95</v>
      </c>
      <c r="D71" s="123">
        <v>-353.32</v>
      </c>
      <c r="E71" s="85"/>
      <c r="F71" s="72"/>
      <c r="G71" s="72"/>
      <c r="H71" s="72"/>
    </row>
    <row r="72" spans="1:8">
      <c r="A72" s="29">
        <f t="shared" ref="A72:A126" si="6">A71+1</f>
        <v>67</v>
      </c>
      <c r="B72" s="161">
        <f t="shared" si="5"/>
        <v>44958</v>
      </c>
      <c r="C72" s="193" t="s">
        <v>95</v>
      </c>
      <c r="D72" s="123">
        <v>-353.32</v>
      </c>
      <c r="E72" s="85"/>
      <c r="F72" s="72"/>
      <c r="G72" s="72"/>
      <c r="H72" s="72"/>
    </row>
    <row r="73" spans="1:8">
      <c r="A73" s="29">
        <f t="shared" si="6"/>
        <v>68</v>
      </c>
      <c r="B73" s="161">
        <f t="shared" si="5"/>
        <v>44986</v>
      </c>
      <c r="C73" s="193" t="s">
        <v>95</v>
      </c>
      <c r="D73" s="123">
        <v>-353.32</v>
      </c>
      <c r="E73" s="85"/>
      <c r="F73" s="72"/>
      <c r="G73" s="72"/>
      <c r="H73" s="72"/>
    </row>
    <row r="74" spans="1:8">
      <c r="A74" s="29">
        <f t="shared" si="6"/>
        <v>69</v>
      </c>
      <c r="B74" s="161">
        <f t="shared" si="5"/>
        <v>45017</v>
      </c>
      <c r="C74" s="193" t="s">
        <v>95</v>
      </c>
      <c r="D74" s="123">
        <v>-353.32</v>
      </c>
      <c r="E74" s="85"/>
      <c r="F74" s="72"/>
      <c r="G74" s="72"/>
      <c r="H74" s="72"/>
    </row>
    <row r="75" spans="1:8">
      <c r="A75" s="29">
        <f t="shared" si="6"/>
        <v>70</v>
      </c>
      <c r="B75" s="161">
        <f t="shared" si="5"/>
        <v>45047</v>
      </c>
      <c r="C75" s="193" t="s">
        <v>95</v>
      </c>
      <c r="D75" s="123">
        <v>-353.32</v>
      </c>
      <c r="E75" s="85"/>
      <c r="F75" s="72"/>
      <c r="G75" s="72"/>
      <c r="H75" s="72"/>
    </row>
    <row r="76" spans="1:8">
      <c r="A76" s="29">
        <f t="shared" si="6"/>
        <v>71</v>
      </c>
      <c r="B76" s="161">
        <f t="shared" si="5"/>
        <v>45078</v>
      </c>
      <c r="C76" s="193" t="s">
        <v>95</v>
      </c>
      <c r="D76" s="123">
        <v>-353.32</v>
      </c>
      <c r="E76" s="85"/>
      <c r="F76" s="72"/>
      <c r="G76" s="72"/>
      <c r="H76" s="72"/>
    </row>
    <row r="77" spans="1:8">
      <c r="A77" s="29">
        <f t="shared" si="6"/>
        <v>72</v>
      </c>
      <c r="B77" s="161">
        <f t="shared" si="5"/>
        <v>45108</v>
      </c>
      <c r="C77" s="193" t="s">
        <v>95</v>
      </c>
      <c r="D77" s="123">
        <v>-353.32</v>
      </c>
      <c r="E77" s="85"/>
      <c r="F77" s="72"/>
      <c r="G77" s="72"/>
      <c r="H77" s="72"/>
    </row>
    <row r="78" spans="1:8">
      <c r="A78" s="29">
        <f t="shared" si="6"/>
        <v>73</v>
      </c>
      <c r="B78" s="161">
        <f t="shared" si="5"/>
        <v>45139</v>
      </c>
      <c r="C78" s="193" t="s">
        <v>95</v>
      </c>
      <c r="D78" s="123">
        <v>-353.32</v>
      </c>
      <c r="E78" s="85"/>
      <c r="F78" s="72"/>
      <c r="G78" s="72"/>
      <c r="H78" s="72"/>
    </row>
    <row r="79" spans="1:8">
      <c r="A79" s="29">
        <f t="shared" si="6"/>
        <v>74</v>
      </c>
      <c r="B79" s="161">
        <f t="shared" si="5"/>
        <v>45170</v>
      </c>
      <c r="C79" s="193" t="s">
        <v>95</v>
      </c>
      <c r="D79" s="123">
        <v>-353.32</v>
      </c>
      <c r="E79" s="85"/>
      <c r="F79" s="72"/>
      <c r="G79" s="72"/>
      <c r="H79" s="72"/>
    </row>
    <row r="80" spans="1:8">
      <c r="A80" s="29">
        <f t="shared" si="6"/>
        <v>75</v>
      </c>
      <c r="B80" s="161">
        <f t="shared" si="5"/>
        <v>45200</v>
      </c>
      <c r="C80" s="193" t="s">
        <v>95</v>
      </c>
      <c r="D80" s="123">
        <v>-353.32</v>
      </c>
      <c r="E80" s="85"/>
      <c r="F80" s="72"/>
      <c r="G80" s="72"/>
      <c r="H80" s="72"/>
    </row>
    <row r="81" spans="1:8">
      <c r="A81" s="29">
        <f t="shared" si="6"/>
        <v>76</v>
      </c>
      <c r="B81" s="161">
        <f t="shared" si="5"/>
        <v>45231</v>
      </c>
      <c r="C81" s="193" t="s">
        <v>95</v>
      </c>
      <c r="D81" s="123">
        <v>-353.32</v>
      </c>
      <c r="E81" s="85"/>
      <c r="F81" s="72"/>
      <c r="G81" s="72"/>
      <c r="H81" s="72"/>
    </row>
    <row r="82" spans="1:8">
      <c r="A82" s="29">
        <f t="shared" si="6"/>
        <v>77</v>
      </c>
      <c r="B82" s="161">
        <f t="shared" si="5"/>
        <v>45261</v>
      </c>
      <c r="C82" s="193" t="s">
        <v>95</v>
      </c>
      <c r="D82" s="123">
        <v>-353.32</v>
      </c>
      <c r="E82" s="85"/>
      <c r="F82" s="72"/>
      <c r="G82" s="72"/>
      <c r="H82" s="72"/>
    </row>
    <row r="83" spans="1:8" ht="15" thickBot="1">
      <c r="A83" s="29">
        <f t="shared" si="6"/>
        <v>78</v>
      </c>
      <c r="B83" s="195"/>
      <c r="C83" s="194" t="str">
        <f>$C$31</f>
        <v>Subtotal</v>
      </c>
      <c r="D83" s="143">
        <f>SUM(D71:D82)</f>
        <v>-4239.8400000000011</v>
      </c>
      <c r="E83" s="85"/>
      <c r="F83" s="72"/>
      <c r="G83" s="72"/>
      <c r="H83" s="72"/>
    </row>
    <row r="84" spans="1:8" ht="15" thickTop="1">
      <c r="A84" s="29">
        <f t="shared" si="6"/>
        <v>79</v>
      </c>
      <c r="B84" s="162">
        <f t="shared" ref="B84:B94" si="7">B20</f>
        <v>44958</v>
      </c>
      <c r="C84" s="193" t="s">
        <v>96</v>
      </c>
      <c r="D84" s="123">
        <f>-916001.78-91817.39</f>
        <v>-1007819.17</v>
      </c>
      <c r="E84" s="85"/>
      <c r="F84" s="72"/>
      <c r="G84" s="72"/>
      <c r="H84" s="72"/>
    </row>
    <row r="85" spans="1:8">
      <c r="A85" s="29">
        <f t="shared" si="6"/>
        <v>80</v>
      </c>
      <c r="B85" s="162">
        <f t="shared" si="7"/>
        <v>44986</v>
      </c>
      <c r="C85" s="193" t="s">
        <v>96</v>
      </c>
      <c r="D85" s="123">
        <f>-874100.65-72605.24</f>
        <v>-946705.89</v>
      </c>
      <c r="E85" s="85"/>
      <c r="F85" s="72"/>
      <c r="G85" s="72"/>
      <c r="H85" s="72"/>
    </row>
    <row r="86" spans="1:8">
      <c r="A86" s="29">
        <f t="shared" si="6"/>
        <v>81</v>
      </c>
      <c r="B86" s="162">
        <f t="shared" si="7"/>
        <v>45017</v>
      </c>
      <c r="C86" s="193" t="s">
        <v>96</v>
      </c>
      <c r="D86" s="123">
        <f>-848555.67-82433.81</f>
        <v>-930989.48</v>
      </c>
      <c r="E86" s="85"/>
      <c r="F86" s="72"/>
      <c r="G86" s="72"/>
      <c r="H86" s="72"/>
    </row>
    <row r="87" spans="1:8">
      <c r="A87" s="29">
        <f t="shared" si="6"/>
        <v>82</v>
      </c>
      <c r="B87" s="162">
        <f t="shared" si="7"/>
        <v>45047</v>
      </c>
      <c r="C87" s="193" t="s">
        <v>96</v>
      </c>
      <c r="D87" s="123">
        <f>-816205.74-46939.13</f>
        <v>-863144.87</v>
      </c>
      <c r="E87" s="85"/>
      <c r="F87" s="72"/>
      <c r="G87" s="72"/>
      <c r="H87" s="72"/>
    </row>
    <row r="88" spans="1:8">
      <c r="A88" s="29">
        <f t="shared" si="6"/>
        <v>83</v>
      </c>
      <c r="B88" s="162">
        <f t="shared" si="7"/>
        <v>45078</v>
      </c>
      <c r="C88" s="193" t="s">
        <v>96</v>
      </c>
      <c r="D88" s="123">
        <f>-784583.07-54998.02</f>
        <v>-839581.09</v>
      </c>
      <c r="E88" s="85"/>
      <c r="F88" s="72"/>
      <c r="G88" s="72"/>
      <c r="H88" s="72"/>
    </row>
    <row r="89" spans="1:8">
      <c r="A89" s="29">
        <f t="shared" si="6"/>
        <v>84</v>
      </c>
      <c r="B89" s="162">
        <f t="shared" si="7"/>
        <v>45108</v>
      </c>
      <c r="C89" s="193" t="s">
        <v>96</v>
      </c>
      <c r="D89" s="123">
        <f>-842689.75-70564.77</f>
        <v>-913254.52</v>
      </c>
      <c r="E89" s="85"/>
      <c r="F89" s="72"/>
      <c r="G89" s="72"/>
      <c r="H89" s="72"/>
    </row>
    <row r="90" spans="1:8">
      <c r="A90" s="29">
        <f t="shared" si="6"/>
        <v>85</v>
      </c>
      <c r="B90" s="162">
        <f t="shared" si="7"/>
        <v>45139</v>
      </c>
      <c r="C90" s="193" t="s">
        <v>96</v>
      </c>
      <c r="D90" s="123">
        <f>-897248.55-77361.14</f>
        <v>-974609.69000000006</v>
      </c>
      <c r="E90" s="85"/>
      <c r="F90" s="72"/>
      <c r="G90" s="72"/>
      <c r="H90" s="72"/>
    </row>
    <row r="91" spans="1:8">
      <c r="A91" s="29">
        <f t="shared" si="6"/>
        <v>86</v>
      </c>
      <c r="B91" s="162">
        <f t="shared" si="7"/>
        <v>45170</v>
      </c>
      <c r="C91" s="193" t="s">
        <v>96</v>
      </c>
      <c r="D91" s="123">
        <f>-882475.95-71380.63</f>
        <v>-953856.58</v>
      </c>
      <c r="E91" s="85"/>
      <c r="F91" s="72"/>
      <c r="G91" s="72"/>
      <c r="H91" s="72"/>
    </row>
    <row r="92" spans="1:8">
      <c r="A92" s="29">
        <f t="shared" si="6"/>
        <v>87</v>
      </c>
      <c r="B92" s="162">
        <f t="shared" si="7"/>
        <v>45200</v>
      </c>
      <c r="C92" s="193" t="s">
        <v>96</v>
      </c>
      <c r="D92" s="123">
        <f>-867389.31-64183.54</f>
        <v>-931572.85000000009</v>
      </c>
      <c r="E92" s="85"/>
      <c r="F92" s="72"/>
      <c r="G92" s="72"/>
      <c r="H92" s="72"/>
    </row>
    <row r="93" spans="1:8">
      <c r="A93" s="29">
        <f t="shared" si="6"/>
        <v>88</v>
      </c>
      <c r="B93" s="162">
        <f t="shared" si="7"/>
        <v>45231</v>
      </c>
      <c r="C93" s="193" t="s">
        <v>96</v>
      </c>
      <c r="D93" s="123">
        <f>-846357.24-64618.75</f>
        <v>-910975.99</v>
      </c>
      <c r="E93" s="85"/>
      <c r="F93" s="72"/>
      <c r="G93" s="72"/>
      <c r="H93" s="72"/>
    </row>
    <row r="94" spans="1:8">
      <c r="A94" s="29">
        <f t="shared" si="6"/>
        <v>89</v>
      </c>
      <c r="B94" s="162">
        <f t="shared" si="7"/>
        <v>45261</v>
      </c>
      <c r="C94" s="193" t="s">
        <v>96</v>
      </c>
      <c r="D94" s="123">
        <f>-866100.27-60543.53</f>
        <v>-926643.8</v>
      </c>
      <c r="E94" s="85"/>
      <c r="F94" s="72"/>
      <c r="G94" s="72"/>
      <c r="H94" s="72"/>
    </row>
    <row r="95" spans="1:8">
      <c r="A95" s="29">
        <f t="shared" si="6"/>
        <v>90</v>
      </c>
      <c r="B95" s="162">
        <v>45292</v>
      </c>
      <c r="C95" s="193" t="s">
        <v>96</v>
      </c>
      <c r="D95" s="123">
        <f>-874112.96-74701.44</f>
        <v>-948814.39999999991</v>
      </c>
      <c r="E95" s="85"/>
      <c r="F95" s="72"/>
      <c r="G95" s="72"/>
      <c r="H95" s="72"/>
    </row>
    <row r="96" spans="1:8" ht="15" thickBot="1">
      <c r="A96" s="29">
        <f t="shared" si="6"/>
        <v>91</v>
      </c>
      <c r="B96" s="160"/>
      <c r="C96" s="194" t="str">
        <f>$C$31</f>
        <v>Subtotal</v>
      </c>
      <c r="D96" s="143">
        <f>SUM(D84:D95)</f>
        <v>-11147968.330000002</v>
      </c>
      <c r="E96" s="85"/>
      <c r="F96" s="72"/>
      <c r="G96" s="72"/>
      <c r="H96" s="72"/>
    </row>
    <row r="97" spans="1:10" ht="15" thickTop="1">
      <c r="A97" s="29">
        <f t="shared" si="6"/>
        <v>92</v>
      </c>
      <c r="B97" s="161">
        <f t="shared" ref="B97:B107" si="8">B20</f>
        <v>44958</v>
      </c>
      <c r="C97" s="193" t="s">
        <v>97</v>
      </c>
      <c r="D97" s="430">
        <v>0</v>
      </c>
      <c r="E97" s="85"/>
      <c r="F97" s="72"/>
      <c r="G97" s="72"/>
      <c r="H97" s="72"/>
    </row>
    <row r="98" spans="1:10">
      <c r="A98" s="29">
        <f t="shared" si="6"/>
        <v>93</v>
      </c>
      <c r="B98" s="161">
        <f t="shared" si="8"/>
        <v>44986</v>
      </c>
      <c r="C98" s="193" t="s">
        <v>97</v>
      </c>
      <c r="D98" s="109">
        <v>0</v>
      </c>
      <c r="E98" s="85"/>
      <c r="F98" s="72"/>
      <c r="G98" s="72"/>
      <c r="H98" s="72"/>
    </row>
    <row r="99" spans="1:10">
      <c r="A99" s="29">
        <f t="shared" si="6"/>
        <v>94</v>
      </c>
      <c r="B99" s="161">
        <f t="shared" si="8"/>
        <v>45017</v>
      </c>
      <c r="C99" s="193" t="s">
        <v>97</v>
      </c>
      <c r="D99" s="109">
        <v>0</v>
      </c>
      <c r="E99" s="85"/>
      <c r="F99" s="72"/>
      <c r="G99" s="72"/>
      <c r="H99" s="72"/>
    </row>
    <row r="100" spans="1:10">
      <c r="A100" s="29">
        <f t="shared" si="6"/>
        <v>95</v>
      </c>
      <c r="B100" s="161">
        <f t="shared" si="8"/>
        <v>45047</v>
      </c>
      <c r="C100" s="193" t="s">
        <v>97</v>
      </c>
      <c r="D100" s="109">
        <v>0</v>
      </c>
      <c r="E100" s="85"/>
      <c r="F100" s="72"/>
      <c r="G100" s="72"/>
      <c r="H100" s="72"/>
    </row>
    <row r="101" spans="1:10">
      <c r="A101" s="29">
        <f t="shared" si="6"/>
        <v>96</v>
      </c>
      <c r="B101" s="161">
        <f t="shared" si="8"/>
        <v>45078</v>
      </c>
      <c r="C101" s="193" t="s">
        <v>97</v>
      </c>
      <c r="D101" s="109">
        <v>0</v>
      </c>
      <c r="E101" s="85"/>
      <c r="F101" s="72"/>
      <c r="G101" s="72"/>
      <c r="H101" s="72"/>
    </row>
    <row r="102" spans="1:10">
      <c r="A102" s="29">
        <f t="shared" si="6"/>
        <v>97</v>
      </c>
      <c r="B102" s="161">
        <f t="shared" si="8"/>
        <v>45108</v>
      </c>
      <c r="C102" s="193" t="s">
        <v>97</v>
      </c>
      <c r="D102" s="109">
        <v>0</v>
      </c>
      <c r="E102" s="85"/>
      <c r="F102" s="72"/>
      <c r="G102" s="72"/>
      <c r="H102" s="72"/>
    </row>
    <row r="103" spans="1:10">
      <c r="A103" s="29">
        <f t="shared" si="6"/>
        <v>98</v>
      </c>
      <c r="B103" s="161">
        <f t="shared" si="8"/>
        <v>45139</v>
      </c>
      <c r="C103" s="193" t="s">
        <v>97</v>
      </c>
      <c r="D103" s="109">
        <v>0</v>
      </c>
      <c r="E103" s="85"/>
      <c r="F103" s="72"/>
      <c r="G103" s="72"/>
      <c r="H103" s="72"/>
    </row>
    <row r="104" spans="1:10">
      <c r="A104" s="29">
        <f t="shared" si="6"/>
        <v>99</v>
      </c>
      <c r="B104" s="161">
        <f t="shared" si="8"/>
        <v>45170</v>
      </c>
      <c r="C104" s="193" t="s">
        <v>97</v>
      </c>
      <c r="D104" s="109">
        <v>0</v>
      </c>
      <c r="E104" s="85"/>
      <c r="F104" s="72"/>
      <c r="G104" s="72"/>
      <c r="H104" s="72"/>
    </row>
    <row r="105" spans="1:10">
      <c r="A105" s="29">
        <f t="shared" si="6"/>
        <v>100</v>
      </c>
      <c r="B105" s="161">
        <f t="shared" si="8"/>
        <v>45200</v>
      </c>
      <c r="C105" s="193" t="s">
        <v>97</v>
      </c>
      <c r="D105" s="109">
        <v>0</v>
      </c>
      <c r="E105" s="85"/>
      <c r="F105" s="72"/>
      <c r="G105" s="72"/>
      <c r="H105" s="72"/>
    </row>
    <row r="106" spans="1:10">
      <c r="A106" s="29">
        <f t="shared" si="6"/>
        <v>101</v>
      </c>
      <c r="B106" s="161">
        <f t="shared" si="8"/>
        <v>45231</v>
      </c>
      <c r="C106" s="193" t="s">
        <v>97</v>
      </c>
      <c r="D106" s="109">
        <v>0</v>
      </c>
      <c r="E106" s="85"/>
      <c r="F106" s="72"/>
      <c r="G106" s="72"/>
      <c r="H106" s="72"/>
    </row>
    <row r="107" spans="1:10">
      <c r="A107" s="29">
        <f t="shared" si="6"/>
        <v>102</v>
      </c>
      <c r="B107" s="161">
        <f t="shared" si="8"/>
        <v>45261</v>
      </c>
      <c r="C107" s="193" t="s">
        <v>97</v>
      </c>
      <c r="D107" s="109">
        <v>0</v>
      </c>
      <c r="E107" s="85"/>
      <c r="F107" s="72"/>
      <c r="G107" s="72"/>
      <c r="H107" s="72"/>
    </row>
    <row r="108" spans="1:10">
      <c r="A108" s="29">
        <f t="shared" si="6"/>
        <v>103</v>
      </c>
      <c r="B108" s="161">
        <f>B95</f>
        <v>45292</v>
      </c>
      <c r="C108" s="193" t="s">
        <v>97</v>
      </c>
      <c r="D108" s="109">
        <v>0</v>
      </c>
      <c r="E108" s="85"/>
      <c r="F108" s="72"/>
      <c r="G108" s="72"/>
      <c r="H108" s="72"/>
    </row>
    <row r="109" spans="1:10" ht="15" thickBot="1">
      <c r="A109" s="29">
        <f t="shared" si="6"/>
        <v>104</v>
      </c>
      <c r="B109" s="160"/>
      <c r="C109" s="194" t="str">
        <f>$C$31</f>
        <v>Subtotal</v>
      </c>
      <c r="D109" s="143">
        <f>SUM(D97:D108)</f>
        <v>0</v>
      </c>
      <c r="E109" s="85"/>
      <c r="F109" s="72"/>
      <c r="G109" s="72"/>
      <c r="H109" s="72"/>
      <c r="I109" s="72"/>
      <c r="J109" s="118"/>
    </row>
    <row r="110" spans="1:10" ht="15" thickTop="1">
      <c r="A110" s="29"/>
      <c r="B110" s="29"/>
      <c r="C110" s="193"/>
      <c r="D110" s="123"/>
      <c r="E110" s="85"/>
      <c r="F110" s="72"/>
      <c r="G110" s="72"/>
      <c r="H110" s="72"/>
      <c r="I110" s="72"/>
      <c r="J110" s="118"/>
    </row>
    <row r="111" spans="1:10">
      <c r="A111" s="29"/>
      <c r="B111" s="29"/>
      <c r="C111" s="193"/>
      <c r="D111" s="123"/>
      <c r="E111" s="85"/>
      <c r="F111" s="72"/>
      <c r="G111" s="72"/>
      <c r="H111" s="72"/>
      <c r="I111" s="72"/>
      <c r="J111" s="118"/>
    </row>
    <row r="112" spans="1:10">
      <c r="A112" s="158" t="s">
        <v>40</v>
      </c>
      <c r="B112" s="84" t="s">
        <v>86</v>
      </c>
      <c r="C112" s="84" t="s">
        <v>87</v>
      </c>
      <c r="D112" s="84" t="s">
        <v>2327</v>
      </c>
      <c r="E112" s="84" t="s">
        <v>2328</v>
      </c>
      <c r="F112" s="72"/>
      <c r="G112" s="72"/>
      <c r="H112" s="72"/>
      <c r="I112" s="72"/>
      <c r="J112" s="118"/>
    </row>
    <row r="113" spans="1:10">
      <c r="A113" s="365" t="s">
        <v>46</v>
      </c>
      <c r="B113" s="365" t="s">
        <v>41</v>
      </c>
      <c r="C113" s="366">
        <v>-2</v>
      </c>
      <c r="D113" s="366">
        <v>-3</v>
      </c>
      <c r="E113" s="366">
        <v>-4</v>
      </c>
      <c r="F113" s="72"/>
      <c r="G113" s="72"/>
      <c r="H113" s="72"/>
      <c r="I113" s="72"/>
      <c r="J113" s="118"/>
    </row>
    <row r="114" spans="1:10">
      <c r="A114" s="29">
        <f>A109+1</f>
        <v>105</v>
      </c>
      <c r="B114" s="161">
        <f t="shared" ref="B114:B124" si="9">B33</f>
        <v>44958</v>
      </c>
      <c r="C114" s="193" t="s">
        <v>98</v>
      </c>
      <c r="D114" s="163">
        <v>-43614.9</v>
      </c>
      <c r="E114" s="123">
        <v>0</v>
      </c>
      <c r="F114" s="72"/>
      <c r="G114" s="72"/>
      <c r="H114" s="72"/>
      <c r="I114" s="116"/>
      <c r="J114" s="117"/>
    </row>
    <row r="115" spans="1:10">
      <c r="A115" s="29">
        <f t="shared" si="6"/>
        <v>106</v>
      </c>
      <c r="B115" s="161">
        <f t="shared" si="9"/>
        <v>44986</v>
      </c>
      <c r="C115" s="193" t="s">
        <v>98</v>
      </c>
      <c r="D115" s="109">
        <v>-43614.909999999996</v>
      </c>
      <c r="E115" s="123">
        <v>0</v>
      </c>
      <c r="F115" s="72"/>
      <c r="G115" s="72"/>
      <c r="H115" s="72"/>
      <c r="I115" s="116"/>
    </row>
    <row r="116" spans="1:10">
      <c r="A116" s="29">
        <f t="shared" si="6"/>
        <v>107</v>
      </c>
      <c r="B116" s="161">
        <f t="shared" si="9"/>
        <v>45017</v>
      </c>
      <c r="C116" s="193" t="s">
        <v>98</v>
      </c>
      <c r="D116" s="109">
        <v>-43614.909999999996</v>
      </c>
      <c r="E116" s="123">
        <v>0</v>
      </c>
      <c r="F116" s="72"/>
      <c r="G116" s="72"/>
      <c r="H116" s="72"/>
      <c r="I116" s="116"/>
    </row>
    <row r="117" spans="1:10">
      <c r="A117" s="29">
        <f t="shared" si="6"/>
        <v>108</v>
      </c>
      <c r="B117" s="161">
        <f t="shared" si="9"/>
        <v>45047</v>
      </c>
      <c r="C117" s="193" t="s">
        <v>98</v>
      </c>
      <c r="D117" s="109">
        <v>-43645.82</v>
      </c>
      <c r="E117" s="123">
        <v>0</v>
      </c>
      <c r="F117" s="72"/>
      <c r="G117" s="72"/>
      <c r="H117" s="72"/>
      <c r="I117" s="116"/>
    </row>
    <row r="118" spans="1:10">
      <c r="A118" s="29">
        <f t="shared" si="6"/>
        <v>109</v>
      </c>
      <c r="B118" s="161">
        <f t="shared" si="9"/>
        <v>45078</v>
      </c>
      <c r="C118" s="193" t="s">
        <v>98</v>
      </c>
      <c r="D118" s="109">
        <v>-43645.82</v>
      </c>
      <c r="E118" s="123">
        <v>0</v>
      </c>
      <c r="F118" s="72"/>
      <c r="G118" s="72"/>
      <c r="H118" s="72"/>
      <c r="I118" s="116"/>
    </row>
    <row r="119" spans="1:10">
      <c r="A119" s="29">
        <f t="shared" si="6"/>
        <v>110</v>
      </c>
      <c r="B119" s="161">
        <f t="shared" si="9"/>
        <v>45108</v>
      </c>
      <c r="C119" s="193" t="s">
        <v>98</v>
      </c>
      <c r="D119" s="109">
        <v>-43646.1</v>
      </c>
      <c r="E119" s="123">
        <v>0</v>
      </c>
      <c r="F119" s="72"/>
      <c r="G119" s="72"/>
      <c r="H119" s="72"/>
      <c r="I119" s="116"/>
    </row>
    <row r="120" spans="1:10">
      <c r="A120" s="29">
        <f t="shared" si="6"/>
        <v>111</v>
      </c>
      <c r="B120" s="161">
        <f t="shared" si="9"/>
        <v>45139</v>
      </c>
      <c r="C120" s="193" t="s">
        <v>98</v>
      </c>
      <c r="D120" s="109">
        <v>-43645.520000000004</v>
      </c>
      <c r="E120" s="123">
        <v>0</v>
      </c>
      <c r="F120" s="72"/>
      <c r="G120" s="72"/>
      <c r="H120" s="72"/>
      <c r="I120" s="116"/>
    </row>
    <row r="121" spans="1:10">
      <c r="A121" s="29">
        <f t="shared" si="6"/>
        <v>112</v>
      </c>
      <c r="B121" s="161">
        <f t="shared" si="9"/>
        <v>45170</v>
      </c>
      <c r="C121" s="193" t="s">
        <v>98</v>
      </c>
      <c r="D121" s="109">
        <v>-43645.520000000004</v>
      </c>
      <c r="E121" s="123">
        <v>0</v>
      </c>
      <c r="F121" s="72"/>
      <c r="G121" s="72"/>
      <c r="H121" s="72"/>
      <c r="I121" s="116"/>
      <c r="J121" s="117"/>
    </row>
    <row r="122" spans="1:10">
      <c r="A122" s="29">
        <f t="shared" si="6"/>
        <v>113</v>
      </c>
      <c r="B122" s="161">
        <f t="shared" si="9"/>
        <v>45200</v>
      </c>
      <c r="C122" s="193" t="s">
        <v>98</v>
      </c>
      <c r="D122" s="109">
        <v>-43655.18</v>
      </c>
      <c r="E122" s="123">
        <v>0</v>
      </c>
      <c r="F122" s="72"/>
      <c r="G122" s="72"/>
      <c r="H122" s="72"/>
      <c r="I122" s="116"/>
      <c r="J122" s="117"/>
    </row>
    <row r="123" spans="1:10">
      <c r="A123" s="29">
        <f t="shared" si="6"/>
        <v>114</v>
      </c>
      <c r="B123" s="161">
        <f t="shared" si="9"/>
        <v>45231</v>
      </c>
      <c r="C123" s="193" t="s">
        <v>98</v>
      </c>
      <c r="D123" s="109">
        <v>-43676.53</v>
      </c>
      <c r="E123" s="123">
        <v>0</v>
      </c>
      <c r="F123" s="72"/>
      <c r="G123" s="72"/>
      <c r="H123" s="72"/>
      <c r="I123" s="116"/>
    </row>
    <row r="124" spans="1:10">
      <c r="A124" s="29">
        <f t="shared" si="6"/>
        <v>115</v>
      </c>
      <c r="B124" s="161">
        <f t="shared" si="9"/>
        <v>45261</v>
      </c>
      <c r="C124" s="193" t="s">
        <v>98</v>
      </c>
      <c r="D124" s="109">
        <v>-43676.520000000004</v>
      </c>
      <c r="E124" s="123">
        <v>0</v>
      </c>
      <c r="F124" s="72"/>
      <c r="G124" s="72"/>
      <c r="H124" s="72"/>
      <c r="I124" s="116"/>
    </row>
    <row r="125" spans="1:10">
      <c r="A125" s="29">
        <f t="shared" si="6"/>
        <v>116</v>
      </c>
      <c r="B125" s="161">
        <f>B82</f>
        <v>45261</v>
      </c>
      <c r="C125" s="193" t="s">
        <v>98</v>
      </c>
      <c r="D125" s="109">
        <v>-43676.520000000004</v>
      </c>
      <c r="E125" s="123">
        <v>0</v>
      </c>
      <c r="F125" s="72"/>
      <c r="G125" s="72"/>
      <c r="H125" s="72"/>
      <c r="I125" s="116"/>
    </row>
    <row r="126" spans="1:10" ht="15" thickBot="1">
      <c r="A126" s="29">
        <f t="shared" si="6"/>
        <v>117</v>
      </c>
      <c r="B126" s="160"/>
      <c r="C126" s="194" t="str">
        <f>$C$31</f>
        <v>Subtotal</v>
      </c>
      <c r="D126" s="164">
        <f>SUM(D114:D125)</f>
        <v>-523758.25000000012</v>
      </c>
      <c r="E126" s="164">
        <f>SUM(E114:E125)</f>
        <v>0</v>
      </c>
      <c r="F126" s="72"/>
      <c r="G126" s="72"/>
      <c r="H126" s="72"/>
      <c r="I126" s="72"/>
    </row>
    <row r="127" spans="1:10" ht="15" thickTop="1">
      <c r="A127" s="29">
        <f t="shared" ref="A127:A166" si="10">A126+1</f>
        <v>118</v>
      </c>
      <c r="B127" s="161">
        <f t="shared" ref="B127:B137" si="11">B46</f>
        <v>44958</v>
      </c>
      <c r="C127" s="193" t="s">
        <v>99</v>
      </c>
      <c r="D127" s="109">
        <v>-5116.2700000000186</v>
      </c>
      <c r="E127" s="123">
        <v>0</v>
      </c>
      <c r="F127" s="72"/>
      <c r="G127" s="72"/>
      <c r="H127" s="72"/>
      <c r="I127" s="116"/>
      <c r="J127" s="117"/>
    </row>
    <row r="128" spans="1:10">
      <c r="A128" s="29">
        <f t="shared" si="10"/>
        <v>119</v>
      </c>
      <c r="B128" s="161">
        <f t="shared" si="11"/>
        <v>44986</v>
      </c>
      <c r="C128" s="193" t="s">
        <v>99</v>
      </c>
      <c r="D128" s="109">
        <v>-5259.0400000000582</v>
      </c>
      <c r="E128" s="123">
        <v>0</v>
      </c>
      <c r="F128" s="72"/>
      <c r="G128" s="72"/>
      <c r="H128" s="72"/>
      <c r="I128" s="116"/>
    </row>
    <row r="129" spans="1:12">
      <c r="A129" s="29">
        <f t="shared" si="10"/>
        <v>120</v>
      </c>
      <c r="B129" s="161">
        <f t="shared" si="11"/>
        <v>45017</v>
      </c>
      <c r="C129" s="193" t="s">
        <v>99</v>
      </c>
      <c r="D129" s="109">
        <v>-4170.6300000000383</v>
      </c>
      <c r="E129" s="123">
        <v>0</v>
      </c>
      <c r="F129" s="72"/>
      <c r="G129" s="72"/>
      <c r="H129" s="72"/>
      <c r="I129" s="116"/>
    </row>
    <row r="130" spans="1:12">
      <c r="A130" s="29">
        <f t="shared" si="10"/>
        <v>121</v>
      </c>
      <c r="B130" s="161">
        <f t="shared" si="11"/>
        <v>45047</v>
      </c>
      <c r="C130" s="193" t="s">
        <v>99</v>
      </c>
      <c r="D130" s="109">
        <v>-4713.0600000000195</v>
      </c>
      <c r="E130" s="123">
        <v>0</v>
      </c>
      <c r="F130" s="72"/>
      <c r="G130" s="72"/>
      <c r="H130" s="72"/>
      <c r="I130" s="116"/>
    </row>
    <row r="131" spans="1:12">
      <c r="A131" s="29">
        <f t="shared" si="10"/>
        <v>122</v>
      </c>
      <c r="B131" s="161">
        <f t="shared" si="11"/>
        <v>45078</v>
      </c>
      <c r="C131" s="193" t="s">
        <v>99</v>
      </c>
      <c r="D131" s="109">
        <v>-2540.3400000000161</v>
      </c>
      <c r="E131" s="123">
        <v>0</v>
      </c>
      <c r="F131" s="72"/>
      <c r="G131" s="72"/>
      <c r="H131" s="72"/>
      <c r="I131" s="116"/>
    </row>
    <row r="132" spans="1:12">
      <c r="A132" s="29">
        <f t="shared" si="10"/>
        <v>123</v>
      </c>
      <c r="B132" s="161">
        <f t="shared" si="11"/>
        <v>45108</v>
      </c>
      <c r="C132" s="193" t="s">
        <v>99</v>
      </c>
      <c r="D132" s="109">
        <v>-3043.9799999999991</v>
      </c>
      <c r="E132" s="123">
        <v>0</v>
      </c>
      <c r="F132" s="72"/>
      <c r="G132" s="72"/>
      <c r="H132" s="72"/>
      <c r="I132" s="116"/>
    </row>
    <row r="133" spans="1:12">
      <c r="A133" s="29">
        <f t="shared" si="10"/>
        <v>124</v>
      </c>
      <c r="B133" s="161">
        <f t="shared" si="11"/>
        <v>45139</v>
      </c>
      <c r="C133" s="193" t="s">
        <v>99</v>
      </c>
      <c r="D133" s="109">
        <v>-3808.2300000000419</v>
      </c>
      <c r="E133" s="123">
        <v>0</v>
      </c>
      <c r="F133" s="72"/>
      <c r="G133" s="72"/>
      <c r="H133" s="72"/>
      <c r="I133" s="116"/>
    </row>
    <row r="134" spans="1:12">
      <c r="A134" s="29">
        <f t="shared" si="10"/>
        <v>125</v>
      </c>
      <c r="B134" s="161">
        <f t="shared" si="11"/>
        <v>45170</v>
      </c>
      <c r="C134" s="193" t="s">
        <v>99</v>
      </c>
      <c r="D134" s="109">
        <v>-4240.6600000000735</v>
      </c>
      <c r="E134" s="123">
        <v>0</v>
      </c>
      <c r="F134" s="72"/>
      <c r="G134" s="72"/>
      <c r="H134" s="72"/>
      <c r="I134" s="116"/>
      <c r="J134" s="117"/>
    </row>
    <row r="135" spans="1:12">
      <c r="A135" s="29">
        <f t="shared" si="10"/>
        <v>126</v>
      </c>
      <c r="B135" s="161">
        <f t="shared" si="11"/>
        <v>45200</v>
      </c>
      <c r="C135" s="193" t="s">
        <v>99</v>
      </c>
      <c r="D135" s="109">
        <v>-3814.7699999999945</v>
      </c>
      <c r="E135" s="123">
        <v>0</v>
      </c>
      <c r="F135" s="72"/>
      <c r="G135" s="72"/>
      <c r="H135" s="72"/>
      <c r="I135" s="116"/>
      <c r="J135" s="117"/>
    </row>
    <row r="136" spans="1:12">
      <c r="A136" s="29">
        <f t="shared" si="10"/>
        <v>127</v>
      </c>
      <c r="B136" s="161">
        <f t="shared" si="11"/>
        <v>45231</v>
      </c>
      <c r="C136" s="193" t="s">
        <v>99</v>
      </c>
      <c r="D136" s="109">
        <v>-3517.2400000000603</v>
      </c>
      <c r="E136" s="123">
        <v>0</v>
      </c>
      <c r="F136" s="72"/>
      <c r="G136" s="72"/>
      <c r="H136" s="72"/>
      <c r="I136" s="116"/>
    </row>
    <row r="137" spans="1:12">
      <c r="A137" s="29">
        <f t="shared" si="10"/>
        <v>128</v>
      </c>
      <c r="B137" s="161">
        <f t="shared" si="11"/>
        <v>45261</v>
      </c>
      <c r="C137" s="193" t="s">
        <v>99</v>
      </c>
      <c r="D137" s="109">
        <v>-3548.65</v>
      </c>
      <c r="E137" s="123">
        <v>0</v>
      </c>
      <c r="F137" s="72"/>
      <c r="G137" s="72"/>
      <c r="H137" s="72"/>
      <c r="I137" s="116"/>
    </row>
    <row r="138" spans="1:12">
      <c r="A138" s="29">
        <f t="shared" si="10"/>
        <v>129</v>
      </c>
      <c r="B138" s="161">
        <f>B17</f>
        <v>45292</v>
      </c>
      <c r="C138" s="193" t="s">
        <v>99</v>
      </c>
      <c r="D138" s="109">
        <v>-3250.4900000000266</v>
      </c>
      <c r="E138" s="123">
        <v>0</v>
      </c>
      <c r="F138" s="72"/>
      <c r="G138" s="72"/>
      <c r="H138" s="72"/>
      <c r="I138" s="116"/>
    </row>
    <row r="139" spans="1:12" ht="15" thickBot="1">
      <c r="A139" s="29">
        <f t="shared" si="10"/>
        <v>130</v>
      </c>
      <c r="B139" s="160"/>
      <c r="C139" s="194" t="str">
        <f>$C$31</f>
        <v>Subtotal</v>
      </c>
      <c r="D139" s="447">
        <f>SUM(D127:D138)</f>
        <v>-47023.360000000357</v>
      </c>
      <c r="E139" s="164">
        <f>SUM(E127:E138)</f>
        <v>0</v>
      </c>
      <c r="F139" s="72"/>
      <c r="G139" s="72"/>
      <c r="H139" s="72"/>
      <c r="I139" s="72"/>
      <c r="J139" s="118"/>
    </row>
    <row r="140" spans="1:12" ht="15" thickTop="1">
      <c r="A140" s="29">
        <f t="shared" si="10"/>
        <v>131</v>
      </c>
      <c r="B140" s="161">
        <f t="shared" ref="B140:B150" si="12">B46</f>
        <v>44958</v>
      </c>
      <c r="C140" s="193" t="s">
        <v>100</v>
      </c>
      <c r="D140" s="163">
        <v>-6863.3500000000022</v>
      </c>
      <c r="E140" s="123">
        <v>0</v>
      </c>
      <c r="F140" s="72"/>
      <c r="G140" s="72"/>
      <c r="H140" s="72"/>
      <c r="I140" s="116"/>
      <c r="J140" s="117"/>
      <c r="K140" s="117"/>
      <c r="L140" s="117"/>
    </row>
    <row r="141" spans="1:12">
      <c r="A141" s="29">
        <f t="shared" si="10"/>
        <v>132</v>
      </c>
      <c r="B141" s="161">
        <f t="shared" si="12"/>
        <v>44986</v>
      </c>
      <c r="C141" s="193" t="s">
        <v>100</v>
      </c>
      <c r="D141" s="109">
        <v>-6613.2800000000016</v>
      </c>
      <c r="E141" s="123">
        <v>0</v>
      </c>
      <c r="F141" s="72"/>
      <c r="G141" s="72"/>
      <c r="H141" s="72"/>
      <c r="I141" s="116"/>
      <c r="J141" s="116"/>
      <c r="K141" s="117"/>
      <c r="L141" s="117"/>
    </row>
    <row r="142" spans="1:12">
      <c r="A142" s="29">
        <f t="shared" si="10"/>
        <v>133</v>
      </c>
      <c r="B142" s="161">
        <f t="shared" si="12"/>
        <v>45017</v>
      </c>
      <c r="C142" s="193" t="s">
        <v>100</v>
      </c>
      <c r="D142" s="109">
        <v>-6612.19</v>
      </c>
      <c r="E142" s="123">
        <v>0</v>
      </c>
      <c r="F142" s="72"/>
      <c r="G142" s="72"/>
      <c r="H142" s="72"/>
      <c r="I142" s="116"/>
      <c r="J142" s="116"/>
      <c r="K142" s="117"/>
      <c r="L142" s="117"/>
    </row>
    <row r="143" spans="1:12">
      <c r="A143" s="29">
        <f t="shared" si="10"/>
        <v>134</v>
      </c>
      <c r="B143" s="161">
        <f t="shared" si="12"/>
        <v>45047</v>
      </c>
      <c r="C143" s="193" t="s">
        <v>100</v>
      </c>
      <c r="D143" s="109">
        <v>-6887.78</v>
      </c>
      <c r="E143" s="123">
        <v>0</v>
      </c>
      <c r="F143" s="72"/>
      <c r="G143" s="72"/>
      <c r="H143" s="72"/>
      <c r="I143" s="116"/>
      <c r="J143" s="116"/>
      <c r="K143" s="117"/>
      <c r="L143" s="117"/>
    </row>
    <row r="144" spans="1:12">
      <c r="A144" s="29">
        <f t="shared" si="10"/>
        <v>135</v>
      </c>
      <c r="B144" s="161">
        <f t="shared" si="12"/>
        <v>45078</v>
      </c>
      <c r="C144" s="193" t="s">
        <v>100</v>
      </c>
      <c r="D144" s="109">
        <v>-6613.9100000000044</v>
      </c>
      <c r="E144" s="123">
        <v>0</v>
      </c>
      <c r="F144" s="72"/>
      <c r="G144" s="72"/>
      <c r="H144" s="72"/>
      <c r="I144" s="116"/>
      <c r="J144" s="116"/>
      <c r="K144" s="117"/>
      <c r="L144" s="117"/>
    </row>
    <row r="145" spans="1:12">
      <c r="A145" s="29">
        <f t="shared" si="10"/>
        <v>136</v>
      </c>
      <c r="B145" s="161">
        <f t="shared" si="12"/>
        <v>45108</v>
      </c>
      <c r="C145" s="193" t="s">
        <v>100</v>
      </c>
      <c r="D145" s="109">
        <v>-6617.8100000000031</v>
      </c>
      <c r="E145" s="123">
        <v>0</v>
      </c>
      <c r="F145" s="72"/>
      <c r="G145" s="72"/>
      <c r="H145" s="72"/>
      <c r="I145" s="116"/>
      <c r="J145" s="116"/>
      <c r="K145" s="117"/>
      <c r="L145" s="117"/>
    </row>
    <row r="146" spans="1:12">
      <c r="A146" s="29">
        <f t="shared" si="10"/>
        <v>137</v>
      </c>
      <c r="B146" s="161">
        <f t="shared" si="12"/>
        <v>45139</v>
      </c>
      <c r="C146" s="193" t="s">
        <v>100</v>
      </c>
      <c r="D146" s="109">
        <v>-6736.2300000000005</v>
      </c>
      <c r="E146" s="123">
        <v>0</v>
      </c>
      <c r="F146" s="72"/>
      <c r="G146" s="72"/>
      <c r="H146" s="72"/>
      <c r="I146" s="116"/>
      <c r="J146" s="116"/>
      <c r="K146" s="117"/>
      <c r="L146" s="117"/>
    </row>
    <row r="147" spans="1:12">
      <c r="A147" s="29">
        <f t="shared" si="10"/>
        <v>138</v>
      </c>
      <c r="B147" s="161">
        <f t="shared" si="12"/>
        <v>45170</v>
      </c>
      <c r="C147" s="193" t="s">
        <v>100</v>
      </c>
      <c r="D147" s="109">
        <v>-6633.0500000000047</v>
      </c>
      <c r="E147" s="123">
        <v>0</v>
      </c>
      <c r="F147" s="72"/>
      <c r="G147" s="72"/>
      <c r="H147" s="72"/>
      <c r="I147" s="116"/>
      <c r="J147" s="117"/>
      <c r="K147" s="117"/>
      <c r="L147" s="117"/>
    </row>
    <row r="148" spans="1:12">
      <c r="A148" s="29">
        <f t="shared" si="10"/>
        <v>139</v>
      </c>
      <c r="B148" s="161">
        <f t="shared" si="12"/>
        <v>45200</v>
      </c>
      <c r="C148" s="193" t="s">
        <v>100</v>
      </c>
      <c r="D148" s="109">
        <v>-6633.2200000000039</v>
      </c>
      <c r="E148" s="123">
        <v>0</v>
      </c>
      <c r="F148" s="72"/>
      <c r="G148" s="72"/>
      <c r="H148" s="72"/>
      <c r="I148" s="116"/>
      <c r="J148" s="117"/>
      <c r="K148" s="117"/>
      <c r="L148" s="117"/>
    </row>
    <row r="149" spans="1:12">
      <c r="A149" s="29">
        <f t="shared" si="10"/>
        <v>140</v>
      </c>
      <c r="B149" s="161">
        <f t="shared" si="12"/>
        <v>45231</v>
      </c>
      <c r="C149" s="193" t="s">
        <v>100</v>
      </c>
      <c r="D149" s="109">
        <v>-6642.7</v>
      </c>
      <c r="E149" s="123">
        <v>0</v>
      </c>
      <c r="F149" s="72"/>
      <c r="G149" s="72"/>
      <c r="H149" s="72"/>
      <c r="I149" s="116"/>
      <c r="J149" s="116"/>
      <c r="K149" s="117"/>
      <c r="L149" s="117"/>
    </row>
    <row r="150" spans="1:12">
      <c r="A150" s="29">
        <f t="shared" si="10"/>
        <v>141</v>
      </c>
      <c r="B150" s="161">
        <f t="shared" si="12"/>
        <v>45261</v>
      </c>
      <c r="C150" s="193" t="s">
        <v>100</v>
      </c>
      <c r="D150" s="109">
        <v>-6635.8300000000017</v>
      </c>
      <c r="E150" s="123">
        <v>0</v>
      </c>
      <c r="F150" s="72"/>
      <c r="G150" s="72"/>
      <c r="H150" s="72"/>
      <c r="I150" s="116"/>
      <c r="K150" s="117"/>
      <c r="L150" s="117"/>
    </row>
    <row r="151" spans="1:12">
      <c r="A151" s="29">
        <f t="shared" si="10"/>
        <v>142</v>
      </c>
      <c r="B151" s="161">
        <f>B17</f>
        <v>45292</v>
      </c>
      <c r="C151" s="193" t="s">
        <v>100</v>
      </c>
      <c r="D151" s="109">
        <v>-6640.7200000000021</v>
      </c>
      <c r="E151" s="123">
        <v>0</v>
      </c>
      <c r="F151" s="72"/>
      <c r="G151" s="72"/>
      <c r="H151" s="72"/>
      <c r="I151" s="116"/>
      <c r="K151" s="117"/>
      <c r="L151" s="117"/>
    </row>
    <row r="152" spans="1:12" ht="15" thickBot="1">
      <c r="A152" s="29">
        <f t="shared" si="10"/>
        <v>143</v>
      </c>
      <c r="B152" s="160"/>
      <c r="C152" s="194" t="str">
        <f>$C$31</f>
        <v>Subtotal</v>
      </c>
      <c r="D152" s="447">
        <f>SUM(D140:D151)</f>
        <v>-80130.070000000022</v>
      </c>
      <c r="E152" s="164">
        <f>SUM(E140:E151)</f>
        <v>0</v>
      </c>
      <c r="F152" s="72"/>
      <c r="G152" s="72"/>
      <c r="H152" s="72"/>
      <c r="I152" s="72"/>
    </row>
    <row r="153" spans="1:12" ht="15" thickTop="1">
      <c r="A153" s="29">
        <f t="shared" si="10"/>
        <v>144</v>
      </c>
      <c r="B153" s="161">
        <f t="shared" ref="B153:B161" si="13">B59</f>
        <v>44958</v>
      </c>
      <c r="C153" s="193" t="s">
        <v>101</v>
      </c>
      <c r="D153" s="109">
        <v>-594.23999999998421</v>
      </c>
      <c r="E153" s="123">
        <v>0</v>
      </c>
      <c r="F153" s="72"/>
      <c r="G153" s="72"/>
      <c r="H153" s="72"/>
      <c r="I153" s="116"/>
      <c r="J153" s="117"/>
      <c r="K153" s="116"/>
      <c r="L153" s="117"/>
    </row>
    <row r="154" spans="1:12">
      <c r="A154" s="29">
        <f t="shared" si="10"/>
        <v>145</v>
      </c>
      <c r="B154" s="161">
        <f t="shared" si="13"/>
        <v>44986</v>
      </c>
      <c r="C154" s="193" t="s">
        <v>101</v>
      </c>
      <c r="D154" s="109">
        <v>-510.14999999999151</v>
      </c>
      <c r="E154" s="123">
        <v>0</v>
      </c>
      <c r="F154" s="72"/>
      <c r="G154" s="72"/>
      <c r="H154" s="72"/>
      <c r="I154" s="116"/>
      <c r="J154" s="116"/>
      <c r="K154" s="116"/>
      <c r="L154" s="117"/>
    </row>
    <row r="155" spans="1:12">
      <c r="A155" s="29">
        <f t="shared" si="10"/>
        <v>146</v>
      </c>
      <c r="B155" s="161">
        <f t="shared" si="13"/>
        <v>45017</v>
      </c>
      <c r="C155" s="193" t="s">
        <v>101</v>
      </c>
      <c r="D155" s="109">
        <v>-388.08999999999645</v>
      </c>
      <c r="E155" s="123">
        <v>0</v>
      </c>
      <c r="F155" s="72"/>
      <c r="G155" s="72"/>
      <c r="H155" s="72"/>
      <c r="I155" s="117"/>
      <c r="J155" s="116"/>
      <c r="K155" s="117"/>
      <c r="L155" s="117"/>
    </row>
    <row r="156" spans="1:12">
      <c r="A156" s="29">
        <f t="shared" si="10"/>
        <v>147</v>
      </c>
      <c r="B156" s="161">
        <f t="shared" si="13"/>
        <v>45047</v>
      </c>
      <c r="C156" s="193" t="s">
        <v>101</v>
      </c>
      <c r="D156" s="109">
        <v>-434.51999999999282</v>
      </c>
      <c r="E156" s="123">
        <v>0</v>
      </c>
      <c r="F156" s="72"/>
      <c r="G156" s="72"/>
      <c r="H156" s="72"/>
      <c r="I156" s="117"/>
      <c r="J156" s="116"/>
      <c r="K156" s="117"/>
      <c r="L156" s="117"/>
    </row>
    <row r="157" spans="1:12">
      <c r="A157" s="29">
        <f t="shared" si="10"/>
        <v>148</v>
      </c>
      <c r="B157" s="161">
        <f t="shared" si="13"/>
        <v>45078</v>
      </c>
      <c r="C157" s="193" t="s">
        <v>101</v>
      </c>
      <c r="D157" s="109">
        <v>-352.82999999999839</v>
      </c>
      <c r="E157" s="123">
        <v>0</v>
      </c>
      <c r="F157" s="72"/>
      <c r="G157" s="72"/>
      <c r="H157" s="72"/>
      <c r="I157" s="117"/>
      <c r="J157" s="116"/>
      <c r="K157" s="117"/>
      <c r="L157" s="117"/>
    </row>
    <row r="158" spans="1:12">
      <c r="A158" s="29">
        <f t="shared" si="10"/>
        <v>149</v>
      </c>
      <c r="B158" s="161">
        <f t="shared" si="13"/>
        <v>45108</v>
      </c>
      <c r="C158" s="193" t="s">
        <v>101</v>
      </c>
      <c r="D158" s="109">
        <v>-395.33999999999526</v>
      </c>
      <c r="E158" s="123">
        <v>0</v>
      </c>
      <c r="F158" s="72"/>
      <c r="G158" s="72"/>
      <c r="H158" s="72"/>
      <c r="I158" s="117"/>
      <c r="J158" s="116"/>
      <c r="K158" s="117"/>
      <c r="L158" s="117"/>
    </row>
    <row r="159" spans="1:12">
      <c r="A159" s="29">
        <f t="shared" si="10"/>
        <v>150</v>
      </c>
      <c r="B159" s="161">
        <f t="shared" si="13"/>
        <v>45139</v>
      </c>
      <c r="C159" s="193" t="s">
        <v>101</v>
      </c>
      <c r="D159" s="109">
        <v>-458.40000000000151</v>
      </c>
      <c r="E159" s="123">
        <v>0</v>
      </c>
      <c r="F159" s="72"/>
      <c r="G159" s="72"/>
      <c r="H159" s="72"/>
      <c r="I159" s="117"/>
      <c r="J159" s="116"/>
      <c r="K159" s="117"/>
      <c r="L159" s="117"/>
    </row>
    <row r="160" spans="1:12">
      <c r="A160" s="29">
        <f t="shared" si="10"/>
        <v>151</v>
      </c>
      <c r="B160" s="161">
        <f t="shared" si="13"/>
        <v>45170</v>
      </c>
      <c r="C160" s="193" t="s">
        <v>101</v>
      </c>
      <c r="D160" s="109">
        <v>-501.34000000000282</v>
      </c>
      <c r="E160" s="123">
        <v>0</v>
      </c>
      <c r="F160" s="72"/>
      <c r="G160" s="72"/>
      <c r="H160" s="72"/>
      <c r="I160" s="117"/>
      <c r="J160" s="117"/>
      <c r="K160" s="117"/>
      <c r="L160" s="117"/>
    </row>
    <row r="161" spans="1:12">
      <c r="A161" s="29">
        <f t="shared" si="10"/>
        <v>152</v>
      </c>
      <c r="B161" s="161">
        <f t="shared" si="13"/>
        <v>45200</v>
      </c>
      <c r="C161" s="193" t="s">
        <v>101</v>
      </c>
      <c r="D161" s="109">
        <v>-484.53999999999314</v>
      </c>
      <c r="E161" s="123">
        <v>0</v>
      </c>
      <c r="F161" s="72"/>
      <c r="G161" s="72"/>
      <c r="H161" s="72"/>
      <c r="I161" s="116"/>
      <c r="J161" s="117"/>
      <c r="K161" s="116"/>
      <c r="L161" s="117"/>
    </row>
    <row r="162" spans="1:12">
      <c r="A162" s="29">
        <f t="shared" si="10"/>
        <v>153</v>
      </c>
      <c r="B162" s="161">
        <f t="shared" ref="B162:B163" si="14">B68</f>
        <v>45231</v>
      </c>
      <c r="C162" s="193" t="s">
        <v>101</v>
      </c>
      <c r="D162" s="109">
        <v>-410.51999999999646</v>
      </c>
      <c r="E162" s="123">
        <v>0</v>
      </c>
      <c r="F162" s="72"/>
      <c r="G162" s="72"/>
      <c r="H162" s="72"/>
      <c r="I162" s="116"/>
      <c r="J162" s="116"/>
      <c r="K162" s="116"/>
      <c r="L162" s="117"/>
    </row>
    <row r="163" spans="1:12">
      <c r="A163" s="29">
        <f t="shared" si="10"/>
        <v>154</v>
      </c>
      <c r="B163" s="161">
        <f t="shared" si="14"/>
        <v>45261</v>
      </c>
      <c r="C163" s="193" t="s">
        <v>101</v>
      </c>
      <c r="D163" s="109">
        <v>-410.89</v>
      </c>
      <c r="E163" s="123">
        <v>0</v>
      </c>
      <c r="F163" s="72"/>
      <c r="G163" s="72"/>
      <c r="H163" s="72"/>
      <c r="I163" s="117"/>
      <c r="K163" s="117"/>
      <c r="L163" s="117"/>
    </row>
    <row r="164" spans="1:12">
      <c r="A164" s="29">
        <f t="shared" si="10"/>
        <v>155</v>
      </c>
      <c r="B164" s="161">
        <f>B17</f>
        <v>45292</v>
      </c>
      <c r="C164" s="193" t="s">
        <v>101</v>
      </c>
      <c r="D164" s="109">
        <v>-402.53999999999962</v>
      </c>
      <c r="E164" s="123">
        <v>0</v>
      </c>
      <c r="F164" s="72"/>
      <c r="G164" s="72"/>
      <c r="H164" s="72"/>
      <c r="I164" s="117"/>
      <c r="K164" s="117"/>
      <c r="L164" s="117"/>
    </row>
    <row r="165" spans="1:12" ht="15" thickBot="1">
      <c r="A165" s="29">
        <f t="shared" si="10"/>
        <v>156</v>
      </c>
      <c r="B165" s="160"/>
      <c r="C165" s="194" t="str">
        <f>$C$31</f>
        <v>Subtotal</v>
      </c>
      <c r="D165" s="164">
        <f>SUM(D153:D164)</f>
        <v>-5343.3999999999533</v>
      </c>
      <c r="E165" s="164">
        <f>SUM(E153:E164)</f>
        <v>0</v>
      </c>
      <c r="F165" s="72"/>
      <c r="G165" s="72"/>
      <c r="H165" s="72"/>
    </row>
    <row r="166" spans="1:12" ht="74.150000000000006" customHeight="1" thickTop="1">
      <c r="A166" s="263">
        <f t="shared" si="10"/>
        <v>157</v>
      </c>
      <c r="B166" s="387" t="s">
        <v>102</v>
      </c>
      <c r="C166" s="653" t="s">
        <v>103</v>
      </c>
      <c r="D166" s="653"/>
      <c r="E166" s="72"/>
      <c r="F166" s="72"/>
      <c r="G166" s="72"/>
      <c r="H166" s="72"/>
    </row>
    <row r="167" spans="1:12">
      <c r="A167" s="72"/>
      <c r="B167" s="72"/>
      <c r="C167" s="72"/>
      <c r="D167" s="72"/>
      <c r="E167" s="72"/>
      <c r="F167" s="72"/>
      <c r="G167" s="72"/>
      <c r="H167" s="72"/>
    </row>
    <row r="168" spans="1:12">
      <c r="A168" s="72"/>
      <c r="B168" s="72"/>
      <c r="C168" s="72"/>
      <c r="D168" s="72"/>
      <c r="E168" s="72"/>
      <c r="F168" s="72"/>
      <c r="G168" s="72"/>
      <c r="H168" s="72"/>
    </row>
  </sheetData>
  <mergeCells count="2">
    <mergeCell ref="E2:H2"/>
    <mergeCell ref="C166:D166"/>
  </mergeCells>
  <phoneticPr fontId="61" type="noConversion"/>
  <hyperlinks>
    <hyperlink ref="D1" location="'Cover Sheets'!A18" display="(Back to Worksheet Links)" xr:uid="{00000000-0004-0000-0400-000000000000}"/>
  </hyperlinks>
  <pageMargins left="0.7" right="0.7" top="0.75" bottom="0.6" header="0.3" footer="0.3"/>
  <pageSetup paperSize="1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624D3-9CAD-44ED-AB08-7EEBC99ADCFB}">
  <sheetPr>
    <pageSetUpPr fitToPage="1"/>
  </sheetPr>
  <dimension ref="A1:P196"/>
  <sheetViews>
    <sheetView view="pageBreakPreview" zoomScale="90" zoomScaleNormal="100" zoomScaleSheetLayoutView="90" workbookViewId="0"/>
  </sheetViews>
  <sheetFormatPr defaultColWidth="12.54296875" defaultRowHeight="13"/>
  <cols>
    <col min="1" max="1" width="12.54296875" style="615"/>
    <col min="2" max="2" width="38.54296875" style="30" customWidth="1"/>
    <col min="3" max="3" width="23.54296875" style="30" bestFit="1" customWidth="1"/>
    <col min="4" max="4" width="8.54296875" style="30" customWidth="1"/>
    <col min="5" max="5" width="22.1796875" style="30" bestFit="1" customWidth="1"/>
    <col min="6" max="6" width="8.54296875" style="30" customWidth="1"/>
    <col min="7" max="7" width="17.453125" style="30" customWidth="1"/>
    <col min="8" max="8" width="8.453125" style="30" customWidth="1"/>
    <col min="9" max="9" width="12.54296875" style="30"/>
    <col min="10" max="10" width="7.54296875" style="30" customWidth="1"/>
    <col min="11" max="12" width="16.453125" style="30" customWidth="1"/>
    <col min="13" max="16384" width="12.54296875" style="30"/>
  </cols>
  <sheetData>
    <row r="1" spans="1:12" ht="14.5">
      <c r="A1" s="613" t="str">
        <f>'Cover Sheets'!A10:D10</f>
        <v>WAPA-UGP 2023 Rate True-up Calculation</v>
      </c>
      <c r="B1" s="115"/>
      <c r="C1" s="93" t="s">
        <v>52</v>
      </c>
      <c r="D1" s="35"/>
      <c r="E1" s="35"/>
      <c r="F1" s="35"/>
      <c r="G1" s="35"/>
      <c r="H1" s="35"/>
      <c r="I1" s="35"/>
      <c r="J1" s="35"/>
      <c r="K1" s="35"/>
      <c r="L1" s="35"/>
    </row>
    <row r="2" spans="1:12">
      <c r="A2" s="613" t="s">
        <v>104</v>
      </c>
      <c r="B2" s="115"/>
      <c r="C2" s="35"/>
      <c r="D2" s="35"/>
      <c r="E2" s="35"/>
      <c r="F2" s="35"/>
      <c r="G2" s="35"/>
      <c r="H2" s="35"/>
      <c r="I2" s="35"/>
      <c r="J2" s="35"/>
      <c r="K2" s="35"/>
      <c r="L2" s="35"/>
    </row>
    <row r="3" spans="1:12">
      <c r="A3" s="614" t="str">
        <f>'Summary-TrueUp'!A3</f>
        <v>12 Months Ending 09/30/2023 True-up</v>
      </c>
      <c r="B3" s="115"/>
      <c r="C3" s="35"/>
      <c r="D3" s="35"/>
      <c r="E3" s="35"/>
      <c r="F3" s="35"/>
      <c r="G3" s="35"/>
      <c r="H3" s="35"/>
      <c r="I3" s="35"/>
      <c r="J3" s="35"/>
      <c r="K3" s="35"/>
      <c r="L3" s="35"/>
    </row>
    <row r="4" spans="1:12">
      <c r="B4" s="41"/>
      <c r="C4" s="41" t="s">
        <v>105</v>
      </c>
      <c r="D4" s="42"/>
      <c r="E4" s="41" t="s">
        <v>106</v>
      </c>
      <c r="F4" s="42"/>
      <c r="G4" s="41" t="s">
        <v>73</v>
      </c>
      <c r="H4" s="43"/>
      <c r="I4" s="41" t="s">
        <v>107</v>
      </c>
      <c r="J4" s="43"/>
      <c r="K4" s="41" t="s">
        <v>88</v>
      </c>
      <c r="L4" s="35"/>
    </row>
    <row r="5" spans="1:12" s="31" customFormat="1" ht="13.5" thickBot="1">
      <c r="A5" s="616" t="s">
        <v>24</v>
      </c>
      <c r="B5" s="36">
        <v>-1</v>
      </c>
      <c r="C5" s="44">
        <v>-2</v>
      </c>
      <c r="D5" s="45"/>
      <c r="E5" s="44">
        <v>-3</v>
      </c>
      <c r="F5" s="45"/>
      <c r="G5" s="36">
        <v>-4</v>
      </c>
      <c r="H5" s="46"/>
      <c r="I5" s="36">
        <v>-5</v>
      </c>
      <c r="J5" s="46"/>
      <c r="K5" s="36">
        <v>-6</v>
      </c>
      <c r="L5" s="159"/>
    </row>
    <row r="6" spans="1:12">
      <c r="A6" s="615">
        <v>1</v>
      </c>
      <c r="B6" s="47"/>
      <c r="C6" s="48"/>
      <c r="D6" s="48"/>
      <c r="E6" s="48"/>
      <c r="F6" s="48"/>
      <c r="G6" s="48"/>
      <c r="H6" s="48"/>
      <c r="I6" s="48"/>
      <c r="J6" s="48"/>
      <c r="K6" s="48"/>
      <c r="L6" s="35"/>
    </row>
    <row r="7" spans="1:12">
      <c r="A7" s="615">
        <f t="shared" ref="A7:A10" si="0">A6+1</f>
        <v>2</v>
      </c>
      <c r="B7" s="150" t="s">
        <v>108</v>
      </c>
      <c r="C7" s="55">
        <f>'WS4-TransFac'!F512</f>
        <v>1588930213.7830009</v>
      </c>
      <c r="D7" s="369" t="s">
        <v>109</v>
      </c>
      <c r="E7" s="55">
        <f>882670381.94</f>
        <v>882670381.94000006</v>
      </c>
      <c r="F7" s="369" t="s">
        <v>110</v>
      </c>
      <c r="G7" s="55">
        <f>173713622+213093289+231253750+364522617+89477671+300769507</f>
        <v>1372830456</v>
      </c>
      <c r="H7" s="369" t="s">
        <v>111</v>
      </c>
      <c r="I7" s="55">
        <f>580908032.22</f>
        <v>580908032.22000003</v>
      </c>
      <c r="J7" s="369" t="s">
        <v>112</v>
      </c>
      <c r="K7" s="53">
        <f>C7+E7+G7+I7</f>
        <v>4425339083.9430008</v>
      </c>
      <c r="L7" s="35"/>
    </row>
    <row r="8" spans="1:12">
      <c r="A8" s="615">
        <f t="shared" si="0"/>
        <v>3</v>
      </c>
      <c r="B8" s="49" t="s">
        <v>113</v>
      </c>
      <c r="C8" s="210">
        <f>'WS4-TransFac'!K512</f>
        <v>1508641701.1699121</v>
      </c>
      <c r="D8" s="370" t="s">
        <v>109</v>
      </c>
      <c r="E8" s="49">
        <f>'WS4-TransFac'!K524</f>
        <v>9083985.9375</v>
      </c>
      <c r="F8" s="370" t="s">
        <v>109</v>
      </c>
      <c r="G8" s="49">
        <f>'WS4-TransFac'!K535</f>
        <v>99202121.010000005</v>
      </c>
      <c r="H8" s="370" t="s">
        <v>109</v>
      </c>
      <c r="I8" s="49"/>
      <c r="J8" s="370"/>
      <c r="K8" s="49">
        <f t="shared" ref="K8:K10" si="1">C8+E8+G8+I8</f>
        <v>1616927808.1174121</v>
      </c>
      <c r="L8" s="35"/>
    </row>
    <row r="9" spans="1:12">
      <c r="A9" s="615">
        <f t="shared" si="0"/>
        <v>4</v>
      </c>
      <c r="B9" s="49" t="s">
        <v>114</v>
      </c>
      <c r="C9" s="210">
        <f>-('WS4-TransFac'!$I$512)</f>
        <v>16879035.6630885</v>
      </c>
      <c r="D9" s="370" t="s">
        <v>109</v>
      </c>
      <c r="E9" s="49"/>
      <c r="F9" s="50"/>
      <c r="G9" s="210">
        <f>G7-G8</f>
        <v>1273628334.99</v>
      </c>
      <c r="H9" s="370" t="str">
        <f>"L"&amp;A7&amp;" - L"&amp;A8&amp;""</f>
        <v>L2 - L3</v>
      </c>
      <c r="I9" s="210">
        <f>I7-I8</f>
        <v>580908032.22000003</v>
      </c>
      <c r="J9" s="370" t="str">
        <f>"L"&amp;A7&amp;" - L"&amp;A8&amp;""</f>
        <v>L2 - L3</v>
      </c>
      <c r="K9" s="49">
        <f t="shared" si="1"/>
        <v>1871415402.8730886</v>
      </c>
      <c r="L9" s="35"/>
    </row>
    <row r="10" spans="1:12" s="98" customFormat="1">
      <c r="A10" s="615">
        <f t="shared" si="0"/>
        <v>5</v>
      </c>
      <c r="B10" s="49" t="s">
        <v>2417</v>
      </c>
      <c r="C10" s="210">
        <f>'WS5-FacDetail'!K10+'WS5-FacDetail'!G11</f>
        <v>7338000.3980099997</v>
      </c>
      <c r="D10" s="370" t="s">
        <v>115</v>
      </c>
      <c r="E10" s="49"/>
      <c r="F10" s="50"/>
      <c r="G10" s="210"/>
      <c r="H10" s="50"/>
      <c r="I10" s="210"/>
      <c r="J10" s="50"/>
      <c r="K10" s="49">
        <f t="shared" si="1"/>
        <v>7338000.3980099997</v>
      </c>
      <c r="L10" s="35"/>
    </row>
    <row r="11" spans="1:12" s="98" customFormat="1">
      <c r="A11" s="615">
        <f t="shared" ref="A11:A42" si="2">A10+1</f>
        <v>6</v>
      </c>
      <c r="B11" s="49" t="s">
        <v>2418</v>
      </c>
      <c r="C11" s="210">
        <f>'WS5-FacDetail'!K14+'WS5-FacDetail'!G15</f>
        <v>1089866.7120100001</v>
      </c>
      <c r="D11" s="370" t="s">
        <v>115</v>
      </c>
      <c r="E11" s="49"/>
      <c r="F11" s="50"/>
      <c r="G11" s="210"/>
      <c r="H11" s="50"/>
      <c r="I11" s="210"/>
      <c r="J11" s="50"/>
      <c r="K11" s="49">
        <f>C11+E11+G11+I11</f>
        <v>1089866.7120100001</v>
      </c>
      <c r="L11" s="35"/>
    </row>
    <row r="12" spans="1:12" ht="13.5" thickBot="1">
      <c r="A12" s="617">
        <f t="shared" si="2"/>
        <v>7</v>
      </c>
      <c r="B12" s="151" t="s">
        <v>116</v>
      </c>
      <c r="C12" s="211">
        <f>SUM(C8:C11)</f>
        <v>1533948603.9430206</v>
      </c>
      <c r="D12" s="211"/>
      <c r="E12" s="211">
        <f>SUM(E8:E11)</f>
        <v>9083985.9375</v>
      </c>
      <c r="F12" s="211"/>
      <c r="G12" s="211">
        <f>SUM(G8:G11)</f>
        <v>1372830456</v>
      </c>
      <c r="H12" s="211"/>
      <c r="I12" s="211">
        <f>SUM(I8:I11)</f>
        <v>580908032.22000003</v>
      </c>
      <c r="J12" s="146"/>
      <c r="K12" s="211">
        <f>SUM(K8:K11)</f>
        <v>3496771078.1005201</v>
      </c>
      <c r="L12" s="35"/>
    </row>
    <row r="13" spans="1:12" ht="13.5" thickTop="1">
      <c r="A13" s="617">
        <f t="shared" si="2"/>
        <v>8</v>
      </c>
      <c r="B13" s="49"/>
      <c r="C13" s="210"/>
      <c r="D13" s="50"/>
      <c r="E13" s="49"/>
      <c r="F13" s="50"/>
      <c r="G13" s="210"/>
      <c r="H13" s="50"/>
      <c r="I13" s="210"/>
      <c r="J13" s="50"/>
      <c r="K13" s="49"/>
      <c r="L13" s="35"/>
    </row>
    <row r="14" spans="1:12">
      <c r="A14" s="617">
        <f t="shared" si="2"/>
        <v>9</v>
      </c>
      <c r="B14" s="150" t="s">
        <v>117</v>
      </c>
      <c r="C14" s="55">
        <f>SUM(C15:C22)</f>
        <v>1535532250.407552</v>
      </c>
      <c r="D14" s="55"/>
      <c r="E14" s="55">
        <f>SUM(E15:E22)</f>
        <v>9083985.9375</v>
      </c>
      <c r="F14" s="55"/>
      <c r="G14" s="55">
        <f>SUM(G15:G22)</f>
        <v>99202121.010000005</v>
      </c>
      <c r="H14" s="55"/>
      <c r="I14" s="55"/>
      <c r="J14" s="55"/>
      <c r="K14" s="55">
        <f>SUM(K15:K22)</f>
        <v>1643818357.355052</v>
      </c>
      <c r="L14" s="35"/>
    </row>
    <row r="15" spans="1:12">
      <c r="A15" s="617">
        <f t="shared" si="2"/>
        <v>10</v>
      </c>
      <c r="B15" s="49" t="s">
        <v>118</v>
      </c>
      <c r="C15" s="210">
        <f>'WS4-TransFac'!K438</f>
        <v>1336968418.500447</v>
      </c>
      <c r="D15" s="370" t="s">
        <v>109</v>
      </c>
      <c r="E15" s="210">
        <f>'WS4-TransFac'!K519</f>
        <v>5408407.9699999988</v>
      </c>
      <c r="F15" s="370" t="s">
        <v>109</v>
      </c>
      <c r="G15" s="210">
        <f>'WS4-TransFac'!K532</f>
        <v>96597756.770000011</v>
      </c>
      <c r="H15" s="370" t="s">
        <v>109</v>
      </c>
      <c r="I15" s="210"/>
      <c r="J15" s="210"/>
      <c r="K15" s="49">
        <f>C15+E15+G15+I15</f>
        <v>1438974583.240447</v>
      </c>
      <c r="L15" s="35"/>
    </row>
    <row r="16" spans="1:12">
      <c r="A16" s="617">
        <f t="shared" si="2"/>
        <v>11</v>
      </c>
      <c r="B16" s="49" t="s">
        <v>119</v>
      </c>
      <c r="C16" s="210">
        <f>'WS4-TransFac'!K508</f>
        <v>147949903.26946497</v>
      </c>
      <c r="D16" s="370" t="s">
        <v>109</v>
      </c>
      <c r="E16" s="210">
        <f>'WS4-TransFac'!K523</f>
        <v>3675577.9675000012</v>
      </c>
      <c r="F16" s="370" t="s">
        <v>109</v>
      </c>
      <c r="G16" s="210">
        <f>'WS4-TransFac'!K534</f>
        <v>2604364.2400000002</v>
      </c>
      <c r="H16" s="370" t="s">
        <v>109</v>
      </c>
      <c r="I16" s="210"/>
      <c r="J16" s="210"/>
      <c r="K16" s="49">
        <f t="shared" ref="K16:K22" si="3">C16+E16+G16+I16</f>
        <v>154229845.47696498</v>
      </c>
      <c r="L16" s="35"/>
    </row>
    <row r="17" spans="1:16" s="610" customFormat="1">
      <c r="A17" s="617">
        <f t="shared" si="2"/>
        <v>12</v>
      </c>
      <c r="B17" s="49" t="s">
        <v>2383</v>
      </c>
      <c r="C17" s="210">
        <f>'WS5-FacDetail'!K10</f>
        <v>7338000.398</v>
      </c>
      <c r="D17" s="370" t="s">
        <v>115</v>
      </c>
      <c r="E17" s="210"/>
      <c r="F17" s="370"/>
      <c r="G17" s="210"/>
      <c r="H17" s="370"/>
      <c r="I17" s="210"/>
      <c r="J17" s="210"/>
      <c r="K17" s="49">
        <f>C17+E17+G17+I17</f>
        <v>7338000.398</v>
      </c>
      <c r="L17" s="35"/>
    </row>
    <row r="18" spans="1:16" s="610" customFormat="1">
      <c r="A18" s="617">
        <f t="shared" si="2"/>
        <v>13</v>
      </c>
      <c r="B18" s="49" t="s">
        <v>2384</v>
      </c>
      <c r="C18" s="210">
        <f>'WS5-FacDetail'!K12</f>
        <v>1.0000000000000001E-5</v>
      </c>
      <c r="D18" s="370" t="s">
        <v>115</v>
      </c>
      <c r="E18" s="210"/>
      <c r="F18" s="370"/>
      <c r="G18" s="210"/>
      <c r="H18" s="370"/>
      <c r="I18" s="210"/>
      <c r="J18" s="210"/>
      <c r="K18" s="49">
        <f>C18+E18+G18+I18</f>
        <v>1.0000000000000001E-5</v>
      </c>
      <c r="L18" s="35"/>
    </row>
    <row r="19" spans="1:16" s="610" customFormat="1">
      <c r="A19" s="617">
        <f t="shared" si="2"/>
        <v>14</v>
      </c>
      <c r="B19" s="49" t="s">
        <v>2385</v>
      </c>
      <c r="C19" s="210">
        <f>'WS5-FacDetail'!K14</f>
        <v>1089866.7120000001</v>
      </c>
      <c r="D19" s="370" t="s">
        <v>115</v>
      </c>
      <c r="E19" s="210"/>
      <c r="F19" s="370"/>
      <c r="G19" s="210"/>
      <c r="H19" s="370"/>
      <c r="I19" s="210"/>
      <c r="J19" s="210"/>
      <c r="K19" s="49">
        <f>C19+E19+G19+I19</f>
        <v>1089866.7120000001</v>
      </c>
      <c r="L19" s="35"/>
    </row>
    <row r="20" spans="1:16" s="610" customFormat="1">
      <c r="A20" s="617">
        <f t="shared" si="2"/>
        <v>15</v>
      </c>
      <c r="B20" s="49" t="s">
        <v>2386</v>
      </c>
      <c r="C20" s="210">
        <f>'WS5-FacDetail'!K16</f>
        <v>1.0000000000000001E-5</v>
      </c>
      <c r="D20" s="370" t="s">
        <v>115</v>
      </c>
      <c r="E20" s="210"/>
      <c r="F20" s="370"/>
      <c r="G20" s="210"/>
      <c r="H20" s="370"/>
      <c r="I20" s="210"/>
      <c r="J20" s="210"/>
      <c r="K20" s="49">
        <f>C20+E20+G20+I20</f>
        <v>1.0000000000000001E-5</v>
      </c>
      <c r="L20" s="35"/>
    </row>
    <row r="21" spans="1:16">
      <c r="A21" s="617">
        <f t="shared" si="2"/>
        <v>16</v>
      </c>
      <c r="B21" s="49" t="s">
        <v>120</v>
      </c>
      <c r="C21" s="210">
        <f>'WS5-FacDetail'!I65+'WS5-FacDetail'!I71+'WS5-FacDetail'!I82+'WS5-FacDetail'!I137+'WS5-FacDetail'!I156</f>
        <v>18462682.12762</v>
      </c>
      <c r="D21" s="370" t="s">
        <v>115</v>
      </c>
      <c r="E21" s="49"/>
      <c r="F21" s="50"/>
      <c r="G21" s="210"/>
      <c r="H21" s="50"/>
      <c r="I21" s="210"/>
      <c r="J21" s="50"/>
      <c r="K21" s="49">
        <f t="shared" si="3"/>
        <v>18462682.12762</v>
      </c>
      <c r="L21" s="35"/>
      <c r="N21" s="200"/>
      <c r="O21" s="200"/>
      <c r="P21" s="200"/>
    </row>
    <row r="22" spans="1:16">
      <c r="A22" s="617">
        <f t="shared" si="2"/>
        <v>17</v>
      </c>
      <c r="B22" s="53" t="s">
        <v>121</v>
      </c>
      <c r="C22" s="55">
        <f>'WS4-TransFac'!K511</f>
        <v>23723379.399999999</v>
      </c>
      <c r="D22" s="369" t="s">
        <v>115</v>
      </c>
      <c r="E22" s="53"/>
      <c r="F22" s="54"/>
      <c r="G22" s="55"/>
      <c r="H22" s="54"/>
      <c r="I22" s="55"/>
      <c r="J22" s="54"/>
      <c r="K22" s="53">
        <f t="shared" si="3"/>
        <v>23723379.399999999</v>
      </c>
      <c r="L22" s="35"/>
      <c r="N22" s="200"/>
      <c r="O22" s="200"/>
      <c r="P22" s="200"/>
    </row>
    <row r="23" spans="1:16">
      <c r="A23" s="617">
        <f t="shared" si="2"/>
        <v>18</v>
      </c>
      <c r="B23" s="49"/>
      <c r="C23" s="210"/>
      <c r="D23" s="50"/>
      <c r="E23" s="49"/>
      <c r="F23" s="50"/>
      <c r="G23" s="210"/>
      <c r="H23" s="50"/>
      <c r="I23" s="210"/>
      <c r="J23" s="50"/>
      <c r="K23" s="49"/>
      <c r="L23" s="35"/>
      <c r="N23" s="200"/>
      <c r="O23" s="200"/>
      <c r="P23" s="200"/>
    </row>
    <row r="24" spans="1:16" s="34" customFormat="1">
      <c r="A24" s="617">
        <f t="shared" si="2"/>
        <v>19</v>
      </c>
      <c r="B24" s="654" t="s">
        <v>122</v>
      </c>
      <c r="C24" s="654"/>
      <c r="D24" s="654"/>
      <c r="E24" s="654"/>
      <c r="F24" s="654"/>
      <c r="G24" s="654"/>
      <c r="H24" s="654"/>
      <c r="I24" s="654"/>
      <c r="J24" s="654"/>
      <c r="K24" s="654"/>
      <c r="L24" s="35"/>
      <c r="M24" s="30"/>
      <c r="N24" s="200"/>
      <c r="O24" s="200"/>
      <c r="P24" s="200"/>
    </row>
    <row r="25" spans="1:16">
      <c r="A25" s="617">
        <f t="shared" si="2"/>
        <v>20</v>
      </c>
      <c r="B25" s="49" t="s">
        <v>123</v>
      </c>
      <c r="C25" s="212">
        <f>C8/C7</f>
        <v>0.9494700825016511</v>
      </c>
      <c r="D25" s="371" t="str">
        <f>"L"&amp;A8&amp;" / L"&amp;A7&amp;""</f>
        <v>L3 / L2</v>
      </c>
      <c r="E25" s="212">
        <f>E8/E7</f>
        <v>1.0291481535309392E-2</v>
      </c>
      <c r="F25" s="371" t="str">
        <f>"L"&amp;A8&amp;" / L"&amp;A7&amp;""</f>
        <v>L3 / L2</v>
      </c>
      <c r="G25" s="212">
        <f>G8/G7</f>
        <v>7.2261014152500705E-2</v>
      </c>
      <c r="H25" s="371" t="str">
        <f>"L"&amp;A8&amp;" / L"&amp;A7&amp;""</f>
        <v>L3 / L2</v>
      </c>
      <c r="I25" s="212">
        <f>I8/I7</f>
        <v>0</v>
      </c>
      <c r="J25" s="371" t="str">
        <f>"L"&amp;A8&amp;" / L"&amp;A7&amp;""</f>
        <v>L3 / L2</v>
      </c>
      <c r="K25" s="213"/>
      <c r="L25" s="35"/>
    </row>
    <row r="26" spans="1:16">
      <c r="A26" s="617">
        <f t="shared" si="2"/>
        <v>21</v>
      </c>
      <c r="B26" s="49" t="s">
        <v>124</v>
      </c>
      <c r="C26" s="212">
        <f>C9/C7</f>
        <v>1.0622893011079503E-2</v>
      </c>
      <c r="D26" s="371" t="str">
        <f>"L"&amp;A9&amp;" / L"&amp;A7&amp;""</f>
        <v>L4 / L2</v>
      </c>
      <c r="E26" s="212">
        <f>E9/E7</f>
        <v>0</v>
      </c>
      <c r="F26" s="371" t="str">
        <f>"L"&amp;A9&amp;" / L"&amp;A7&amp;""</f>
        <v>L4 / L2</v>
      </c>
      <c r="G26" s="212">
        <f>G9/G7</f>
        <v>0.92773898584749925</v>
      </c>
      <c r="H26" s="371" t="str">
        <f>"L"&amp;A9&amp;" / L"&amp;A7&amp;""</f>
        <v>L4 / L2</v>
      </c>
      <c r="I26" s="212">
        <f>I9/I7</f>
        <v>1</v>
      </c>
      <c r="J26" s="371" t="str">
        <f>"L"&amp;A9&amp;" / L"&amp;A7&amp;""</f>
        <v>L4 / L2</v>
      </c>
      <c r="K26" s="49"/>
      <c r="L26" s="35"/>
    </row>
    <row r="27" spans="1:16">
      <c r="A27" s="617">
        <f t="shared" si="2"/>
        <v>22</v>
      </c>
      <c r="B27" s="49" t="s">
        <v>125</v>
      </c>
      <c r="C27" s="212">
        <f>(-'WS4-TransFac'!G512)/'WS4-TransFac'!F512</f>
        <v>3.4602910482202459E-2</v>
      </c>
      <c r="D27" s="371" t="s">
        <v>109</v>
      </c>
      <c r="E27" s="212"/>
      <c r="F27" s="52"/>
      <c r="G27" s="212"/>
      <c r="H27" s="52"/>
      <c r="I27" s="212"/>
      <c r="J27" s="52"/>
      <c r="K27" s="49"/>
      <c r="L27" s="35"/>
    </row>
    <row r="28" spans="1:16">
      <c r="A28" s="617">
        <f t="shared" si="2"/>
        <v>23</v>
      </c>
      <c r="B28" s="49" t="s">
        <v>2413</v>
      </c>
      <c r="C28" s="212">
        <f>(C17+C18)/C7</f>
        <v>4.6182018155091521E-3</v>
      </c>
      <c r="D28" s="371" t="str">
        <f>"L"&amp;A17&amp;"+L"&amp;A18&amp;" / L"&amp;A7&amp;""</f>
        <v>L12+L13 / L2</v>
      </c>
      <c r="E28" s="212"/>
      <c r="F28" s="52"/>
      <c r="G28" s="212"/>
      <c r="H28" s="52"/>
      <c r="I28" s="212"/>
      <c r="J28" s="52"/>
      <c r="K28" s="49"/>
      <c r="L28" s="35"/>
    </row>
    <row r="29" spans="1:16">
      <c r="A29" s="617">
        <f t="shared" si="2"/>
        <v>24</v>
      </c>
      <c r="B29" s="49" t="s">
        <v>2414</v>
      </c>
      <c r="C29" s="212">
        <f>(C19+C20)/C7</f>
        <v>6.8591225879907798E-4</v>
      </c>
      <c r="D29" s="371" t="str">
        <f>"L"&amp;A17&amp;"+L"&amp;A18&amp;" / L"&amp;A7&amp;""</f>
        <v>L12+L13 / L2</v>
      </c>
      <c r="E29" s="212"/>
      <c r="F29" s="52"/>
      <c r="G29" s="212"/>
      <c r="H29" s="52"/>
      <c r="I29" s="212"/>
      <c r="J29" s="52"/>
      <c r="K29" s="49"/>
      <c r="L29" s="35"/>
    </row>
    <row r="30" spans="1:16" s="34" customFormat="1" ht="13.5" thickBot="1">
      <c r="A30" s="617">
        <f t="shared" si="2"/>
        <v>25</v>
      </c>
      <c r="B30" s="151" t="s">
        <v>126</v>
      </c>
      <c r="C30" s="214">
        <f>SUM(C25:C29)</f>
        <v>1.0000000000692413</v>
      </c>
      <c r="D30" s="215"/>
      <c r="E30" s="214">
        <f>SUM(E25:E28)</f>
        <v>1.0291481535309392E-2</v>
      </c>
      <c r="F30" s="215"/>
      <c r="G30" s="214">
        <f>SUM(G25:G28)</f>
        <v>1</v>
      </c>
      <c r="H30" s="215"/>
      <c r="I30" s="214">
        <f>SUM(I25:I28)</f>
        <v>1</v>
      </c>
      <c r="J30" s="215"/>
      <c r="K30" s="145"/>
      <c r="L30" s="35"/>
      <c r="M30" s="30"/>
    </row>
    <row r="31" spans="1:16" s="34" customFormat="1" ht="13.5" thickTop="1">
      <c r="A31" s="617">
        <f t="shared" si="2"/>
        <v>26</v>
      </c>
      <c r="B31" s="60"/>
      <c r="C31" s="212"/>
      <c r="D31" s="52"/>
      <c r="E31" s="212"/>
      <c r="F31" s="52"/>
      <c r="G31" s="212"/>
      <c r="H31" s="52"/>
      <c r="I31" s="212"/>
      <c r="J31" s="52"/>
      <c r="K31" s="49"/>
      <c r="L31" s="35"/>
      <c r="M31" s="30"/>
    </row>
    <row r="32" spans="1:16" s="34" customFormat="1">
      <c r="A32" s="617">
        <f t="shared" si="2"/>
        <v>27</v>
      </c>
      <c r="B32" s="654" t="s">
        <v>127</v>
      </c>
      <c r="C32" s="654"/>
      <c r="D32" s="654"/>
      <c r="E32" s="654"/>
      <c r="F32" s="654"/>
      <c r="G32" s="654"/>
      <c r="H32" s="654"/>
      <c r="I32" s="654"/>
      <c r="J32" s="654"/>
      <c r="K32" s="654"/>
      <c r="L32" s="35"/>
      <c r="M32" s="30"/>
    </row>
    <row r="33" spans="1:13" s="34" customFormat="1">
      <c r="A33" s="617">
        <f t="shared" si="2"/>
        <v>28</v>
      </c>
      <c r="B33" s="156" t="s">
        <v>128</v>
      </c>
      <c r="C33" s="216">
        <f>C15/C7</f>
        <v>0.84142677060519155</v>
      </c>
      <c r="D33" s="371" t="str">
        <f>"L"&amp;A15&amp;" / L"&amp;A7&amp;""</f>
        <v>L10 / L2</v>
      </c>
      <c r="E33" s="217">
        <f>'WS4-TransFac'!K519/'WS3-CostData'!E7</f>
        <v>6.1273246283771168E-3</v>
      </c>
      <c r="F33" s="371" t="str">
        <f>"L"&amp;A15&amp;" / L"&amp;A7&amp;""</f>
        <v>L10 / L2</v>
      </c>
      <c r="G33" s="218">
        <f>G15/G7</f>
        <v>7.0363937766543844E-2</v>
      </c>
      <c r="H33" s="371" t="str">
        <f>"L"&amp;A15&amp;" / L"&amp;A7&amp;""</f>
        <v>L10 / L2</v>
      </c>
      <c r="I33" s="41"/>
      <c r="J33" s="41"/>
      <c r="K33" s="216"/>
      <c r="L33" s="35"/>
      <c r="M33" s="30"/>
    </row>
    <row r="34" spans="1:13" s="34" customFormat="1">
      <c r="A34" s="617">
        <f t="shared" si="2"/>
        <v>29</v>
      </c>
      <c r="B34" s="156" t="s">
        <v>129</v>
      </c>
      <c r="C34" s="216">
        <f>C16/C7</f>
        <v>9.311290199285642E-2</v>
      </c>
      <c r="D34" s="371" t="str">
        <f>"L"&amp;A16&amp;" / L"&amp;A7&amp;""</f>
        <v>L11 / L2</v>
      </c>
      <c r="E34" s="217">
        <f>'WS4-TransFac'!K523/'WS3-CostData'!E7</f>
        <v>4.1641569069322763E-3</v>
      </c>
      <c r="F34" s="371" t="str">
        <f>"L"&amp;A16&amp;" / L"&amp;A7&amp;""</f>
        <v>L11 / L2</v>
      </c>
      <c r="G34" s="218">
        <f>G16/G7</f>
        <v>1.8970763859568688E-3</v>
      </c>
      <c r="H34" s="371" t="str">
        <f>"L"&amp;A16&amp;" / L"&amp;A7&amp;""</f>
        <v>L11 / L2</v>
      </c>
      <c r="I34" s="41"/>
      <c r="J34" s="41"/>
      <c r="K34" s="216"/>
      <c r="L34" s="35"/>
      <c r="M34" s="30"/>
    </row>
    <row r="35" spans="1:13" s="610" customFormat="1">
      <c r="A35" s="617">
        <f t="shared" si="2"/>
        <v>30</v>
      </c>
      <c r="B35" s="49" t="s">
        <v>2383</v>
      </c>
      <c r="C35" s="212">
        <f>C17/C7</f>
        <v>4.6182018155028585E-3</v>
      </c>
      <c r="D35" s="371" t="str">
        <f>"L"&amp;A17&amp;" / L"&amp;A7&amp;""</f>
        <v>L12 / L2</v>
      </c>
      <c r="E35" s="212"/>
      <c r="F35" s="52"/>
      <c r="G35" s="212"/>
      <c r="H35" s="52"/>
      <c r="I35" s="212"/>
      <c r="J35" s="52"/>
      <c r="K35" s="49"/>
      <c r="L35" s="35"/>
    </row>
    <row r="36" spans="1:13" s="610" customFormat="1">
      <c r="A36" s="617">
        <f t="shared" si="2"/>
        <v>31</v>
      </c>
      <c r="B36" s="49" t="s">
        <v>2384</v>
      </c>
      <c r="C36" s="212">
        <f>C18/C7</f>
        <v>6.2935426070044471E-15</v>
      </c>
      <c r="D36" s="371" t="str">
        <f>"L"&amp;A18&amp;" / L"&amp;A7&amp;""</f>
        <v>L13 / L2</v>
      </c>
      <c r="E36" s="212"/>
      <c r="F36" s="52"/>
      <c r="G36" s="212"/>
      <c r="H36" s="52"/>
      <c r="I36" s="212"/>
      <c r="J36" s="52"/>
      <c r="K36" s="49"/>
      <c r="L36" s="35"/>
    </row>
    <row r="37" spans="1:13" s="610" customFormat="1">
      <c r="A37" s="617">
        <f t="shared" si="2"/>
        <v>32</v>
      </c>
      <c r="B37" s="49" t="s">
        <v>2385</v>
      </c>
      <c r="C37" s="212">
        <f>C19/C7</f>
        <v>6.859122587927844E-4</v>
      </c>
      <c r="D37" s="371" t="str">
        <f>"L"&amp;A19&amp;" / L"&amp;A7&amp;""</f>
        <v>L14 / L2</v>
      </c>
      <c r="E37" s="212"/>
      <c r="F37" s="52"/>
      <c r="G37" s="212"/>
      <c r="H37" s="52"/>
      <c r="I37" s="212"/>
      <c r="J37" s="52"/>
      <c r="K37" s="49"/>
      <c r="L37" s="35"/>
    </row>
    <row r="38" spans="1:13" s="610" customFormat="1">
      <c r="A38" s="617">
        <f t="shared" si="2"/>
        <v>33</v>
      </c>
      <c r="B38" s="49" t="s">
        <v>2386</v>
      </c>
      <c r="C38" s="212">
        <f>C20/C7</f>
        <v>6.2935426070044471E-15</v>
      </c>
      <c r="D38" s="371" t="str">
        <f>"L"&amp;A20&amp;" / L"&amp;A7&amp;""</f>
        <v>L15 / L2</v>
      </c>
      <c r="E38" s="212"/>
      <c r="F38" s="52"/>
      <c r="G38" s="212"/>
      <c r="H38" s="52"/>
      <c r="I38" s="212"/>
      <c r="J38" s="52"/>
      <c r="K38" s="49"/>
      <c r="L38" s="35"/>
    </row>
    <row r="39" spans="1:13" s="34" customFormat="1">
      <c r="A39" s="617">
        <f t="shared" si="2"/>
        <v>34</v>
      </c>
      <c r="B39" s="49" t="s">
        <v>130</v>
      </c>
      <c r="C39" s="212">
        <f>C21/C7</f>
        <v>1.1619567660975598E-2</v>
      </c>
      <c r="D39" s="371" t="str">
        <f>"L"&amp;A21&amp;" / L"&amp;A7&amp;""</f>
        <v>L16 / L2</v>
      </c>
      <c r="E39" s="212"/>
      <c r="F39" s="52"/>
      <c r="G39" s="212"/>
      <c r="H39" s="52"/>
      <c r="I39" s="212"/>
      <c r="J39" s="52"/>
      <c r="K39" s="213"/>
      <c r="L39" s="35"/>
      <c r="M39" s="30"/>
    </row>
    <row r="40" spans="1:13" s="34" customFormat="1">
      <c r="A40" s="617">
        <f t="shared" si="2"/>
        <v>35</v>
      </c>
      <c r="B40" s="49" t="s">
        <v>131</v>
      </c>
      <c r="C40" s="212">
        <f>C22/C7</f>
        <v>1.4930409903603156E-2</v>
      </c>
      <c r="D40" s="371" t="str">
        <f>"L"&amp;A22&amp;" / L"&amp;A7&amp;""</f>
        <v>L17 / L2</v>
      </c>
      <c r="E40" s="212"/>
      <c r="F40" s="52"/>
      <c r="G40" s="212"/>
      <c r="H40" s="52"/>
      <c r="I40" s="212"/>
      <c r="J40" s="52"/>
      <c r="K40" s="49"/>
      <c r="L40" s="35"/>
      <c r="M40" s="30"/>
    </row>
    <row r="41" spans="1:13" s="34" customFormat="1" ht="13.5" thickBot="1">
      <c r="A41" s="617">
        <f t="shared" si="2"/>
        <v>36</v>
      </c>
      <c r="B41" s="151" t="s">
        <v>132</v>
      </c>
      <c r="C41" s="214">
        <f>SUM(C33:C40)</f>
        <v>0.96639376423693502</v>
      </c>
      <c r="D41" s="215"/>
      <c r="E41" s="214">
        <f>SUM(E33:E40)</f>
        <v>1.0291481535309392E-2</v>
      </c>
      <c r="F41" s="215"/>
      <c r="G41" s="214">
        <f>SUM(G33:G40)</f>
        <v>7.2261014152500719E-2</v>
      </c>
      <c r="H41" s="215"/>
      <c r="I41" s="214">
        <f>SUM(I34:I40)</f>
        <v>0</v>
      </c>
      <c r="J41" s="215"/>
      <c r="K41" s="145"/>
      <c r="L41" s="35"/>
      <c r="M41" s="30"/>
    </row>
    <row r="42" spans="1:13" s="34" customFormat="1" ht="13.5" thickTop="1">
      <c r="A42" s="617">
        <f t="shared" si="2"/>
        <v>37</v>
      </c>
      <c r="B42" s="60"/>
      <c r="C42" s="212"/>
      <c r="D42" s="52"/>
      <c r="E42" s="212" t="s">
        <v>133</v>
      </c>
      <c r="F42" s="52"/>
      <c r="G42" s="212"/>
      <c r="H42" s="52"/>
      <c r="I42" s="212"/>
      <c r="J42" s="52"/>
      <c r="K42" s="49"/>
      <c r="L42" s="35"/>
      <c r="M42" s="30"/>
    </row>
    <row r="43" spans="1:13">
      <c r="A43" s="617">
        <f t="shared" ref="A43:A74" si="4">A42+1</f>
        <v>38</v>
      </c>
      <c r="B43" s="150" t="s">
        <v>134</v>
      </c>
      <c r="C43" s="55">
        <f>690781326.8+128059878.86</f>
        <v>818841205.65999997</v>
      </c>
      <c r="D43" s="369" t="s">
        <v>135</v>
      </c>
      <c r="E43" s="219">
        <f>480113689.05</f>
        <v>480113689.05000001</v>
      </c>
      <c r="F43" s="372" t="s">
        <v>136</v>
      </c>
      <c r="G43" s="53">
        <f>87022651+113694372+122893085+171671510+41348670+159496936</f>
        <v>696127224</v>
      </c>
      <c r="H43" s="369" t="s">
        <v>137</v>
      </c>
      <c r="I43" s="55">
        <f>389460124.47</f>
        <v>389460124.47000003</v>
      </c>
      <c r="J43" s="369" t="s">
        <v>112</v>
      </c>
      <c r="K43" s="53">
        <f t="shared" ref="K43:K48" si="5">C43+E43+G43+I43</f>
        <v>2384542243.1800003</v>
      </c>
      <c r="L43" s="35"/>
    </row>
    <row r="44" spans="1:13">
      <c r="A44" s="617">
        <f t="shared" si="4"/>
        <v>39</v>
      </c>
      <c r="B44" s="49" t="s">
        <v>138</v>
      </c>
      <c r="C44" s="49">
        <f>$C$43*C25</f>
        <v>777465227.09375167</v>
      </c>
      <c r="D44" s="371" t="str">
        <f>"L"&amp;A25&amp;" * L"&amp;A43&amp;""</f>
        <v>L20 * L38</v>
      </c>
      <c r="E44" s="49">
        <f>$E$43*E25</f>
        <v>4941081.1657073498</v>
      </c>
      <c r="F44" s="371" t="str">
        <f>"L"&amp;A25&amp;" * L"&amp;A43&amp;""</f>
        <v>L20 * L38</v>
      </c>
      <c r="G44" s="49">
        <f>$G$43*G25</f>
        <v>50302859.185405031</v>
      </c>
      <c r="H44" s="371" t="str">
        <f>"L"&amp;A25&amp;" * L"&amp;A43&amp;""</f>
        <v>L20 * L38</v>
      </c>
      <c r="I44" s="49">
        <f>$I$43*I25</f>
        <v>0</v>
      </c>
      <c r="J44" s="52"/>
      <c r="K44" s="49">
        <f t="shared" si="5"/>
        <v>832709167.44486403</v>
      </c>
      <c r="L44" s="35"/>
    </row>
    <row r="45" spans="1:13" s="610" customFormat="1">
      <c r="A45" s="617">
        <f t="shared" si="4"/>
        <v>40</v>
      </c>
      <c r="B45" s="35" t="s">
        <v>2387</v>
      </c>
      <c r="C45" s="49">
        <f>$C$43*C35</f>
        <v>3781573.9425875614</v>
      </c>
      <c r="D45" s="371" t="str">
        <f>"L"&amp;A35&amp;" * L"&amp;A43&amp;""</f>
        <v>L30 * L38</v>
      </c>
      <c r="E45" s="49"/>
      <c r="F45" s="371"/>
      <c r="G45" s="49"/>
      <c r="H45" s="371"/>
      <c r="I45" s="49"/>
      <c r="J45" s="52"/>
      <c r="K45" s="49">
        <f t="shared" si="5"/>
        <v>3781573.9425875614</v>
      </c>
      <c r="L45" s="35"/>
    </row>
    <row r="46" spans="1:13" s="610" customFormat="1">
      <c r="A46" s="617">
        <f t="shared" si="4"/>
        <v>41</v>
      </c>
      <c r="B46" s="35" t="s">
        <v>2388</v>
      </c>
      <c r="C46" s="49">
        <f>$C$43*C36</f>
        <v>5.1534120161921012E-6</v>
      </c>
      <c r="D46" s="371" t="str">
        <f>"L"&amp;A36&amp;" * L"&amp;A43&amp;""</f>
        <v>L31 * L38</v>
      </c>
      <c r="E46" s="49"/>
      <c r="F46" s="50"/>
      <c r="G46" s="210"/>
      <c r="H46" s="50"/>
      <c r="I46" s="49"/>
      <c r="J46" s="50"/>
      <c r="K46" s="49">
        <f t="shared" si="5"/>
        <v>5.1534120161921012E-6</v>
      </c>
      <c r="L46" s="35"/>
    </row>
    <row r="47" spans="1:13" s="610" customFormat="1">
      <c r="A47" s="617">
        <f t="shared" si="4"/>
        <v>42</v>
      </c>
      <c r="B47" s="49" t="s">
        <v>2389</v>
      </c>
      <c r="C47" s="49">
        <f>$C$43*C37</f>
        <v>561653.22096685751</v>
      </c>
      <c r="D47" s="371" t="str">
        <f>"L"&amp;A37&amp;" * L"&amp;A43&amp;""</f>
        <v>L32 * L38</v>
      </c>
      <c r="E47" s="49"/>
      <c r="F47" s="50"/>
      <c r="G47" s="210"/>
      <c r="H47" s="50"/>
      <c r="I47" s="49"/>
      <c r="J47" s="50"/>
      <c r="K47" s="49">
        <f t="shared" si="5"/>
        <v>561653.22096685751</v>
      </c>
      <c r="L47" s="35"/>
    </row>
    <row r="48" spans="1:13" s="610" customFormat="1">
      <c r="A48" s="617">
        <f t="shared" si="4"/>
        <v>43</v>
      </c>
      <c r="B48" s="49" t="s">
        <v>2390</v>
      </c>
      <c r="C48" s="49">
        <f>$C$43*C38</f>
        <v>5.1534120161921012E-6</v>
      </c>
      <c r="D48" s="371" t="str">
        <f>"L"&amp;A38&amp;" * L"&amp;A43&amp;""</f>
        <v>L33 * L38</v>
      </c>
      <c r="E48" s="49"/>
      <c r="F48" s="50"/>
      <c r="G48" s="210"/>
      <c r="H48" s="50"/>
      <c r="I48" s="49"/>
      <c r="J48" s="50"/>
      <c r="K48" s="49">
        <f t="shared" si="5"/>
        <v>5.1534120161921012E-6</v>
      </c>
      <c r="L48" s="35"/>
    </row>
    <row r="49" spans="1:13" ht="13.5" thickBot="1">
      <c r="A49" s="617">
        <f t="shared" si="4"/>
        <v>44</v>
      </c>
      <c r="B49" s="151" t="s">
        <v>139</v>
      </c>
      <c r="C49" s="211">
        <f>SUM(C44:C48)</f>
        <v>781808454.25731635</v>
      </c>
      <c r="D49" s="146"/>
      <c r="E49" s="211">
        <f>SUM(E44:E48)</f>
        <v>4941081.1657073498</v>
      </c>
      <c r="F49" s="146"/>
      <c r="G49" s="211">
        <f>SUM(G44:G48)</f>
        <v>50302859.185405031</v>
      </c>
      <c r="H49" s="146"/>
      <c r="I49" s="211">
        <f>SUM(I44:I48)</f>
        <v>0</v>
      </c>
      <c r="J49" s="146"/>
      <c r="K49" s="211">
        <f>SUM(K44:K48)</f>
        <v>837052394.60842872</v>
      </c>
      <c r="L49" s="35"/>
    </row>
    <row r="50" spans="1:13" ht="13.5" thickTop="1">
      <c r="A50" s="617">
        <f t="shared" si="4"/>
        <v>45</v>
      </c>
      <c r="B50" s="49"/>
      <c r="C50" s="210"/>
      <c r="D50" s="50"/>
      <c r="E50" s="49"/>
      <c r="F50" s="50"/>
      <c r="G50" s="210"/>
      <c r="H50" s="50"/>
      <c r="I50" s="210"/>
      <c r="J50" s="50"/>
      <c r="K50" s="49"/>
      <c r="L50" s="35"/>
    </row>
    <row r="51" spans="1:13">
      <c r="A51" s="617">
        <f t="shared" si="4"/>
        <v>46</v>
      </c>
      <c r="B51" s="150" t="s">
        <v>140</v>
      </c>
      <c r="C51" s="55">
        <f>C43</f>
        <v>818841205.65999997</v>
      </c>
      <c r="D51" s="369" t="s">
        <v>135</v>
      </c>
      <c r="E51" s="219">
        <f>E43</f>
        <v>480113689.05000001</v>
      </c>
      <c r="F51" s="372" t="s">
        <v>136</v>
      </c>
      <c r="G51" s="53">
        <f>G43</f>
        <v>696127224</v>
      </c>
      <c r="H51" s="369" t="s">
        <v>137</v>
      </c>
      <c r="I51" s="55">
        <f>I43</f>
        <v>389460124.47000003</v>
      </c>
      <c r="J51" s="369" t="s">
        <v>112</v>
      </c>
      <c r="K51" s="53">
        <f t="shared" ref="K51" si="6">C51+E51+G51+I51</f>
        <v>2384542243.1800003</v>
      </c>
      <c r="L51" s="35"/>
    </row>
    <row r="52" spans="1:13">
      <c r="A52" s="617">
        <f t="shared" si="4"/>
        <v>47</v>
      </c>
      <c r="B52" s="49" t="s">
        <v>141</v>
      </c>
      <c r="C52" s="49">
        <f>$C$43*C33</f>
        <v>688994911.31695533</v>
      </c>
      <c r="D52" s="371" t="str">
        <f>"L"&amp;A33&amp;" * L"&amp;A43&amp;""</f>
        <v>L28 * L38</v>
      </c>
      <c r="E52" s="49">
        <f>$E$51*E33</f>
        <v>2941812.4313370581</v>
      </c>
      <c r="F52" s="371" t="str">
        <f>"L"&amp;A33&amp;" * L"&amp;A43&amp;""</f>
        <v>L28 * L38</v>
      </c>
      <c r="G52" s="49">
        <f>$G$51*G33</f>
        <v>48982252.667132929</v>
      </c>
      <c r="H52" s="371" t="str">
        <f>"L"&amp;A33&amp;" * L"&amp;A43&amp;""</f>
        <v>L28 * L38</v>
      </c>
      <c r="I52" s="49">
        <f>$G$51*I33</f>
        <v>0</v>
      </c>
      <c r="J52" s="52"/>
      <c r="K52" s="49">
        <f>C52+E52+G52+I52</f>
        <v>740918976.4154253</v>
      </c>
      <c r="L52" s="35"/>
    </row>
    <row r="53" spans="1:13">
      <c r="A53" s="617">
        <f t="shared" si="4"/>
        <v>48</v>
      </c>
      <c r="B53" s="49" t="s">
        <v>142</v>
      </c>
      <c r="C53" s="49">
        <f>$C$43*C34</f>
        <v>76244680.93033196</v>
      </c>
      <c r="D53" s="371" t="str">
        <f>"L"&amp;A34&amp;" * L"&amp;A43&amp;""</f>
        <v>L29 * L38</v>
      </c>
      <c r="E53" s="49">
        <f>$E$51*E34</f>
        <v>1999268.7343702926</v>
      </c>
      <c r="F53" s="371" t="str">
        <f>"L"&amp;A34&amp;" * L"&amp;A43&amp;""</f>
        <v>L29 * L38</v>
      </c>
      <c r="G53" s="49">
        <f>$G$51*G34</f>
        <v>1320606.5182721077</v>
      </c>
      <c r="H53" s="371" t="str">
        <f>"L"&amp;A34&amp;" * L"&amp;A43&amp;""</f>
        <v>L29 * L38</v>
      </c>
      <c r="I53" s="49">
        <f>$G$51*I34</f>
        <v>0</v>
      </c>
      <c r="J53" s="52"/>
      <c r="K53" s="49">
        <f>C53+E53+G53+I53</f>
        <v>79564556.182974353</v>
      </c>
      <c r="L53" s="35"/>
    </row>
    <row r="54" spans="1:13">
      <c r="A54" s="617">
        <f t="shared" si="4"/>
        <v>49</v>
      </c>
      <c r="B54" s="49" t="s">
        <v>143</v>
      </c>
      <c r="C54" s="49">
        <f>$C$43*C39</f>
        <v>9514580.7927612048</v>
      </c>
      <c r="D54" s="371" t="str">
        <f>"L"&amp;A39&amp;" * L"&amp;A43&amp;""</f>
        <v>L34 * L38</v>
      </c>
      <c r="E54" s="49"/>
      <c r="F54" s="50"/>
      <c r="G54" s="210"/>
      <c r="H54" s="50"/>
      <c r="I54" s="49"/>
      <c r="J54" s="50"/>
      <c r="K54" s="49">
        <f>C54+E54+G54+I54</f>
        <v>9514580.7927612048</v>
      </c>
      <c r="L54" s="35"/>
    </row>
    <row r="55" spans="1:13">
      <c r="A55" s="617">
        <f t="shared" si="4"/>
        <v>50</v>
      </c>
      <c r="B55" s="49" t="s">
        <v>144</v>
      </c>
      <c r="C55" s="49">
        <f>$C$43*C40</f>
        <v>12225634.846464412</v>
      </c>
      <c r="D55" s="371" t="str">
        <f>"L"&amp;A40&amp;" * L"&amp;A43&amp;""</f>
        <v>L35 * L38</v>
      </c>
      <c r="E55" s="49"/>
      <c r="F55" s="50"/>
      <c r="G55" s="210"/>
      <c r="H55" s="50"/>
      <c r="I55" s="49"/>
      <c r="J55" s="50"/>
      <c r="K55" s="49">
        <f>C55+E55+G55+I55</f>
        <v>12225634.846464412</v>
      </c>
      <c r="L55" s="147"/>
    </row>
    <row r="56" spans="1:13">
      <c r="A56" s="617">
        <f t="shared" si="4"/>
        <v>51</v>
      </c>
      <c r="B56" s="49"/>
      <c r="C56" s="210"/>
      <c r="D56" s="50"/>
      <c r="E56" s="49"/>
      <c r="F56" s="50"/>
      <c r="G56" s="210"/>
      <c r="H56" s="50"/>
      <c r="I56" s="210"/>
      <c r="J56" s="50"/>
      <c r="K56" s="49"/>
      <c r="L56" s="35"/>
    </row>
    <row r="57" spans="1:13">
      <c r="A57" s="617">
        <f t="shared" si="4"/>
        <v>52</v>
      </c>
      <c r="B57" s="150" t="s">
        <v>145</v>
      </c>
      <c r="C57" s="53">
        <f>C7-C43</f>
        <v>770089008.12300098</v>
      </c>
      <c r="D57" s="371" t="str">
        <f>"L"&amp;A7&amp;" - L"&amp;A43&amp;""</f>
        <v>L2 - L38</v>
      </c>
      <c r="E57" s="53">
        <f>E8-E44</f>
        <v>4142904.7717926502</v>
      </c>
      <c r="F57" s="374" t="str">
        <f>"L"&amp;A8&amp;" - L"&amp;A44&amp;""</f>
        <v>L3 - L39</v>
      </c>
      <c r="G57" s="53">
        <f>G8-G44</f>
        <v>48899261.824594975</v>
      </c>
      <c r="H57" s="374" t="str">
        <f>"L"&amp;A8&amp;" - L"&amp;A44&amp;""</f>
        <v>L3 - L39</v>
      </c>
      <c r="I57" s="53">
        <f>I8-I44</f>
        <v>0</v>
      </c>
      <c r="J57" s="374" t="str">
        <f>"L"&amp;A8&amp;" - L"&amp;A44&amp;""</f>
        <v>L3 - L39</v>
      </c>
      <c r="K57" s="53">
        <f>C57+E57+G57+I57</f>
        <v>823131174.7193886</v>
      </c>
      <c r="L57" s="35"/>
    </row>
    <row r="58" spans="1:13" s="610" customFormat="1">
      <c r="A58" s="617">
        <f t="shared" si="4"/>
        <v>53</v>
      </c>
      <c r="B58" s="35" t="s">
        <v>2391</v>
      </c>
      <c r="C58" s="49">
        <f>C17-C45</f>
        <v>3556426.4554124386</v>
      </c>
      <c r="D58" s="373" t="str">
        <f>"L"&amp;A17&amp;" - L"&amp;A45&amp;""</f>
        <v>L12 - L40</v>
      </c>
      <c r="E58" s="49"/>
      <c r="F58" s="50"/>
      <c r="G58" s="210"/>
      <c r="H58" s="50"/>
      <c r="I58" s="49"/>
      <c r="J58" s="50"/>
      <c r="K58" s="49">
        <f t="shared" ref="K58:K61" si="7">C58+E58+G58+I58</f>
        <v>3556426.4554124386</v>
      </c>
      <c r="L58" s="35"/>
    </row>
    <row r="59" spans="1:13" s="610" customFormat="1">
      <c r="A59" s="617">
        <f t="shared" si="4"/>
        <v>54</v>
      </c>
      <c r="B59" s="35" t="s">
        <v>2392</v>
      </c>
      <c r="C59" s="49">
        <f>C18-C46</f>
        <v>4.8465879838078996E-6</v>
      </c>
      <c r="D59" s="371" t="str">
        <f>"L"&amp;A18&amp;" - L"&amp;A46&amp;""</f>
        <v>L13 - L41</v>
      </c>
      <c r="E59" s="49"/>
      <c r="F59" s="50"/>
      <c r="G59" s="210"/>
      <c r="H59" s="50"/>
      <c r="I59" s="49"/>
      <c r="J59" s="50"/>
      <c r="K59" s="49">
        <f>C59+E59+G59+I59</f>
        <v>4.8465879838078996E-6</v>
      </c>
      <c r="L59" s="35"/>
    </row>
    <row r="60" spans="1:13" s="610" customFormat="1">
      <c r="A60" s="617">
        <f t="shared" si="4"/>
        <v>55</v>
      </c>
      <c r="B60" s="49" t="s">
        <v>2393</v>
      </c>
      <c r="C60" s="49">
        <f>C19-C47</f>
        <v>528213.49103314255</v>
      </c>
      <c r="D60" s="371" t="str">
        <f>"L"&amp;A19&amp;" - L"&amp;A47&amp;""</f>
        <v>L14 - L42</v>
      </c>
      <c r="E60" s="49"/>
      <c r="F60" s="50"/>
      <c r="G60" s="210"/>
      <c r="H60" s="50"/>
      <c r="I60" s="49"/>
      <c r="J60" s="50"/>
      <c r="K60" s="49">
        <f>C60+E60+G60+I60</f>
        <v>528213.49103314255</v>
      </c>
      <c r="L60" s="35"/>
    </row>
    <row r="61" spans="1:13" s="610" customFormat="1">
      <c r="A61" s="617">
        <f t="shared" si="4"/>
        <v>56</v>
      </c>
      <c r="B61" s="49" t="s">
        <v>2394</v>
      </c>
      <c r="C61" s="49">
        <f>C20-C48</f>
        <v>4.8465879838078996E-6</v>
      </c>
      <c r="D61" s="374" t="str">
        <f>"L"&amp;A20&amp;" - L"&amp;A48&amp;""</f>
        <v>L15 - L43</v>
      </c>
      <c r="E61" s="49"/>
      <c r="F61" s="50"/>
      <c r="G61" s="210"/>
      <c r="H61" s="50"/>
      <c r="I61" s="49"/>
      <c r="J61" s="50"/>
      <c r="K61" s="49">
        <f t="shared" si="7"/>
        <v>4.8465879838078996E-6</v>
      </c>
      <c r="L61" s="35"/>
    </row>
    <row r="62" spans="1:13" s="34" customFormat="1" ht="13.5" thickBot="1">
      <c r="A62" s="617">
        <f t="shared" si="4"/>
        <v>57</v>
      </c>
      <c r="B62" s="151" t="s">
        <v>146</v>
      </c>
      <c r="C62" s="145">
        <f>SUM(C57:C61)</f>
        <v>774173648.06945634</v>
      </c>
      <c r="D62" s="315"/>
      <c r="E62" s="145">
        <f>SUM(E57:E61)</f>
        <v>4142904.7717926502</v>
      </c>
      <c r="F62" s="145"/>
      <c r="G62" s="145">
        <f>SUM(G57:G61)</f>
        <v>48899261.824594975</v>
      </c>
      <c r="H62" s="145"/>
      <c r="I62" s="145">
        <f>SUM(I58:I61)</f>
        <v>0</v>
      </c>
      <c r="J62" s="145"/>
      <c r="K62" s="145">
        <f>SUM(K57:K61)</f>
        <v>827215814.66584396</v>
      </c>
      <c r="L62" s="35"/>
      <c r="M62" s="30"/>
    </row>
    <row r="63" spans="1:13" s="34" customFormat="1" ht="13.5" thickTop="1">
      <c r="A63" s="617">
        <f t="shared" si="4"/>
        <v>58</v>
      </c>
      <c r="B63" s="60"/>
      <c r="C63" s="49"/>
      <c r="D63" s="49"/>
      <c r="E63" s="49"/>
      <c r="F63" s="49"/>
      <c r="G63" s="49"/>
      <c r="H63" s="49"/>
      <c r="I63" s="49"/>
      <c r="J63" s="49"/>
      <c r="K63" s="49"/>
      <c r="L63" s="35"/>
      <c r="M63" s="30"/>
    </row>
    <row r="64" spans="1:13" s="34" customFormat="1">
      <c r="A64" s="617">
        <f t="shared" si="4"/>
        <v>59</v>
      </c>
      <c r="B64" s="150" t="s">
        <v>147</v>
      </c>
      <c r="C64" s="55"/>
      <c r="D64" s="54"/>
      <c r="E64" s="219"/>
      <c r="F64" s="220"/>
      <c r="G64" s="53"/>
      <c r="H64" s="54"/>
      <c r="I64" s="55"/>
      <c r="J64" s="54"/>
      <c r="K64" s="53"/>
      <c r="L64" s="35"/>
      <c r="M64" s="30"/>
    </row>
    <row r="65" spans="1:13" s="34" customFormat="1">
      <c r="A65" s="617">
        <f t="shared" si="4"/>
        <v>60</v>
      </c>
      <c r="B65" s="147" t="s">
        <v>148</v>
      </c>
      <c r="C65" s="147">
        <f>C15-C52</f>
        <v>647973507.18349171</v>
      </c>
      <c r="D65" s="373" t="str">
        <f>"L"&amp;A15&amp;" - L"&amp;A52&amp;""</f>
        <v>L10 - L47</v>
      </c>
      <c r="E65" s="147">
        <f>E15-E52</f>
        <v>2466595.5386629407</v>
      </c>
      <c r="F65" s="373" t="str">
        <f>"L"&amp;A15&amp;" - L"&amp;A52&amp;""</f>
        <v>L10 - L47</v>
      </c>
      <c r="G65" s="147">
        <f>G15-G52</f>
        <v>47615504.102867082</v>
      </c>
      <c r="H65" s="373" t="str">
        <f>"L"&amp;A15&amp;" - L"&amp;A52&amp;""</f>
        <v>L10 - L47</v>
      </c>
      <c r="I65" s="147"/>
      <c r="J65" s="148"/>
      <c r="K65" s="147">
        <f>C65+E65+G65+I65</f>
        <v>698055606.82502174</v>
      </c>
      <c r="L65" s="35"/>
      <c r="M65" s="30"/>
    </row>
    <row r="66" spans="1:13" s="34" customFormat="1">
      <c r="A66" s="617">
        <f t="shared" si="4"/>
        <v>61</v>
      </c>
      <c r="B66" s="147" t="s">
        <v>149</v>
      </c>
      <c r="C66" s="147">
        <f>C16-C53</f>
        <v>71705222.339133009</v>
      </c>
      <c r="D66" s="371" t="str">
        <f>"L"&amp;A16&amp;" - L"&amp;A53&amp;""</f>
        <v>L11 - L48</v>
      </c>
      <c r="E66" s="147">
        <f>E16-E53</f>
        <v>1676309.2331297086</v>
      </c>
      <c r="F66" s="371" t="str">
        <f>"L"&amp;A16&amp;" - L"&amp;A53&amp;""</f>
        <v>L11 - L48</v>
      </c>
      <c r="G66" s="147">
        <f>G16-G53</f>
        <v>1283757.7217278925</v>
      </c>
      <c r="H66" s="371" t="str">
        <f>"L"&amp;A16&amp;" - L"&amp;A53&amp;""</f>
        <v>L11 - L48</v>
      </c>
      <c r="I66" s="147"/>
      <c r="J66" s="148"/>
      <c r="K66" s="147">
        <f>C66+E66+G66+I66</f>
        <v>74665289.293990612</v>
      </c>
      <c r="L66" s="35"/>
      <c r="M66" s="30"/>
    </row>
    <row r="67" spans="1:13" s="34" customFormat="1">
      <c r="A67" s="617">
        <f t="shared" si="4"/>
        <v>62</v>
      </c>
      <c r="B67" s="147" t="s">
        <v>150</v>
      </c>
      <c r="C67" s="147">
        <f>C21-C54</f>
        <v>8948101.3348587956</v>
      </c>
      <c r="D67" s="371" t="str">
        <f>"L"&amp;A21&amp;" - L"&amp;A54&amp;""</f>
        <v>L16 - L49</v>
      </c>
      <c r="E67" s="147"/>
      <c r="F67" s="375"/>
      <c r="G67" s="149"/>
      <c r="H67" s="375"/>
      <c r="I67" s="147"/>
      <c r="J67" s="148"/>
      <c r="K67" s="147">
        <f>C67+E67+G67+I67</f>
        <v>8948101.3348587956</v>
      </c>
      <c r="L67" s="35"/>
      <c r="M67" s="30"/>
    </row>
    <row r="68" spans="1:13" s="34" customFormat="1">
      <c r="A68" s="617">
        <f t="shared" si="4"/>
        <v>63</v>
      </c>
      <c r="B68" s="147" t="s">
        <v>151</v>
      </c>
      <c r="C68" s="147">
        <f>C22-C55</f>
        <v>11497744.553535586</v>
      </c>
      <c r="D68" s="371" t="str">
        <f>"L"&amp;A22&amp;" - L"&amp;A55&amp;""</f>
        <v>L17 - L50</v>
      </c>
      <c r="E68" s="147"/>
      <c r="F68" s="375"/>
      <c r="G68" s="149"/>
      <c r="H68" s="375"/>
      <c r="I68" s="147"/>
      <c r="J68" s="148"/>
      <c r="K68" s="147">
        <f>C68+E68+G68+I68</f>
        <v>11497744.553535586</v>
      </c>
      <c r="L68" s="35"/>
      <c r="M68" s="30"/>
    </row>
    <row r="69" spans="1:13" s="34" customFormat="1">
      <c r="A69" s="617">
        <f t="shared" si="4"/>
        <v>64</v>
      </c>
      <c r="B69" s="147"/>
      <c r="C69" s="149"/>
      <c r="D69" s="375"/>
      <c r="E69" s="147"/>
      <c r="F69" s="375"/>
      <c r="G69" s="149"/>
      <c r="H69" s="375"/>
      <c r="I69" s="149"/>
      <c r="J69" s="148"/>
      <c r="K69" s="147"/>
      <c r="L69" s="35"/>
      <c r="M69" s="30"/>
    </row>
    <row r="70" spans="1:13">
      <c r="A70" s="617">
        <f t="shared" si="4"/>
        <v>65</v>
      </c>
      <c r="B70" s="150" t="s">
        <v>152</v>
      </c>
      <c r="C70" s="53">
        <f>26101813.9+7957517.93</f>
        <v>34059331.829999998</v>
      </c>
      <c r="D70" s="369" t="s">
        <v>135</v>
      </c>
      <c r="E70" s="57">
        <f>22075111.17</f>
        <v>22075111.170000002</v>
      </c>
      <c r="F70" s="376" t="s">
        <v>136</v>
      </c>
      <c r="G70" s="55">
        <f>2521605+3432258+3192275+1566434+5940799+3637578</f>
        <v>20290949</v>
      </c>
      <c r="H70" s="376" t="s">
        <v>153</v>
      </c>
      <c r="I70" s="57">
        <f>5793142.64</f>
        <v>5793142.6399999997</v>
      </c>
      <c r="J70" s="376" t="s">
        <v>112</v>
      </c>
      <c r="K70" s="53">
        <f t="shared" ref="K70:K75" si="8">C70+E70+G70+I70</f>
        <v>82218534.640000001</v>
      </c>
      <c r="L70" s="49"/>
    </row>
    <row r="71" spans="1:13">
      <c r="A71" s="617">
        <f t="shared" si="4"/>
        <v>66</v>
      </c>
      <c r="B71" s="49" t="s">
        <v>154</v>
      </c>
      <c r="C71" s="49">
        <f>$C$70*C25</f>
        <v>32338316.60258121</v>
      </c>
      <c r="D71" s="371" t="str">
        <f>"L"&amp;A25&amp;" * L"&amp;A70&amp;""</f>
        <v>L20 * L65</v>
      </c>
      <c r="E71" s="49">
        <f>E70*E25</f>
        <v>227185.59899595715</v>
      </c>
      <c r="F71" s="371" t="str">
        <f>"L"&amp;A25&amp;" * L"&amp;A70&amp;""</f>
        <v>L20 * L65</v>
      </c>
      <c r="G71" s="39">
        <f>G70*G25</f>
        <v>1466244.55285667</v>
      </c>
      <c r="H71" s="371" t="str">
        <f>"L"&amp;A25&amp;" * L"&amp;A70&amp;""</f>
        <v>L20 * L65</v>
      </c>
      <c r="I71" s="49">
        <f>I70*I25</f>
        <v>0</v>
      </c>
      <c r="J71" s="50"/>
      <c r="K71" s="49">
        <f t="shared" si="8"/>
        <v>34031746.754433841</v>
      </c>
      <c r="L71" s="49"/>
    </row>
    <row r="72" spans="1:13" s="610" customFormat="1">
      <c r="A72" s="617">
        <f t="shared" si="4"/>
        <v>67</v>
      </c>
      <c r="B72" s="35" t="s">
        <v>2395</v>
      </c>
      <c r="C72" s="49">
        <f>$C$70*C35</f>
        <v>157292.86809212028</v>
      </c>
      <c r="D72" s="371" t="str">
        <f>"L"&amp;A35&amp;" * L"&amp;A70&amp;""</f>
        <v>L30 * L65</v>
      </c>
      <c r="E72" s="49"/>
      <c r="F72" s="50"/>
      <c r="G72" s="210"/>
      <c r="H72" s="50"/>
      <c r="I72" s="49"/>
      <c r="J72" s="50"/>
      <c r="K72" s="49">
        <f t="shared" si="8"/>
        <v>157292.86809212028</v>
      </c>
      <c r="L72" s="49"/>
    </row>
    <row r="73" spans="1:13" s="610" customFormat="1">
      <c r="A73" s="617">
        <f t="shared" si="4"/>
        <v>68</v>
      </c>
      <c r="B73" s="35" t="s">
        <v>2396</v>
      </c>
      <c r="C73" s="49">
        <f>$C$70*C36</f>
        <v>2.1435385603820775E-7</v>
      </c>
      <c r="D73" s="371" t="str">
        <f>"L"&amp;A36&amp;" * L"&amp;A70&amp;""</f>
        <v>L31 * L65</v>
      </c>
      <c r="E73" s="49"/>
      <c r="F73" s="50"/>
      <c r="G73" s="210"/>
      <c r="H73" s="50"/>
      <c r="I73" s="49"/>
      <c r="J73" s="50"/>
      <c r="K73" s="49">
        <f t="shared" si="8"/>
        <v>2.1435385603820775E-7</v>
      </c>
      <c r="L73" s="49"/>
    </row>
    <row r="74" spans="1:13" s="610" customFormat="1">
      <c r="A74" s="617">
        <f t="shared" si="4"/>
        <v>69</v>
      </c>
      <c r="B74" s="147" t="s">
        <v>2398</v>
      </c>
      <c r="C74" s="49">
        <f>$C$70*C37</f>
        <v>23361.713228488279</v>
      </c>
      <c r="D74" s="371" t="str">
        <f>"L"&amp;A37&amp;" * L"&amp;A70&amp;""</f>
        <v>L32 * L65</v>
      </c>
      <c r="E74" s="49"/>
      <c r="F74" s="50"/>
      <c r="G74" s="210"/>
      <c r="H74" s="50"/>
      <c r="I74" s="49"/>
      <c r="J74" s="50"/>
      <c r="K74" s="49">
        <f t="shared" si="8"/>
        <v>23361.713228488279</v>
      </c>
      <c r="L74" s="49"/>
    </row>
    <row r="75" spans="1:13" s="610" customFormat="1">
      <c r="A75" s="617">
        <f t="shared" ref="A75:A106" si="9">A74+1</f>
        <v>70</v>
      </c>
      <c r="B75" s="49" t="s">
        <v>2397</v>
      </c>
      <c r="C75" s="49">
        <f>$C$70*C38</f>
        <v>2.1435385603820775E-7</v>
      </c>
      <c r="D75" s="371" t="str">
        <f>"L"&amp;A38&amp;" * L"&amp;A70&amp;""</f>
        <v>L33 * L65</v>
      </c>
      <c r="E75" s="49"/>
      <c r="F75" s="50"/>
      <c r="G75" s="210"/>
      <c r="H75" s="50"/>
      <c r="I75" s="49"/>
      <c r="J75" s="50"/>
      <c r="K75" s="49">
        <f t="shared" si="8"/>
        <v>2.1435385603820775E-7</v>
      </c>
      <c r="L75" s="49"/>
    </row>
    <row r="76" spans="1:13" s="34" customFormat="1" ht="13.5" thickBot="1">
      <c r="A76" s="617">
        <f t="shared" si="9"/>
        <v>71</v>
      </c>
      <c r="B76" s="151" t="s">
        <v>155</v>
      </c>
      <c r="C76" s="145">
        <f>SUM(C71:C75)</f>
        <v>32518971.183902249</v>
      </c>
      <c r="D76" s="146"/>
      <c r="E76" s="145">
        <f>SUM(E71:E75)</f>
        <v>227185.59899595715</v>
      </c>
      <c r="F76" s="146"/>
      <c r="G76" s="145">
        <f>SUM(G71:G75)</f>
        <v>1466244.55285667</v>
      </c>
      <c r="H76" s="146"/>
      <c r="I76" s="145">
        <f>SUM(I71:I75)</f>
        <v>0</v>
      </c>
      <c r="J76" s="146"/>
      <c r="K76" s="145">
        <f>SUM(K71:K75)</f>
        <v>34212401.335754879</v>
      </c>
      <c r="L76" s="49"/>
      <c r="M76" s="30"/>
    </row>
    <row r="77" spans="1:13" s="34" customFormat="1" ht="13.5" thickTop="1">
      <c r="A77" s="617">
        <f t="shared" si="9"/>
        <v>72</v>
      </c>
      <c r="B77" s="60"/>
      <c r="C77" s="49"/>
      <c r="D77" s="50"/>
      <c r="E77" s="49"/>
      <c r="F77" s="50"/>
      <c r="G77" s="49"/>
      <c r="H77" s="50"/>
      <c r="I77" s="49"/>
      <c r="J77" s="50"/>
      <c r="K77" s="49"/>
      <c r="L77" s="49"/>
      <c r="M77" s="30"/>
    </row>
    <row r="78" spans="1:13" s="34" customFormat="1">
      <c r="A78" s="617">
        <f t="shared" si="9"/>
        <v>73</v>
      </c>
      <c r="B78" s="150" t="s">
        <v>156</v>
      </c>
      <c r="C78" s="53">
        <f>C70</f>
        <v>34059331.829999998</v>
      </c>
      <c r="D78" s="369" t="s">
        <v>135</v>
      </c>
      <c r="E78" s="57">
        <f>E70</f>
        <v>22075111.170000002</v>
      </c>
      <c r="F78" s="376" t="s">
        <v>136</v>
      </c>
      <c r="G78" s="55">
        <f>G70</f>
        <v>20290949</v>
      </c>
      <c r="H78" s="376" t="s">
        <v>137</v>
      </c>
      <c r="I78" s="57">
        <f>I70</f>
        <v>5793142.6399999997</v>
      </c>
      <c r="J78" s="376" t="s">
        <v>112</v>
      </c>
      <c r="K78" s="53">
        <f>C78+E78+G78+I78</f>
        <v>82218534.640000001</v>
      </c>
      <c r="L78" s="35"/>
      <c r="M78" s="30"/>
    </row>
    <row r="79" spans="1:13" s="34" customFormat="1">
      <c r="A79" s="617">
        <f t="shared" si="9"/>
        <v>74</v>
      </c>
      <c r="B79" s="147" t="s">
        <v>157</v>
      </c>
      <c r="C79" s="147">
        <f>$C$78*C33</f>
        <v>28658433.590687506</v>
      </c>
      <c r="D79" s="371" t="str">
        <f>"L"&amp;A33&amp;" * L"&amp;A78&amp;""</f>
        <v>L28 * L73</v>
      </c>
      <c r="E79" s="147">
        <f>$E$78*E33</f>
        <v>135261.3723461038</v>
      </c>
      <c r="F79" s="371" t="str">
        <f>"L"&amp;A33&amp;" * L"&amp;A78&amp;""</f>
        <v>L28 * L73</v>
      </c>
      <c r="G79" s="147">
        <f>$G$78*G33</f>
        <v>1427751.0726601151</v>
      </c>
      <c r="H79" s="371" t="str">
        <f>"L"&amp;A33&amp;" * L"&amp;A78&amp;""</f>
        <v>L28 * L73</v>
      </c>
      <c r="I79" s="147"/>
      <c r="J79" s="148"/>
      <c r="K79" s="147">
        <f>C79+E79+G79+I79</f>
        <v>30221446.035693724</v>
      </c>
      <c r="L79" s="35"/>
      <c r="M79" s="30"/>
    </row>
    <row r="80" spans="1:13" s="34" customFormat="1">
      <c r="A80" s="617">
        <f t="shared" si="9"/>
        <v>75</v>
      </c>
      <c r="B80" s="147" t="s">
        <v>158</v>
      </c>
      <c r="C80" s="147">
        <f>$C$78*C34</f>
        <v>3171363.2266289648</v>
      </c>
      <c r="D80" s="371" t="str">
        <f>"L"&amp;A34&amp;" * L"&amp;A78&amp;""</f>
        <v>L29 * L73</v>
      </c>
      <c r="E80" s="147">
        <f>$E$78*E34</f>
        <v>91924.226649853343</v>
      </c>
      <c r="F80" s="371" t="str">
        <f>"L"&amp;A34&amp;" * L"&amp;A78&amp;""</f>
        <v>L29 * L73</v>
      </c>
      <c r="G80" s="147">
        <f>$G$78*G34</f>
        <v>38493.480196555145</v>
      </c>
      <c r="H80" s="371" t="str">
        <f>"L"&amp;A34&amp;" * L"&amp;A78&amp;""</f>
        <v>L29 * L73</v>
      </c>
      <c r="I80" s="147"/>
      <c r="J80" s="148"/>
      <c r="K80" s="147">
        <f>C80+E80+G80+I80</f>
        <v>3301780.9334753733</v>
      </c>
      <c r="L80" s="35"/>
      <c r="M80" s="30"/>
    </row>
    <row r="81" spans="1:13" s="34" customFormat="1">
      <c r="A81" s="617">
        <f t="shared" si="9"/>
        <v>76</v>
      </c>
      <c r="B81" s="147" t="s">
        <v>159</v>
      </c>
      <c r="C81" s="147">
        <f>$C$78*C39</f>
        <v>395754.71068630484</v>
      </c>
      <c r="D81" s="371" t="str">
        <f>"L"&amp;A39&amp;" * L"&amp;A78&amp;""</f>
        <v>L34 * L73</v>
      </c>
      <c r="E81" s="147"/>
      <c r="F81" s="148"/>
      <c r="G81" s="149"/>
      <c r="H81" s="148"/>
      <c r="I81" s="147"/>
      <c r="J81" s="148"/>
      <c r="K81" s="147">
        <f>C81+E81+G81+I81</f>
        <v>395754.71068630484</v>
      </c>
      <c r="L81" s="35"/>
      <c r="M81" s="30"/>
    </row>
    <row r="82" spans="1:13" s="34" customFormat="1">
      <c r="A82" s="617">
        <f t="shared" si="9"/>
        <v>77</v>
      </c>
      <c r="B82" s="147" t="s">
        <v>160</v>
      </c>
      <c r="C82" s="147">
        <f>$C$78*C40</f>
        <v>508519.7852647382</v>
      </c>
      <c r="D82" s="371" t="str">
        <f>"L"&amp;A40&amp;" * L"&amp;A78&amp;""</f>
        <v>L35 * L73</v>
      </c>
      <c r="E82" s="147"/>
      <c r="F82" s="148"/>
      <c r="G82" s="149"/>
      <c r="H82" s="148"/>
      <c r="I82" s="147"/>
      <c r="J82" s="148"/>
      <c r="K82" s="147">
        <f>C82+E82+G82+I82</f>
        <v>508519.7852647382</v>
      </c>
      <c r="L82" s="35"/>
      <c r="M82" s="30"/>
    </row>
    <row r="83" spans="1:13" s="34" customFormat="1">
      <c r="A83" s="617">
        <f t="shared" si="9"/>
        <v>78</v>
      </c>
      <c r="B83" s="147"/>
      <c r="C83" s="149"/>
      <c r="D83" s="148"/>
      <c r="E83" s="147"/>
      <c r="F83" s="148"/>
      <c r="G83" s="149"/>
      <c r="H83" s="148"/>
      <c r="I83" s="149"/>
      <c r="J83" s="148"/>
      <c r="K83" s="147"/>
      <c r="L83" s="35"/>
      <c r="M83" s="30"/>
    </row>
    <row r="84" spans="1:13">
      <c r="A84" s="617">
        <f t="shared" si="9"/>
        <v>79</v>
      </c>
      <c r="B84" s="47" t="s">
        <v>64</v>
      </c>
      <c r="C84" s="48"/>
      <c r="D84" s="48"/>
      <c r="E84" s="48"/>
      <c r="F84" s="48"/>
      <c r="G84" s="48"/>
      <c r="H84" s="48"/>
      <c r="I84" s="48"/>
      <c r="J84" s="48"/>
      <c r="K84" s="48"/>
      <c r="L84" s="49"/>
    </row>
    <row r="85" spans="1:13">
      <c r="A85" s="617">
        <f t="shared" si="9"/>
        <v>80</v>
      </c>
      <c r="B85" s="60" t="s">
        <v>161</v>
      </c>
      <c r="C85" s="49"/>
      <c r="D85" s="49"/>
      <c r="E85" s="49"/>
      <c r="F85" s="49"/>
      <c r="G85" s="49"/>
      <c r="H85" s="49"/>
      <c r="I85" s="49"/>
      <c r="J85" s="49"/>
      <c r="K85" s="49"/>
      <c r="L85" s="49"/>
    </row>
    <row r="86" spans="1:13">
      <c r="A86" s="617">
        <f t="shared" si="9"/>
        <v>81</v>
      </c>
      <c r="B86" s="604" t="s">
        <v>162</v>
      </c>
      <c r="C86" s="604">
        <f>312049366+60467644+402189541+137905205</f>
        <v>912611756</v>
      </c>
      <c r="D86" s="605" t="s">
        <v>163</v>
      </c>
      <c r="E86" s="604">
        <f>185095547+7307496+178225154+6090586</f>
        <v>376718783</v>
      </c>
      <c r="F86" s="605" t="s">
        <v>163</v>
      </c>
      <c r="G86" s="604">
        <f>535999618+175504079</f>
        <v>711503697</v>
      </c>
      <c r="H86" s="605" t="s">
        <v>163</v>
      </c>
      <c r="I86" s="604">
        <f>162814312+66531008</f>
        <v>229345320</v>
      </c>
      <c r="J86" s="605" t="s">
        <v>163</v>
      </c>
      <c r="K86" s="604">
        <f>SUM(C86:I86)</f>
        <v>2230179556</v>
      </c>
      <c r="L86" s="49"/>
    </row>
    <row r="87" spans="1:13">
      <c r="A87" s="617">
        <f t="shared" si="9"/>
        <v>82</v>
      </c>
      <c r="B87" s="147" t="s">
        <v>164</v>
      </c>
      <c r="C87" s="147">
        <f>$C$86*C25</f>
        <v>866497559.26129663</v>
      </c>
      <c r="D87" s="371" t="str">
        <f>"L"&amp;A25&amp;" * L"&amp;A86&amp;""</f>
        <v>L20 * L81</v>
      </c>
      <c r="E87" s="147">
        <f>$E$86*E25</f>
        <v>3876994.3992487257</v>
      </c>
      <c r="F87" s="371" t="str">
        <f>"L"&amp;A25&amp;" * L"&amp;A86&amp;""</f>
        <v>L20 * L81</v>
      </c>
      <c r="G87" s="188">
        <f>$G$86*G25</f>
        <v>51413978.718473576</v>
      </c>
      <c r="H87" s="371" t="str">
        <f>"L"&amp;A25&amp;" * L"&amp;A86&amp;""</f>
        <v>L20 * L81</v>
      </c>
      <c r="I87" s="147">
        <f>$I$86*I25</f>
        <v>0</v>
      </c>
      <c r="J87" s="148"/>
      <c r="K87" s="147">
        <f>C87+E87+G87+I87</f>
        <v>921788532.3790189</v>
      </c>
      <c r="L87" s="49"/>
    </row>
    <row r="88" spans="1:13" s="610" customFormat="1">
      <c r="A88" s="617">
        <f t="shared" si="9"/>
        <v>83</v>
      </c>
      <c r="B88" s="189" t="s">
        <v>2399</v>
      </c>
      <c r="C88" s="147">
        <f>$C$86*C35</f>
        <v>4214625.2684084522</v>
      </c>
      <c r="D88" s="371" t="str">
        <f>"L"&amp;A35&amp;" * L"&amp;A86&amp;""</f>
        <v>L30 * L81</v>
      </c>
      <c r="E88" s="147"/>
      <c r="F88" s="148"/>
      <c r="G88" s="149"/>
      <c r="H88" s="148"/>
      <c r="I88" s="147"/>
      <c r="J88" s="148"/>
      <c r="K88" s="147">
        <f>C88+E88+G88+I88</f>
        <v>4214625.2684084522</v>
      </c>
      <c r="L88" s="49"/>
    </row>
    <row r="89" spans="1:13" s="610" customFormat="1">
      <c r="A89" s="617">
        <f t="shared" si="9"/>
        <v>84</v>
      </c>
      <c r="B89" s="189" t="s">
        <v>2415</v>
      </c>
      <c r="C89" s="147">
        <f>$C$86*C36</f>
        <v>5.7435609700391465E-6</v>
      </c>
      <c r="D89" s="371" t="str">
        <f>"L"&amp;A36&amp;" * L"&amp;A86&amp;""</f>
        <v>L31 * L81</v>
      </c>
      <c r="E89" s="147"/>
      <c r="F89" s="148"/>
      <c r="G89" s="149"/>
      <c r="H89" s="148"/>
      <c r="I89" s="147"/>
      <c r="J89" s="148"/>
      <c r="K89" s="147">
        <f>C89+E89+G89+I89</f>
        <v>5.7435609700391465E-6</v>
      </c>
      <c r="L89" s="49"/>
    </row>
    <row r="90" spans="1:13" s="610" customFormat="1">
      <c r="A90" s="617">
        <f t="shared" si="9"/>
        <v>85</v>
      </c>
      <c r="B90" s="147" t="s">
        <v>2416</v>
      </c>
      <c r="C90" s="147">
        <f>$C$86*C37</f>
        <v>625971.59095880936</v>
      </c>
      <c r="D90" s="371" t="str">
        <f>"L"&amp;A37&amp;" * L"&amp;A86&amp;""</f>
        <v>L32 * L81</v>
      </c>
      <c r="E90" s="147"/>
      <c r="F90" s="148"/>
      <c r="G90" s="149"/>
      <c r="H90" s="148"/>
      <c r="I90" s="147"/>
      <c r="J90" s="148"/>
      <c r="K90" s="147">
        <f>C90+E90+G90+I90</f>
        <v>625971.59095880936</v>
      </c>
      <c r="L90" s="49"/>
    </row>
    <row r="91" spans="1:13" s="610" customFormat="1">
      <c r="A91" s="617">
        <f t="shared" si="9"/>
        <v>86</v>
      </c>
      <c r="B91" s="147" t="s">
        <v>2400</v>
      </c>
      <c r="C91" s="147">
        <f>$C$86*C38</f>
        <v>5.7435609700391465E-6</v>
      </c>
      <c r="D91" s="371" t="str">
        <f>"L"&amp;A38&amp;" * L"&amp;A86&amp;""</f>
        <v>L33 * L81</v>
      </c>
      <c r="E91" s="147"/>
      <c r="F91" s="148"/>
      <c r="G91" s="149"/>
      <c r="H91" s="148"/>
      <c r="I91" s="147"/>
      <c r="J91" s="148"/>
      <c r="K91" s="147">
        <f>C91+E91+G91+I91</f>
        <v>5.7435609700391465E-6</v>
      </c>
      <c r="L91" s="49"/>
    </row>
    <row r="92" spans="1:13" s="34" customFormat="1" ht="13.5" thickBot="1">
      <c r="A92" s="617">
        <f t="shared" si="9"/>
        <v>87</v>
      </c>
      <c r="B92" s="151" t="s">
        <v>165</v>
      </c>
      <c r="C92" s="145">
        <f>SUM(C87:C91)</f>
        <v>871338156.12067533</v>
      </c>
      <c r="D92" s="146"/>
      <c r="E92" s="145">
        <f>SUM(E87:E91)</f>
        <v>3876994.3992487257</v>
      </c>
      <c r="F92" s="146"/>
      <c r="G92" s="145">
        <f>SUM(G87:G91)</f>
        <v>51413978.718473576</v>
      </c>
      <c r="H92" s="146"/>
      <c r="I92" s="145">
        <f>SUM(I87:I91)</f>
        <v>0</v>
      </c>
      <c r="J92" s="146"/>
      <c r="K92" s="145">
        <f>SUM(K87:K91)</f>
        <v>926629129.2383976</v>
      </c>
      <c r="L92" s="49"/>
      <c r="M92" s="30"/>
    </row>
    <row r="93" spans="1:13" s="34" customFormat="1" ht="13.5" thickTop="1">
      <c r="A93" s="617">
        <f t="shared" si="9"/>
        <v>88</v>
      </c>
      <c r="B93" s="60"/>
      <c r="C93" s="49"/>
      <c r="D93" s="50"/>
      <c r="E93" s="49"/>
      <c r="F93" s="50"/>
      <c r="G93" s="49"/>
      <c r="H93" s="50"/>
      <c r="I93" s="49"/>
      <c r="J93" s="50"/>
      <c r="K93" s="49"/>
      <c r="L93" s="49"/>
      <c r="M93" s="30"/>
    </row>
    <row r="94" spans="1:13" s="34" customFormat="1">
      <c r="A94" s="617">
        <f t="shared" si="9"/>
        <v>89</v>
      </c>
      <c r="B94" s="150" t="s">
        <v>166</v>
      </c>
      <c r="C94" s="53"/>
      <c r="D94" s="54"/>
      <c r="E94" s="57"/>
      <c r="F94" s="58"/>
      <c r="G94" s="55"/>
      <c r="H94" s="58"/>
      <c r="I94" s="57"/>
      <c r="J94" s="58"/>
      <c r="K94" s="53"/>
      <c r="L94" s="35"/>
      <c r="M94" s="30"/>
    </row>
    <row r="95" spans="1:13" s="34" customFormat="1">
      <c r="A95" s="617">
        <f t="shared" si="9"/>
        <v>90</v>
      </c>
      <c r="B95" s="147" t="s">
        <v>167</v>
      </c>
      <c r="C95" s="147">
        <f>$C$86*C33</f>
        <v>767895962.667413</v>
      </c>
      <c r="D95" s="371" t="str">
        <f>"L"&amp;A33&amp;" * L"&amp;A86&amp;""</f>
        <v>L28 * L81</v>
      </c>
      <c r="E95" s="147">
        <f>$E$86*E33</f>
        <v>2308278.2770481547</v>
      </c>
      <c r="F95" s="371" t="str">
        <f>"L"&amp;A33&amp;" * L"&amp;A86&amp;""</f>
        <v>L28 * L81</v>
      </c>
      <c r="G95" s="147">
        <f>$G$86*G33</f>
        <v>50064201.856373869</v>
      </c>
      <c r="H95" s="371" t="str">
        <f>"L"&amp;A33&amp;" * L"&amp;A86&amp;""</f>
        <v>L28 * L81</v>
      </c>
      <c r="I95" s="147"/>
      <c r="J95" s="148"/>
      <c r="K95" s="147">
        <f>C95+E95+G95+I95</f>
        <v>820268442.80083501</v>
      </c>
      <c r="L95" s="35"/>
      <c r="M95" s="30"/>
    </row>
    <row r="96" spans="1:13" s="34" customFormat="1">
      <c r="A96" s="617">
        <f t="shared" si="9"/>
        <v>91</v>
      </c>
      <c r="B96" s="147" t="s">
        <v>168</v>
      </c>
      <c r="C96" s="147">
        <f>$C$86*C34</f>
        <v>84975928.993956596</v>
      </c>
      <c r="D96" s="371" t="str">
        <f>"L"&amp;A34&amp;" * L"&amp;A86&amp;""</f>
        <v>L29 * L81</v>
      </c>
      <c r="E96" s="147">
        <f>$E$86*E34</f>
        <v>1568716.1222005715</v>
      </c>
      <c r="F96" s="371" t="str">
        <f>"L"&amp;A34&amp;" * L"&amp;A86&amp;""</f>
        <v>L29 * L81</v>
      </c>
      <c r="G96" s="147">
        <f>$G$86*G34</f>
        <v>1349776.8620997111</v>
      </c>
      <c r="H96" s="371" t="str">
        <f>"L"&amp;A34&amp;" * L"&amp;A86&amp;""</f>
        <v>L29 * L81</v>
      </c>
      <c r="I96" s="147"/>
      <c r="J96" s="148"/>
      <c r="K96" s="147">
        <f>C96+E96+G96+I96</f>
        <v>87894421.978256881</v>
      </c>
      <c r="L96" s="35"/>
      <c r="M96" s="30"/>
    </row>
    <row r="97" spans="1:13" s="34" customFormat="1">
      <c r="A97" s="617">
        <f t="shared" si="9"/>
        <v>92</v>
      </c>
      <c r="B97" s="147" t="s">
        <v>169</v>
      </c>
      <c r="C97" s="147">
        <f>$C$86*C39</f>
        <v>10604154.047043754</v>
      </c>
      <c r="D97" s="371" t="str">
        <f>"L"&amp;A39&amp;" * L"&amp;A86&amp;""</f>
        <v>L34 * L81</v>
      </c>
      <c r="E97" s="147"/>
      <c r="F97" s="148"/>
      <c r="G97" s="149"/>
      <c r="H97" s="148"/>
      <c r="I97" s="147"/>
      <c r="J97" s="148"/>
      <c r="K97" s="147">
        <f>C97+E97+G97+I97</f>
        <v>10604154.047043754</v>
      </c>
      <c r="L97" s="35"/>
      <c r="M97" s="30"/>
    </row>
    <row r="98" spans="1:13" s="34" customFormat="1">
      <c r="A98" s="617">
        <f t="shared" si="9"/>
        <v>93</v>
      </c>
      <c r="B98" s="147" t="s">
        <v>170</v>
      </c>
      <c r="C98" s="147">
        <f>$C$86*C40</f>
        <v>13625667.599927068</v>
      </c>
      <c r="D98" s="371" t="str">
        <f>"L"&amp;A40&amp;" * L"&amp;A86&amp;""</f>
        <v>L35 * L81</v>
      </c>
      <c r="E98" s="147"/>
      <c r="F98" s="148"/>
      <c r="G98" s="149"/>
      <c r="H98" s="148"/>
      <c r="I98" s="147"/>
      <c r="J98" s="148"/>
      <c r="K98" s="147">
        <f>C98+E98+G98+I98</f>
        <v>13625667.599927068</v>
      </c>
      <c r="L98" s="35"/>
      <c r="M98" s="30"/>
    </row>
    <row r="99" spans="1:13" s="34" customFormat="1">
      <c r="A99" s="617">
        <f t="shared" si="9"/>
        <v>94</v>
      </c>
      <c r="B99" s="147"/>
      <c r="C99" s="149"/>
      <c r="D99" s="148"/>
      <c r="E99" s="147"/>
      <c r="F99" s="148"/>
      <c r="G99" s="149"/>
      <c r="H99" s="148"/>
      <c r="I99" s="149"/>
      <c r="J99" s="148"/>
      <c r="K99" s="147"/>
      <c r="L99" s="189"/>
    </row>
    <row r="100" spans="1:13">
      <c r="A100" s="617">
        <f t="shared" si="9"/>
        <v>95</v>
      </c>
      <c r="B100" s="603" t="s">
        <v>171</v>
      </c>
      <c r="C100" s="604">
        <f>14280522+3079873+16529484+5814891</f>
        <v>39704770</v>
      </c>
      <c r="D100" s="605" t="s">
        <v>172</v>
      </c>
      <c r="E100" s="604">
        <f>7402610+10637227</f>
        <v>18039837</v>
      </c>
      <c r="F100" s="605" t="s">
        <v>173</v>
      </c>
      <c r="G100" s="604">
        <f>21260423.27</f>
        <v>21260423.27</v>
      </c>
      <c r="H100" s="605" t="s">
        <v>112</v>
      </c>
      <c r="I100" s="604">
        <f>9142887.13</f>
        <v>9142887.1300000008</v>
      </c>
      <c r="J100" s="605" t="s">
        <v>112</v>
      </c>
      <c r="K100" s="604">
        <f>SUM(C100:I100)</f>
        <v>88147917.399999991</v>
      </c>
      <c r="L100" s="49"/>
    </row>
    <row r="101" spans="1:13" s="34" customFormat="1">
      <c r="A101" s="617">
        <f t="shared" si="9"/>
        <v>96</v>
      </c>
      <c r="B101" s="147" t="s">
        <v>174</v>
      </c>
      <c r="C101" s="147">
        <f>$C$100*C25</f>
        <v>37698491.247609079</v>
      </c>
      <c r="D101" s="371" t="str">
        <f>"L"&amp;A25&amp;" * L"&amp;A100&amp;""</f>
        <v>L20 * L95</v>
      </c>
      <c r="E101" s="147">
        <f>$E$100*E25</f>
        <v>185656.64938549118</v>
      </c>
      <c r="F101" s="371" t="str">
        <f>"L"&amp;A25&amp;" * L"&amp;A100&amp;""</f>
        <v>L20 * L95</v>
      </c>
      <c r="G101" s="188">
        <f>G100*G25</f>
        <v>1536299.7468016252</v>
      </c>
      <c r="H101" s="371" t="str">
        <f>"L"&amp;A25&amp;" * L"&amp;A100&amp;""</f>
        <v>L20 * L95</v>
      </c>
      <c r="I101" s="147">
        <f>I100*I25</f>
        <v>0</v>
      </c>
      <c r="J101" s="148"/>
      <c r="K101" s="147">
        <f>C101+E101+G101+I101</f>
        <v>39420447.643796191</v>
      </c>
      <c r="L101" s="49"/>
      <c r="M101" s="30"/>
    </row>
    <row r="102" spans="1:13" s="611" customFormat="1">
      <c r="A102" s="617">
        <f t="shared" si="9"/>
        <v>97</v>
      </c>
      <c r="B102" s="189" t="s">
        <v>2401</v>
      </c>
      <c r="C102" s="147">
        <f>$C$100*C35</f>
        <v>183364.64089812344</v>
      </c>
      <c r="D102" s="371" t="str">
        <f>"L"&amp;A35&amp;" * L"&amp;A100&amp;""</f>
        <v>L30 * L95</v>
      </c>
      <c r="E102" s="147"/>
      <c r="F102" s="148"/>
      <c r="G102" s="149"/>
      <c r="H102" s="148"/>
      <c r="I102" s="147"/>
      <c r="J102" s="148"/>
      <c r="K102" s="147">
        <f>C102+E102+G102+I102</f>
        <v>183364.64089812344</v>
      </c>
      <c r="L102" s="49"/>
      <c r="M102" s="610"/>
    </row>
    <row r="103" spans="1:13" s="611" customFormat="1">
      <c r="A103" s="617">
        <f t="shared" si="9"/>
        <v>98</v>
      </c>
      <c r="B103" s="189" t="s">
        <v>2402</v>
      </c>
      <c r="C103" s="147">
        <f t="shared" ref="C103:C105" si="10">$C$100*C36</f>
        <v>2.4988366169631196E-7</v>
      </c>
      <c r="D103" s="371" t="str">
        <f>"L"&amp;A36&amp;" * L"&amp;A100&amp;""</f>
        <v>L31 * L95</v>
      </c>
      <c r="E103" s="147"/>
      <c r="F103" s="148"/>
      <c r="G103" s="149"/>
      <c r="H103" s="148"/>
      <c r="I103" s="147"/>
      <c r="J103" s="148"/>
      <c r="K103" s="147">
        <f>C103+E103+G103+I103</f>
        <v>2.4988366169631196E-7</v>
      </c>
      <c r="L103" s="49"/>
      <c r="M103" s="610"/>
    </row>
    <row r="104" spans="1:13" s="611" customFormat="1">
      <c r="A104" s="617">
        <f t="shared" si="9"/>
        <v>99</v>
      </c>
      <c r="B104" s="147" t="s">
        <v>2404</v>
      </c>
      <c r="C104" s="147">
        <f t="shared" si="10"/>
        <v>27233.988475547983</v>
      </c>
      <c r="D104" s="371" t="str">
        <f>"L"&amp;A37&amp;" * L"&amp;A100&amp;""</f>
        <v>L32 * L95</v>
      </c>
      <c r="E104" s="147"/>
      <c r="F104" s="148"/>
      <c r="G104" s="149"/>
      <c r="H104" s="148"/>
      <c r="I104" s="147"/>
      <c r="J104" s="148"/>
      <c r="K104" s="147">
        <f>C104+E104+G104+I104</f>
        <v>27233.988475547983</v>
      </c>
      <c r="L104" s="49"/>
      <c r="M104" s="610"/>
    </row>
    <row r="105" spans="1:13" s="611" customFormat="1">
      <c r="A105" s="617">
        <f t="shared" si="9"/>
        <v>100</v>
      </c>
      <c r="B105" s="147" t="s">
        <v>2403</v>
      </c>
      <c r="C105" s="147">
        <f t="shared" si="10"/>
        <v>2.4988366169631196E-7</v>
      </c>
      <c r="D105" s="371" t="str">
        <f>"L"&amp;A38&amp;" * L"&amp;A100&amp;""</f>
        <v>L33 * L95</v>
      </c>
      <c r="E105" s="147"/>
      <c r="F105" s="148"/>
      <c r="G105" s="149"/>
      <c r="H105" s="148"/>
      <c r="I105" s="147"/>
      <c r="J105" s="148"/>
      <c r="K105" s="147">
        <f>C105+E105+G105+I105</f>
        <v>2.4988366169631196E-7</v>
      </c>
      <c r="L105" s="49"/>
      <c r="M105" s="610"/>
    </row>
    <row r="106" spans="1:13" s="34" customFormat="1" ht="13.5" thickBot="1">
      <c r="A106" s="617">
        <f t="shared" si="9"/>
        <v>101</v>
      </c>
      <c r="B106" s="151" t="s">
        <v>165</v>
      </c>
      <c r="C106" s="145">
        <f>SUM(C101:C105)</f>
        <v>37909089.876983255</v>
      </c>
      <c r="D106" s="146"/>
      <c r="E106" s="145">
        <f>SUM(E101:E105)</f>
        <v>185656.64938549118</v>
      </c>
      <c r="F106" s="146"/>
      <c r="G106" s="145">
        <f>SUM(G101:G105)</f>
        <v>1536299.7468016252</v>
      </c>
      <c r="H106" s="146"/>
      <c r="I106" s="145">
        <f>SUM(I101:I105)</f>
        <v>0</v>
      </c>
      <c r="J106" s="146"/>
      <c r="K106" s="145">
        <f>SUM(K101:K105)</f>
        <v>39631046.273170367</v>
      </c>
      <c r="L106" s="49"/>
      <c r="M106" s="30"/>
    </row>
    <row r="107" spans="1:13" s="34" customFormat="1" ht="13.5" thickTop="1">
      <c r="A107" s="617">
        <f t="shared" ref="A107:A138" si="11">A106+1</f>
        <v>102</v>
      </c>
      <c r="B107" s="150"/>
      <c r="C107" s="53"/>
      <c r="D107" s="54"/>
      <c r="E107" s="57"/>
      <c r="F107" s="58"/>
      <c r="G107" s="55"/>
      <c r="H107" s="58"/>
      <c r="I107" s="57"/>
      <c r="J107" s="58"/>
      <c r="K107" s="53"/>
      <c r="L107" s="35"/>
      <c r="M107" s="30"/>
    </row>
    <row r="108" spans="1:13" s="34" customFormat="1">
      <c r="A108" s="617">
        <f t="shared" si="11"/>
        <v>103</v>
      </c>
      <c r="B108" s="147" t="s">
        <v>175</v>
      </c>
      <c r="C108" s="147">
        <f>$C$100*C33</f>
        <v>33408656.398721892</v>
      </c>
      <c r="D108" s="371" t="str">
        <f>"L"&amp;A33&amp;" * L"&amp;A100&amp;""</f>
        <v>L28 * L95</v>
      </c>
      <c r="E108" s="147">
        <f>$E$100*E33</f>
        <v>110535.93754200876</v>
      </c>
      <c r="F108" s="371" t="str">
        <f>"L"&amp;A33&amp;" * L"&amp;A100&amp;""</f>
        <v>L28 * L95</v>
      </c>
      <c r="G108" s="147">
        <f>$G$100*G33</f>
        <v>1495967.0998606605</v>
      </c>
      <c r="H108" s="371" t="str">
        <f>"L"&amp;A33&amp;" * L"&amp;A100&amp;""</f>
        <v>L28 * L95</v>
      </c>
      <c r="I108" s="147"/>
      <c r="J108" s="148"/>
      <c r="K108" s="147">
        <f>C108+E108+G108+I108</f>
        <v>35015159.436124563</v>
      </c>
      <c r="L108" s="35"/>
      <c r="M108" s="30"/>
    </row>
    <row r="109" spans="1:13" s="34" customFormat="1">
      <c r="A109" s="617">
        <f t="shared" si="11"/>
        <v>104</v>
      </c>
      <c r="B109" s="147" t="s">
        <v>176</v>
      </c>
      <c r="C109" s="147">
        <f>$C$100*C34</f>
        <v>3697026.3576589059</v>
      </c>
      <c r="D109" s="371" t="str">
        <f>"L"&amp;A34&amp;" * L"&amp;A100&amp;""</f>
        <v>L29 * L95</v>
      </c>
      <c r="E109" s="147">
        <f>$E$100*E34</f>
        <v>75120.711843482437</v>
      </c>
      <c r="F109" s="371" t="str">
        <f>"L"&amp;A34&amp;" * L"&amp;A100&amp;""</f>
        <v>L29 * L95</v>
      </c>
      <c r="G109" s="147">
        <f>$G$100*G34</f>
        <v>40332.646940964914</v>
      </c>
      <c r="H109" s="371" t="str">
        <f>"L"&amp;A34&amp;" * L"&amp;A100&amp;""</f>
        <v>L29 * L95</v>
      </c>
      <c r="I109" s="147"/>
      <c r="J109" s="148"/>
      <c r="K109" s="147">
        <f>C109+E109+G109+I109</f>
        <v>3812479.7164433529</v>
      </c>
      <c r="L109" s="35"/>
      <c r="M109" s="30"/>
    </row>
    <row r="110" spans="1:13" s="34" customFormat="1">
      <c r="A110" s="617">
        <f t="shared" si="11"/>
        <v>105</v>
      </c>
      <c r="B110" s="147" t="s">
        <v>177</v>
      </c>
      <c r="C110" s="147">
        <f>$C$100*C39</f>
        <v>461352.26147847407</v>
      </c>
      <c r="D110" s="371" t="str">
        <f>"L"&amp;A39&amp;" * L"&amp;A100&amp;""</f>
        <v>L34 * L95</v>
      </c>
      <c r="E110" s="147"/>
      <c r="F110" s="375"/>
      <c r="G110" s="149"/>
      <c r="H110" s="375"/>
      <c r="I110" s="147"/>
      <c r="J110" s="148"/>
      <c r="K110" s="147">
        <f>C110+E110+G110+I110</f>
        <v>461352.26147847407</v>
      </c>
      <c r="L110" s="35"/>
      <c r="M110" s="30"/>
    </row>
    <row r="111" spans="1:13" s="34" customFormat="1">
      <c r="A111" s="617">
        <f t="shared" si="11"/>
        <v>106</v>
      </c>
      <c r="B111" s="147" t="s">
        <v>178</v>
      </c>
      <c r="C111" s="147">
        <f>$C$100*C40</f>
        <v>592808.49122828548</v>
      </c>
      <c r="D111" s="371" t="str">
        <f>"L"&amp;A40&amp;" * L"&amp;A100&amp;""</f>
        <v>L35 * L95</v>
      </c>
      <c r="E111" s="147"/>
      <c r="F111" s="375"/>
      <c r="G111" s="149"/>
      <c r="H111" s="375"/>
      <c r="I111" s="147"/>
      <c r="J111" s="148"/>
      <c r="K111" s="147">
        <f>C111+E111+G111+I111</f>
        <v>592808.49122828548</v>
      </c>
      <c r="L111" s="35"/>
      <c r="M111" s="30"/>
    </row>
    <row r="112" spans="1:13">
      <c r="A112" s="617">
        <f t="shared" si="11"/>
        <v>107</v>
      </c>
      <c r="B112" s="49"/>
      <c r="C112" s="49"/>
      <c r="D112" s="370"/>
      <c r="E112" s="49"/>
      <c r="F112" s="370"/>
      <c r="G112" s="49"/>
      <c r="H112" s="370"/>
      <c r="I112" s="49"/>
      <c r="J112" s="50"/>
      <c r="K112" s="49"/>
      <c r="L112" s="49"/>
    </row>
    <row r="113" spans="1:12">
      <c r="A113" s="617">
        <f t="shared" si="11"/>
        <v>108</v>
      </c>
      <c r="B113" s="49" t="s">
        <v>179</v>
      </c>
      <c r="C113" s="61">
        <f>C101/C87</f>
        <v>4.3506748339542538E-2</v>
      </c>
      <c r="D113" s="371" t="str">
        <f>"L"&amp;A101&amp;" / L"&amp;A87&amp;""</f>
        <v>L96 / L82</v>
      </c>
      <c r="E113" s="61">
        <f>E101/E87</f>
        <v>4.7886746862844908E-2</v>
      </c>
      <c r="F113" s="371" t="str">
        <f>"L"&amp;A101&amp;" / L"&amp;A87&amp;""</f>
        <v>L96 / L82</v>
      </c>
      <c r="G113" s="61">
        <f>G101/G87</f>
        <v>2.9880973717554694E-2</v>
      </c>
      <c r="H113" s="371" t="str">
        <f>"L"&amp;A101&amp;" / L"&amp;A87&amp;""</f>
        <v>L96 / L82</v>
      </c>
      <c r="I113" s="61">
        <v>0</v>
      </c>
      <c r="J113" s="371" t="str">
        <f>"L"&amp;A101&amp;" / L"&amp;A87&amp;""</f>
        <v>L96 / L82</v>
      </c>
      <c r="K113" s="63"/>
      <c r="L113" s="49"/>
    </row>
    <row r="114" spans="1:12">
      <c r="A114" s="617">
        <f t="shared" si="11"/>
        <v>109</v>
      </c>
      <c r="B114" s="49" t="s">
        <v>180</v>
      </c>
      <c r="C114" s="152">
        <f>(C8+C10+C11)/(K8+K10+K11)</f>
        <v>0.93337697797600649</v>
      </c>
      <c r="D114" s="52"/>
      <c r="E114" s="152">
        <f>E8/(K8+K10+K11)</f>
        <v>5.5889219054954852E-3</v>
      </c>
      <c r="F114" s="52"/>
      <c r="G114" s="152">
        <f>G8/(K8+K10+K11)</f>
        <v>6.1034100118497997E-2</v>
      </c>
      <c r="H114" s="52"/>
      <c r="I114" s="152">
        <v>0</v>
      </c>
      <c r="J114" s="52"/>
      <c r="K114" s="63"/>
      <c r="L114" s="49"/>
    </row>
    <row r="115" spans="1:12">
      <c r="A115" s="617">
        <f t="shared" si="11"/>
        <v>110</v>
      </c>
      <c r="B115" s="49" t="s">
        <v>181</v>
      </c>
      <c r="C115" s="152"/>
      <c r="D115" s="62"/>
      <c r="E115" s="152"/>
      <c r="F115" s="62"/>
      <c r="G115" s="152"/>
      <c r="H115" s="62"/>
      <c r="I115" s="152"/>
      <c r="J115" s="62"/>
      <c r="K115" s="152">
        <f>C113*C114+E113*E114+G113*G114+I113*I114</f>
        <v>4.2699590916764965E-2</v>
      </c>
      <c r="L115" s="50"/>
    </row>
    <row r="116" spans="1:12">
      <c r="A116" s="617">
        <f t="shared" si="11"/>
        <v>111</v>
      </c>
      <c r="B116" s="49" t="s">
        <v>182</v>
      </c>
      <c r="C116" s="152">
        <f>C9/(C9+E9+G9+I9)</f>
        <v>9.0193954998847286E-3</v>
      </c>
      <c r="D116" s="52"/>
      <c r="E116" s="152">
        <v>0</v>
      </c>
      <c r="F116" s="62"/>
      <c r="G116" s="152">
        <f>G9/(C9+G9+I9)</f>
        <v>0.68056954807289893</v>
      </c>
      <c r="H116" s="52"/>
      <c r="I116" s="152">
        <f>I9/(C9+G9+I9)</f>
        <v>0.31041105642721628</v>
      </c>
      <c r="J116" s="52"/>
      <c r="K116" s="152"/>
      <c r="L116" s="49"/>
    </row>
    <row r="117" spans="1:12">
      <c r="A117" s="617">
        <f t="shared" si="11"/>
        <v>112</v>
      </c>
      <c r="B117" s="49" t="s">
        <v>183</v>
      </c>
      <c r="C117" s="152"/>
      <c r="D117" s="62"/>
      <c r="E117" s="63"/>
      <c r="F117" s="63"/>
      <c r="G117" s="64"/>
      <c r="H117" s="64"/>
      <c r="I117" s="64"/>
      <c r="J117" s="62"/>
      <c r="K117" s="152">
        <f>C113*C116+E113*E116+G113*G116+I113*I116</f>
        <v>2.0728485349122656E-2</v>
      </c>
      <c r="L117" s="50"/>
    </row>
    <row r="118" spans="1:12">
      <c r="A118" s="617">
        <f t="shared" si="11"/>
        <v>113</v>
      </c>
      <c r="B118" s="49"/>
      <c r="C118" s="63"/>
      <c r="D118" s="62"/>
      <c r="E118" s="63"/>
      <c r="F118" s="63"/>
      <c r="G118" s="64"/>
      <c r="H118" s="64"/>
      <c r="I118" s="64"/>
      <c r="J118" s="62"/>
      <c r="K118" s="61"/>
      <c r="L118" s="50"/>
    </row>
    <row r="119" spans="1:12" s="177" customFormat="1">
      <c r="A119" s="617">
        <f t="shared" si="11"/>
        <v>114</v>
      </c>
      <c r="B119" s="165" t="s">
        <v>184</v>
      </c>
      <c r="C119" s="377" t="s">
        <v>185</v>
      </c>
      <c r="D119" s="378"/>
      <c r="E119" s="377" t="s">
        <v>186</v>
      </c>
      <c r="F119" s="378"/>
      <c r="G119" s="377" t="s">
        <v>187</v>
      </c>
      <c r="H119" s="379"/>
      <c r="I119" s="369" t="s">
        <v>187</v>
      </c>
      <c r="J119" s="379"/>
      <c r="K119" s="53"/>
      <c r="L119" s="49"/>
    </row>
    <row r="120" spans="1:12" s="177" customFormat="1">
      <c r="A120" s="617">
        <f t="shared" si="11"/>
        <v>115</v>
      </c>
      <c r="B120" s="221">
        <v>1411</v>
      </c>
      <c r="C120" s="39">
        <f>14283619.32+2764842.58</f>
        <v>17048461.899999999</v>
      </c>
      <c r="D120" s="35"/>
      <c r="E120" s="39">
        <f>12204530.78</f>
        <v>12204530.779999999</v>
      </c>
      <c r="F120" s="35"/>
      <c r="G120" s="39">
        <v>0</v>
      </c>
      <c r="H120" s="35"/>
      <c r="I120" s="39">
        <v>0</v>
      </c>
      <c r="J120" s="35"/>
      <c r="K120" s="39">
        <f>SUM(C120:I120)</f>
        <v>29252992.68</v>
      </c>
      <c r="L120" s="35"/>
    </row>
    <row r="121" spans="1:12" s="177" customFormat="1">
      <c r="A121" s="617">
        <f t="shared" si="11"/>
        <v>116</v>
      </c>
      <c r="B121" s="221">
        <v>1412</v>
      </c>
      <c r="C121" s="39">
        <f>4220870.15+839562.01</f>
        <v>5060432.16</v>
      </c>
      <c r="D121" s="35"/>
      <c r="E121" s="39">
        <f>3271283.63</f>
        <v>3271283.63</v>
      </c>
      <c r="F121" s="35"/>
      <c r="G121" s="39">
        <v>0</v>
      </c>
      <c r="H121" s="35"/>
      <c r="I121" s="39">
        <v>0</v>
      </c>
      <c r="J121" s="35"/>
      <c r="K121" s="39">
        <f t="shared" ref="K121:K132" si="12">SUM(C121:I121)</f>
        <v>8331715.79</v>
      </c>
      <c r="L121" s="35"/>
    </row>
    <row r="122" spans="1:12" s="177" customFormat="1">
      <c r="A122" s="617">
        <f t="shared" si="11"/>
        <v>117</v>
      </c>
      <c r="B122" s="221">
        <v>1415</v>
      </c>
      <c r="C122" s="39">
        <f>75347.33-69669.05</f>
        <v>5678.2799999999988</v>
      </c>
      <c r="D122" s="35"/>
      <c r="E122" s="39">
        <f>112789.05</f>
        <v>112789.05</v>
      </c>
      <c r="F122" s="35"/>
      <c r="G122" s="39">
        <v>0</v>
      </c>
      <c r="H122" s="35"/>
      <c r="I122" s="39">
        <v>0</v>
      </c>
      <c r="J122" s="35"/>
      <c r="K122" s="39">
        <f t="shared" si="12"/>
        <v>118467.33</v>
      </c>
      <c r="L122" s="35"/>
    </row>
    <row r="123" spans="1:12" s="177" customFormat="1">
      <c r="A123" s="617">
        <f t="shared" si="11"/>
        <v>118</v>
      </c>
      <c r="B123" s="221">
        <v>1416</v>
      </c>
      <c r="C123" s="39">
        <f>-204428.55-80758.08</f>
        <v>-285186.63</v>
      </c>
      <c r="D123" s="35"/>
      <c r="E123" s="39">
        <f>-32849.4</f>
        <v>-32849.4</v>
      </c>
      <c r="F123" s="35"/>
      <c r="G123" s="39">
        <v>0</v>
      </c>
      <c r="H123" s="35"/>
      <c r="I123" s="39">
        <v>0</v>
      </c>
      <c r="J123" s="35"/>
      <c r="K123" s="39">
        <f t="shared" si="12"/>
        <v>-318036.03000000003</v>
      </c>
      <c r="L123" s="35"/>
    </row>
    <row r="124" spans="1:12" s="177" customFormat="1">
      <c r="A124" s="617">
        <f t="shared" si="11"/>
        <v>119</v>
      </c>
      <c r="B124" s="221">
        <v>1421</v>
      </c>
      <c r="C124" s="39">
        <f>1863768.01+545363.77</f>
        <v>2409131.7800000003</v>
      </c>
      <c r="D124" s="35"/>
      <c r="E124" s="39">
        <f>1759632.72</f>
        <v>1759632.72</v>
      </c>
      <c r="F124" s="35"/>
      <c r="G124" s="39">
        <v>0</v>
      </c>
      <c r="H124" s="35"/>
      <c r="I124" s="39">
        <v>0</v>
      </c>
      <c r="J124" s="35"/>
      <c r="K124" s="39">
        <f t="shared" si="12"/>
        <v>4168764.5</v>
      </c>
      <c r="L124" s="35"/>
    </row>
    <row r="125" spans="1:12" s="177" customFormat="1">
      <c r="A125" s="617">
        <f t="shared" si="11"/>
        <v>120</v>
      </c>
      <c r="B125" s="221">
        <v>1422</v>
      </c>
      <c r="C125" s="39">
        <f>634859.27+181269.95</f>
        <v>816129.22</v>
      </c>
      <c r="D125" s="35"/>
      <c r="E125" s="39">
        <f>707.38</f>
        <v>707.38</v>
      </c>
      <c r="F125" s="35"/>
      <c r="G125" s="39">
        <v>0</v>
      </c>
      <c r="H125" s="35"/>
      <c r="I125" s="39">
        <v>0</v>
      </c>
      <c r="J125" s="35"/>
      <c r="K125" s="39">
        <f t="shared" si="12"/>
        <v>816836.6</v>
      </c>
      <c r="L125" s="35"/>
    </row>
    <row r="126" spans="1:12" s="177" customFormat="1">
      <c r="A126" s="617">
        <f t="shared" si="11"/>
        <v>121</v>
      </c>
      <c r="B126" s="221">
        <v>1425</v>
      </c>
      <c r="C126" s="39">
        <f>85151.44+24080.76</f>
        <v>109232.2</v>
      </c>
      <c r="D126" s="35"/>
      <c r="E126" s="39">
        <f>149669.73</f>
        <v>149669.73000000001</v>
      </c>
      <c r="F126" s="35"/>
      <c r="G126" s="39">
        <v>0</v>
      </c>
      <c r="H126" s="35"/>
      <c r="I126" s="39">
        <v>0</v>
      </c>
      <c r="J126" s="35"/>
      <c r="K126" s="39">
        <f t="shared" si="12"/>
        <v>258901.93</v>
      </c>
      <c r="L126" s="35"/>
    </row>
    <row r="127" spans="1:12" s="177" customFormat="1">
      <c r="A127" s="617">
        <f t="shared" si="11"/>
        <v>122</v>
      </c>
      <c r="B127" s="221">
        <v>1426</v>
      </c>
      <c r="C127" s="39">
        <f>-14213.05-4408.35</f>
        <v>-18621.400000000001</v>
      </c>
      <c r="D127" s="35"/>
      <c r="E127" s="39">
        <f>189.03</f>
        <v>189.03</v>
      </c>
      <c r="F127" s="35"/>
      <c r="G127" s="39">
        <v>0</v>
      </c>
      <c r="H127" s="35"/>
      <c r="I127" s="39">
        <v>0</v>
      </c>
      <c r="J127" s="35"/>
      <c r="K127" s="39">
        <f t="shared" si="12"/>
        <v>-18432.370000000003</v>
      </c>
      <c r="L127" s="35"/>
    </row>
    <row r="128" spans="1:12" s="177" customFormat="1">
      <c r="A128" s="617">
        <f t="shared" si="11"/>
        <v>123</v>
      </c>
      <c r="B128" s="221">
        <v>1431</v>
      </c>
      <c r="C128" s="39">
        <v>0</v>
      </c>
      <c r="D128" s="35"/>
      <c r="E128" s="39">
        <f>139.75</f>
        <v>139.75</v>
      </c>
      <c r="F128" s="35"/>
      <c r="G128" s="39">
        <v>0</v>
      </c>
      <c r="H128" s="35"/>
      <c r="I128" s="39">
        <v>0</v>
      </c>
      <c r="J128" s="35"/>
      <c r="K128" s="39">
        <f t="shared" si="12"/>
        <v>139.75</v>
      </c>
      <c r="L128" s="35"/>
    </row>
    <row r="129" spans="1:13" s="177" customFormat="1">
      <c r="A129" s="617">
        <f t="shared" si="11"/>
        <v>124</v>
      </c>
      <c r="B129" s="221">
        <v>1432</v>
      </c>
      <c r="C129" s="39">
        <f>427.09</f>
        <v>427.09</v>
      </c>
      <c r="D129" s="35"/>
      <c r="E129" s="39">
        <f>-2564.05</f>
        <v>-2564.0500000000002</v>
      </c>
      <c r="F129" s="35"/>
      <c r="G129" s="39">
        <v>0</v>
      </c>
      <c r="H129" s="35"/>
      <c r="I129" s="39">
        <v>0</v>
      </c>
      <c r="J129" s="35"/>
      <c r="K129" s="39">
        <f t="shared" si="12"/>
        <v>-2136.96</v>
      </c>
      <c r="L129" s="35"/>
    </row>
    <row r="130" spans="1:13" s="177" customFormat="1">
      <c r="A130" s="617">
        <f t="shared" si="11"/>
        <v>125</v>
      </c>
      <c r="B130" s="221">
        <v>1441</v>
      </c>
      <c r="C130" s="39">
        <v>0</v>
      </c>
      <c r="D130" s="35"/>
      <c r="E130" s="39">
        <v>0</v>
      </c>
      <c r="F130" s="35"/>
      <c r="G130" s="39">
        <v>0</v>
      </c>
      <c r="H130" s="35"/>
      <c r="I130" s="39">
        <v>0</v>
      </c>
      <c r="J130" s="35"/>
      <c r="K130" s="39">
        <f>SUM(C130:I130)</f>
        <v>0</v>
      </c>
      <c r="L130" s="35"/>
    </row>
    <row r="131" spans="1:13" s="177" customFormat="1">
      <c r="A131" s="617">
        <f t="shared" si="11"/>
        <v>126</v>
      </c>
      <c r="B131" s="221">
        <v>1442</v>
      </c>
      <c r="C131" s="39">
        <f>0</f>
        <v>0</v>
      </c>
      <c r="D131" s="35"/>
      <c r="E131" s="39">
        <v>0</v>
      </c>
      <c r="F131" s="35"/>
      <c r="G131" s="39">
        <v>0</v>
      </c>
      <c r="H131" s="35"/>
      <c r="I131" s="39">
        <v>0</v>
      </c>
      <c r="J131" s="35"/>
      <c r="K131" s="39">
        <f t="shared" si="12"/>
        <v>0</v>
      </c>
      <c r="L131" s="35"/>
    </row>
    <row r="132" spans="1:13" s="177" customFormat="1">
      <c r="A132" s="617">
        <f t="shared" si="11"/>
        <v>127</v>
      </c>
      <c r="B132" s="221">
        <v>1444</v>
      </c>
      <c r="C132" s="39">
        <f>0</f>
        <v>0</v>
      </c>
      <c r="D132" s="35"/>
      <c r="E132" s="39">
        <v>0</v>
      </c>
      <c r="F132" s="35"/>
      <c r="G132" s="39">
        <v>0</v>
      </c>
      <c r="H132" s="35"/>
      <c r="I132" s="39">
        <v>0</v>
      </c>
      <c r="J132" s="35"/>
      <c r="K132" s="39">
        <f t="shared" si="12"/>
        <v>0</v>
      </c>
      <c r="L132" s="35"/>
    </row>
    <row r="133" spans="1:13" s="177" customFormat="1" ht="13.5" thickBot="1">
      <c r="A133" s="617">
        <f t="shared" si="11"/>
        <v>128</v>
      </c>
      <c r="B133" s="222" t="s">
        <v>188</v>
      </c>
      <c r="C133" s="223">
        <f>SUM(C120:C132)</f>
        <v>25145684.600000001</v>
      </c>
      <c r="D133" s="77"/>
      <c r="E133" s="223">
        <f>SUM(E120:E132)</f>
        <v>17463528.620000001</v>
      </c>
      <c r="F133" s="77"/>
      <c r="G133" s="223">
        <f>SUM(G120:G132)</f>
        <v>0</v>
      </c>
      <c r="H133" s="77"/>
      <c r="I133" s="223">
        <f>SUM(I120:I132)</f>
        <v>0</v>
      </c>
      <c r="J133" s="77"/>
      <c r="K133" s="223">
        <f t="shared" ref="K133" si="13">SUM(C133:I133)</f>
        <v>42609213.219999999</v>
      </c>
      <c r="L133" s="35"/>
    </row>
    <row r="134" spans="1:13" s="177" customFormat="1" ht="13.5" thickTop="1">
      <c r="A134" s="617">
        <f t="shared" si="11"/>
        <v>129</v>
      </c>
      <c r="B134" s="67"/>
      <c r="C134" s="68"/>
      <c r="D134" s="35"/>
      <c r="E134" s="68"/>
      <c r="F134" s="35"/>
      <c r="G134" s="68"/>
      <c r="H134" s="35"/>
      <c r="I134" s="68"/>
      <c r="J134" s="35"/>
      <c r="K134" s="68"/>
      <c r="L134" s="35"/>
    </row>
    <row r="135" spans="1:13" s="177" customFormat="1">
      <c r="A135" s="617">
        <f t="shared" si="11"/>
        <v>130</v>
      </c>
      <c r="B135" s="224" t="s">
        <v>189</v>
      </c>
      <c r="C135" s="225">
        <f>C133*C25</f>
        <v>23875075.2317225</v>
      </c>
      <c r="D135" s="374" t="str">
        <f>"L"&amp;A25&amp;" * L"&amp;A133&amp;""</f>
        <v>L20 * L128</v>
      </c>
      <c r="E135" s="225">
        <f>E133*E25</f>
        <v>179725.58233407713</v>
      </c>
      <c r="F135" s="374" t="str">
        <f>"L"&amp;A25&amp;" * L"&amp;A133&amp;""</f>
        <v>L20 * L128</v>
      </c>
      <c r="G135" s="225">
        <v>0</v>
      </c>
      <c r="H135" s="66"/>
      <c r="I135" s="225">
        <v>0</v>
      </c>
      <c r="J135" s="66"/>
      <c r="K135" s="225">
        <f>C135+E135+G135+I135</f>
        <v>24054800.814056579</v>
      </c>
      <c r="L135" s="35"/>
    </row>
    <row r="136" spans="1:13" s="610" customFormat="1">
      <c r="A136" s="617">
        <f t="shared" si="11"/>
        <v>131</v>
      </c>
      <c r="B136" s="633" t="s">
        <v>2405</v>
      </c>
      <c r="C136" s="68">
        <f>$C$133*C35</f>
        <v>116127.84627178228</v>
      </c>
      <c r="D136" s="371" t="str">
        <f>"L"&amp;A35&amp;" * L"&amp;A133&amp;""</f>
        <v>L30 * L128</v>
      </c>
      <c r="E136" s="68"/>
      <c r="F136" s="68"/>
      <c r="G136" s="68">
        <v>0</v>
      </c>
      <c r="H136" s="35"/>
      <c r="I136" s="35">
        <v>0</v>
      </c>
      <c r="J136" s="35"/>
      <c r="K136" s="68">
        <f>C136+E136+G136+I136</f>
        <v>116127.84627178228</v>
      </c>
      <c r="L136" s="35"/>
    </row>
    <row r="137" spans="1:13" s="610" customFormat="1">
      <c r="A137" s="617">
        <f t="shared" si="11"/>
        <v>132</v>
      </c>
      <c r="B137" s="633" t="s">
        <v>2406</v>
      </c>
      <c r="C137" s="68">
        <f t="shared" ref="C137:C139" si="14">$C$133*C36</f>
        <v>1.5825543741239557E-7</v>
      </c>
      <c r="D137" s="371" t="str">
        <f>"L"&amp;A36&amp;" * L"&amp;A133&amp;""</f>
        <v>L31 * L128</v>
      </c>
      <c r="E137" s="68"/>
      <c r="F137" s="68"/>
      <c r="G137" s="68"/>
      <c r="H137" s="35"/>
      <c r="I137" s="35"/>
      <c r="J137" s="35"/>
      <c r="K137" s="68">
        <f>C137+E137+G137+I137</f>
        <v>1.5825543741239557E-7</v>
      </c>
      <c r="L137" s="35"/>
    </row>
    <row r="138" spans="1:13" s="610" customFormat="1">
      <c r="A138" s="617">
        <f t="shared" si="11"/>
        <v>133</v>
      </c>
      <c r="B138" s="633" t="s">
        <v>2408</v>
      </c>
      <c r="C138" s="68">
        <f t="shared" si="14"/>
        <v>17247.733322876935</v>
      </c>
      <c r="D138" s="371" t="str">
        <f>"L"&amp;A37&amp;" * L"&amp;A133&amp;""</f>
        <v>L32 * L128</v>
      </c>
      <c r="E138" s="68"/>
      <c r="F138" s="68"/>
      <c r="G138" s="68"/>
      <c r="H138" s="35"/>
      <c r="I138" s="35"/>
      <c r="J138" s="35"/>
      <c r="K138" s="68">
        <f>C138+E138+G138+I138</f>
        <v>17247.733322876935</v>
      </c>
      <c r="L138" s="35"/>
    </row>
    <row r="139" spans="1:13" s="610" customFormat="1">
      <c r="A139" s="617">
        <f t="shared" ref="A139:A170" si="15">A138+1</f>
        <v>134</v>
      </c>
      <c r="B139" s="633" t="s">
        <v>2407</v>
      </c>
      <c r="C139" s="68">
        <f t="shared" si="14"/>
        <v>1.5825543741239557E-7</v>
      </c>
      <c r="D139" s="374" t="str">
        <f>"L"&amp;A38&amp;" * L"&amp;A133&amp;""</f>
        <v>L33 * L128</v>
      </c>
      <c r="E139" s="68"/>
      <c r="F139" s="68"/>
      <c r="G139" s="68"/>
      <c r="H139" s="35"/>
      <c r="I139" s="35"/>
      <c r="J139" s="35"/>
      <c r="K139" s="68">
        <f>C139+E139+G139+I139</f>
        <v>1.5825543741239557E-7</v>
      </c>
      <c r="L139" s="35"/>
    </row>
    <row r="140" spans="1:13" s="178" customFormat="1" ht="13.5" thickBot="1">
      <c r="A140" s="617">
        <f t="shared" si="15"/>
        <v>135</v>
      </c>
      <c r="B140" s="222" t="s">
        <v>190</v>
      </c>
      <c r="C140" s="223">
        <f>SUM(C136:C139)</f>
        <v>133375.57959497574</v>
      </c>
      <c r="D140" s="316"/>
      <c r="E140" s="223">
        <f>SUM(E136:E139)</f>
        <v>0</v>
      </c>
      <c r="F140" s="223"/>
      <c r="G140" s="223">
        <f>SUM(G136:G139)</f>
        <v>0</v>
      </c>
      <c r="H140" s="77"/>
      <c r="I140" s="223">
        <f>SUM(I136:I139)</f>
        <v>0</v>
      </c>
      <c r="J140" s="77"/>
      <c r="K140" s="223">
        <f>SUM(K136:K139)</f>
        <v>133375.57959497574</v>
      </c>
      <c r="L140" s="35"/>
      <c r="M140" s="177"/>
    </row>
    <row r="141" spans="1:13" s="178" customFormat="1" ht="13.5" thickTop="1">
      <c r="A141" s="617">
        <f t="shared" si="15"/>
        <v>136</v>
      </c>
      <c r="B141" s="67"/>
      <c r="C141" s="68"/>
      <c r="D141" s="35"/>
      <c r="E141" s="68"/>
      <c r="F141" s="68"/>
      <c r="G141" s="68"/>
      <c r="H141" s="35"/>
      <c r="I141" s="68"/>
      <c r="J141" s="35"/>
      <c r="K141" s="68"/>
      <c r="L141" s="35"/>
      <c r="M141" s="177"/>
    </row>
    <row r="142" spans="1:13" s="34" customFormat="1">
      <c r="A142" s="617">
        <f t="shared" si="15"/>
        <v>137</v>
      </c>
      <c r="B142" s="150" t="s">
        <v>191</v>
      </c>
      <c r="C142" s="53">
        <f>C133</f>
        <v>25145684.600000001</v>
      </c>
      <c r="D142" s="369" t="s">
        <v>185</v>
      </c>
      <c r="E142" s="57">
        <f>E133</f>
        <v>17463528.620000001</v>
      </c>
      <c r="F142" s="376" t="s">
        <v>186</v>
      </c>
      <c r="G142" s="55"/>
      <c r="H142" s="376" t="s">
        <v>187</v>
      </c>
      <c r="I142" s="57"/>
      <c r="J142" s="376" t="s">
        <v>187</v>
      </c>
      <c r="K142" s="53">
        <f>C142+E142+G142+I142</f>
        <v>42609213.219999999</v>
      </c>
      <c r="L142" s="35"/>
      <c r="M142" s="30"/>
    </row>
    <row r="143" spans="1:13" s="34" customFormat="1">
      <c r="A143" s="617">
        <f t="shared" si="15"/>
        <v>138</v>
      </c>
      <c r="B143" s="147" t="s">
        <v>192</v>
      </c>
      <c r="C143" s="147">
        <f>$C$142*C33</f>
        <v>21158252.187634699</v>
      </c>
      <c r="D143" s="371" t="str">
        <f>"L"&amp;A33&amp;" * L"&amp;A142&amp;""</f>
        <v>L28 * L137</v>
      </c>
      <c r="E143" s="147">
        <f>$E$142*E33</f>
        <v>107004.70901169465</v>
      </c>
      <c r="F143" s="371" t="str">
        <f>"L"&amp;A33&amp;" * L"&amp;A142&amp;""</f>
        <v>L28 * L137</v>
      </c>
      <c r="G143" s="147"/>
      <c r="H143" s="148"/>
      <c r="I143" s="147"/>
      <c r="J143" s="148"/>
      <c r="K143" s="147">
        <f>C143+E143+G143+I143</f>
        <v>21265256.896646395</v>
      </c>
      <c r="L143" s="35"/>
      <c r="M143" s="30"/>
    </row>
    <row r="144" spans="1:13" s="34" customFormat="1">
      <c r="A144" s="617">
        <f t="shared" si="15"/>
        <v>139</v>
      </c>
      <c r="B144" s="147" t="s">
        <v>193</v>
      </c>
      <c r="C144" s="147">
        <f>$C$142*C34</f>
        <v>2341387.6657030792</v>
      </c>
      <c r="D144" s="371" t="str">
        <f>"L"&amp;A34&amp;" * L"&amp;A142&amp;""</f>
        <v>L29 * L137</v>
      </c>
      <c r="E144" s="147">
        <f>$E$142*E34</f>
        <v>72720.873322382482</v>
      </c>
      <c r="F144" s="371" t="str">
        <f>"L"&amp;A34&amp;" * L"&amp;A142&amp;""</f>
        <v>L29 * L137</v>
      </c>
      <c r="G144" s="147"/>
      <c r="H144" s="148"/>
      <c r="I144" s="147"/>
      <c r="J144" s="148"/>
      <c r="K144" s="147">
        <f>C144+E144+G144+I144</f>
        <v>2414108.5390254618</v>
      </c>
      <c r="L144" s="35"/>
      <c r="M144" s="30"/>
    </row>
    <row r="145" spans="1:13" s="34" customFormat="1">
      <c r="A145" s="617">
        <f t="shared" si="15"/>
        <v>140</v>
      </c>
      <c r="B145" s="147" t="s">
        <v>194</v>
      </c>
      <c r="C145" s="147">
        <f>$C$142*C39</f>
        <v>292181.98359125212</v>
      </c>
      <c r="D145" s="371" t="str">
        <f>"L"&amp;A39&amp;" * L"&amp;A142&amp;""</f>
        <v>L34 * L137</v>
      </c>
      <c r="E145" s="147"/>
      <c r="F145" s="148"/>
      <c r="G145" s="149"/>
      <c r="H145" s="148"/>
      <c r="I145" s="147"/>
      <c r="J145" s="148"/>
      <c r="K145" s="147">
        <f>C145+E145+G145+I145</f>
        <v>292181.98359125212</v>
      </c>
      <c r="L145" s="35"/>
      <c r="M145" s="30"/>
    </row>
    <row r="146" spans="1:13" s="34" customFormat="1">
      <c r="A146" s="617">
        <f t="shared" si="15"/>
        <v>141</v>
      </c>
      <c r="B146" s="147" t="s">
        <v>195</v>
      </c>
      <c r="C146" s="147">
        <f>$C$142*C40</f>
        <v>375435.37838472141</v>
      </c>
      <c r="D146" s="371" t="str">
        <f>"L"&amp;A40&amp;" * L"&amp;A142&amp;""</f>
        <v>L35 * L137</v>
      </c>
      <c r="E146" s="147"/>
      <c r="F146" s="148"/>
      <c r="G146" s="149"/>
      <c r="H146" s="148"/>
      <c r="I146" s="147"/>
      <c r="J146" s="148"/>
      <c r="K146" s="147">
        <f>C146+E146+G146+I146</f>
        <v>375435.37838472141</v>
      </c>
      <c r="L146" s="35"/>
      <c r="M146" s="30"/>
    </row>
    <row r="147" spans="1:13" s="34" customFormat="1">
      <c r="A147" s="617">
        <f t="shared" si="15"/>
        <v>142</v>
      </c>
      <c r="B147" s="147"/>
      <c r="C147" s="149"/>
      <c r="D147" s="148"/>
      <c r="E147" s="147"/>
      <c r="F147" s="148"/>
      <c r="G147" s="149"/>
      <c r="H147" s="148"/>
      <c r="I147" s="149"/>
      <c r="J147" s="148"/>
      <c r="K147" s="147"/>
      <c r="L147" s="35"/>
      <c r="M147" s="30"/>
    </row>
    <row r="148" spans="1:13">
      <c r="A148" s="617">
        <f t="shared" si="15"/>
        <v>143</v>
      </c>
      <c r="B148" s="165" t="s">
        <v>196</v>
      </c>
      <c r="C148" s="377" t="s">
        <v>197</v>
      </c>
      <c r="D148" s="166"/>
      <c r="E148" s="377" t="s">
        <v>198</v>
      </c>
      <c r="F148" s="166"/>
      <c r="G148" s="378" t="s">
        <v>153</v>
      </c>
      <c r="H148" s="66"/>
      <c r="I148" s="380" t="s">
        <v>112</v>
      </c>
      <c r="J148" s="66"/>
      <c r="K148" s="66"/>
      <c r="L148" s="35"/>
    </row>
    <row r="149" spans="1:13">
      <c r="A149" s="617">
        <f t="shared" si="15"/>
        <v>144</v>
      </c>
      <c r="B149" s="65" t="s">
        <v>199</v>
      </c>
      <c r="C149" s="59">
        <f>255631406.58+34335002.48</f>
        <v>289966409.06</v>
      </c>
      <c r="D149" s="35"/>
      <c r="E149" s="59">
        <f>200875709.45</f>
        <v>200875709.44999999</v>
      </c>
      <c r="F149" s="35"/>
      <c r="G149" s="59">
        <f>10854902+8592498+8048761+9779443+9999629+8533572</f>
        <v>55808805</v>
      </c>
      <c r="H149" s="35"/>
      <c r="I149" s="59">
        <f>56811513.27</f>
        <v>56811513.270000003</v>
      </c>
      <c r="J149" s="35"/>
      <c r="K149" s="59">
        <f>SUM(C149:I149)</f>
        <v>603462436.77999997</v>
      </c>
      <c r="L149" s="35"/>
    </row>
    <row r="150" spans="1:13">
      <c r="A150" s="617">
        <f t="shared" si="15"/>
        <v>145</v>
      </c>
      <c r="B150" s="69" t="s">
        <v>200</v>
      </c>
      <c r="C150" s="59"/>
      <c r="D150" s="35"/>
      <c r="E150" s="59"/>
      <c r="F150" s="35"/>
      <c r="G150" s="59"/>
      <c r="H150" s="35"/>
      <c r="I150" s="59"/>
      <c r="J150" s="35"/>
      <c r="K150" s="59"/>
      <c r="L150" s="35"/>
    </row>
    <row r="151" spans="1:13">
      <c r="A151" s="617">
        <f t="shared" si="15"/>
        <v>146</v>
      </c>
      <c r="B151" s="153" t="s">
        <v>201</v>
      </c>
      <c r="C151" s="59">
        <f>77506949.87+90534961.63+17695000</f>
        <v>185736911.5</v>
      </c>
      <c r="D151" s="35"/>
      <c r="E151" s="59">
        <f>78888309.91+49217089.16</f>
        <v>128105399.06999999</v>
      </c>
      <c r="F151" s="35"/>
      <c r="G151" s="59"/>
      <c r="H151" s="35"/>
      <c r="I151" s="59"/>
      <c r="J151" s="35"/>
      <c r="K151" s="59">
        <f>SUM(C151:I151)</f>
        <v>313842310.56999999</v>
      </c>
      <c r="L151" s="35"/>
    </row>
    <row r="152" spans="1:13">
      <c r="A152" s="617">
        <f t="shared" si="15"/>
        <v>147</v>
      </c>
      <c r="B152" s="153" t="s">
        <v>202</v>
      </c>
      <c r="C152" s="122">
        <f>C133</f>
        <v>25145684.600000001</v>
      </c>
      <c r="D152" s="35"/>
      <c r="E152" s="59">
        <f>E133</f>
        <v>17463528.620000001</v>
      </c>
      <c r="F152" s="35"/>
      <c r="G152" s="59"/>
      <c r="H152" s="35"/>
      <c r="I152" s="59"/>
      <c r="J152" s="35"/>
      <c r="K152" s="59">
        <f>SUM(C152:I152)</f>
        <v>42609213.219999999</v>
      </c>
      <c r="L152" s="35"/>
    </row>
    <row r="153" spans="1:13">
      <c r="A153" s="617">
        <f t="shared" si="15"/>
        <v>148</v>
      </c>
      <c r="B153" s="153" t="s">
        <v>203</v>
      </c>
      <c r="C153" s="59">
        <v>29001.75</v>
      </c>
      <c r="D153" s="35"/>
      <c r="E153" s="59">
        <v>0</v>
      </c>
      <c r="F153" s="35"/>
      <c r="G153" s="59"/>
      <c r="H153" s="35"/>
      <c r="I153" s="59"/>
      <c r="J153" s="35"/>
      <c r="K153" s="59">
        <f>SUM(C153:I153)</f>
        <v>29001.75</v>
      </c>
      <c r="L153" s="35"/>
    </row>
    <row r="154" spans="1:13">
      <c r="A154" s="617">
        <f t="shared" si="15"/>
        <v>149</v>
      </c>
      <c r="B154" s="153" t="s">
        <v>204</v>
      </c>
      <c r="C154" s="59">
        <f>44572.63</f>
        <v>44572.63</v>
      </c>
      <c r="D154" s="35"/>
      <c r="E154" s="59">
        <f>44572.58</f>
        <v>44572.58</v>
      </c>
      <c r="F154" s="35"/>
      <c r="G154" s="59"/>
      <c r="H154" s="35"/>
      <c r="I154" s="59"/>
      <c r="J154" s="35"/>
      <c r="K154" s="59">
        <f>SUM(C154:I154)</f>
        <v>89145.209999999992</v>
      </c>
      <c r="L154" s="35"/>
    </row>
    <row r="155" spans="1:13">
      <c r="A155" s="617">
        <f t="shared" si="15"/>
        <v>150</v>
      </c>
      <c r="B155" s="69" t="s">
        <v>205</v>
      </c>
      <c r="C155" s="59"/>
      <c r="D155" s="35"/>
      <c r="E155" s="59"/>
      <c r="F155" s="35"/>
      <c r="G155" s="59"/>
      <c r="H155" s="35"/>
      <c r="I155" s="59"/>
      <c r="J155" s="35"/>
      <c r="K155" s="59"/>
      <c r="L155" s="35"/>
    </row>
    <row r="156" spans="1:13">
      <c r="A156" s="617">
        <f t="shared" si="15"/>
        <v>151</v>
      </c>
      <c r="B156" s="153" t="s">
        <v>206</v>
      </c>
      <c r="C156" s="59">
        <f>904732+213868</f>
        <v>1118600</v>
      </c>
      <c r="D156" s="35"/>
      <c r="E156" s="59">
        <f>467312</f>
        <v>467312</v>
      </c>
      <c r="F156" s="35"/>
      <c r="G156" s="59"/>
      <c r="H156" s="35"/>
      <c r="I156" s="59"/>
      <c r="J156" s="35"/>
      <c r="K156" s="59">
        <f>SUM(C156:I156)</f>
        <v>1585912</v>
      </c>
      <c r="L156" s="35"/>
    </row>
    <row r="157" spans="1:13">
      <c r="A157" s="617">
        <f t="shared" si="15"/>
        <v>152</v>
      </c>
      <c r="B157" s="153" t="s">
        <v>207</v>
      </c>
      <c r="C157" s="59">
        <f>98619.91+28927.76</f>
        <v>127547.67</v>
      </c>
      <c r="D157" s="35"/>
      <c r="E157" s="59">
        <f>85582.1</f>
        <v>85582.1</v>
      </c>
      <c r="F157" s="35"/>
      <c r="G157" s="59"/>
      <c r="H157" s="35"/>
      <c r="I157" s="59"/>
      <c r="J157" s="35"/>
      <c r="K157" s="59">
        <f>SUM(C157:I157)</f>
        <v>213129.77000000002</v>
      </c>
      <c r="L157" s="35"/>
    </row>
    <row r="158" spans="1:13" ht="13.5" thickBot="1">
      <c r="A158" s="617">
        <f t="shared" si="15"/>
        <v>153</v>
      </c>
      <c r="B158" s="154" t="s">
        <v>208</v>
      </c>
      <c r="C158" s="155">
        <f>C149-C151-C152-C153-C154+C156+C157</f>
        <v>80256386.250000015</v>
      </c>
      <c r="D158" s="77"/>
      <c r="E158" s="155">
        <f>E149-E151-E152-E153+E156+E157</f>
        <v>55859675.859999992</v>
      </c>
      <c r="F158" s="155"/>
      <c r="G158" s="155">
        <f>G149-G151-G152-G153+G156+G157</f>
        <v>55808805</v>
      </c>
      <c r="H158" s="155"/>
      <c r="I158" s="155">
        <f>I149-I151-I152-I153+I156+I157</f>
        <v>56811513.270000003</v>
      </c>
      <c r="J158" s="77"/>
      <c r="K158" s="155">
        <f>K149-K151-K152-K153-K154+K156+K157</f>
        <v>248691807.79999998</v>
      </c>
      <c r="L158" s="35"/>
    </row>
    <row r="159" spans="1:13" ht="13.5" thickTop="1">
      <c r="A159" s="617">
        <f t="shared" si="15"/>
        <v>154</v>
      </c>
      <c r="B159" s="70"/>
      <c r="C159" s="71"/>
      <c r="D159" s="35"/>
      <c r="E159" s="71"/>
      <c r="F159" s="71"/>
      <c r="G159" s="71"/>
      <c r="H159" s="71"/>
      <c r="I159" s="71"/>
      <c r="J159" s="35"/>
      <c r="K159" s="71"/>
      <c r="L159" s="35"/>
    </row>
    <row r="160" spans="1:13">
      <c r="A160" s="617">
        <f t="shared" si="15"/>
        <v>155</v>
      </c>
      <c r="B160" s="71" t="s">
        <v>209</v>
      </c>
      <c r="C160" s="71">
        <f>$C$158*C25</f>
        <v>76201037.674071893</v>
      </c>
      <c r="D160" s="371" t="str">
        <f>"L"&amp;A25&amp;" * L"&amp;A158&amp;""</f>
        <v>L20 * L153</v>
      </c>
      <c r="E160" s="71">
        <f>$E$158*E25</f>
        <v>574878.82268155774</v>
      </c>
      <c r="F160" s="371" t="str">
        <f>"L"&amp;A25&amp;" * L"&amp;A158&amp;""</f>
        <v>L20 * L153</v>
      </c>
      <c r="G160" s="71">
        <f>$G$158*G25</f>
        <v>4032800.8479391523</v>
      </c>
      <c r="H160" s="371" t="str">
        <f>"L"&amp;A25&amp;" * L"&amp;A158&amp;""</f>
        <v>L20 * L153</v>
      </c>
      <c r="I160" s="71">
        <f>$I$158*I25</f>
        <v>0</v>
      </c>
      <c r="J160" s="35"/>
      <c r="K160" s="71">
        <f>SUM(C160:I160)</f>
        <v>80808717.344692603</v>
      </c>
      <c r="L160" s="35"/>
    </row>
    <row r="161" spans="1:13" s="610" customFormat="1">
      <c r="A161" s="617">
        <f t="shared" si="15"/>
        <v>156</v>
      </c>
      <c r="B161" s="71" t="s">
        <v>2409</v>
      </c>
      <c r="C161" s="71">
        <f>$C$158*C35</f>
        <v>370640.18868544872</v>
      </c>
      <c r="D161" s="371" t="str">
        <f>"L"&amp;A35&amp;" * L"&amp;A158&amp;""</f>
        <v>L30 * L153</v>
      </c>
      <c r="E161" s="71"/>
      <c r="F161" s="35"/>
      <c r="G161" s="59"/>
      <c r="H161" s="35"/>
      <c r="I161" s="59"/>
      <c r="J161" s="35"/>
      <c r="K161" s="71">
        <f>SUM(C161:I161)</f>
        <v>370640.18868544872</v>
      </c>
      <c r="L161" s="35"/>
    </row>
    <row r="162" spans="1:13" s="610" customFormat="1">
      <c r="A162" s="617">
        <f t="shared" si="15"/>
        <v>157</v>
      </c>
      <c r="B162" s="71" t="s">
        <v>2412</v>
      </c>
      <c r="C162" s="71">
        <f t="shared" ref="C162:C164" si="16">$C$158*C36</f>
        <v>5.0509698634858097E-7</v>
      </c>
      <c r="D162" s="371" t="str">
        <f>"L"&amp;A36&amp;" * L"&amp;A158&amp;""</f>
        <v>L31 * L153</v>
      </c>
      <c r="E162" s="71"/>
      <c r="F162" s="35"/>
      <c r="G162" s="59"/>
      <c r="H162" s="35"/>
      <c r="I162" s="59"/>
      <c r="J162" s="35"/>
      <c r="K162" s="71">
        <f>SUM(C162:I162)</f>
        <v>5.0509698634858097E-7</v>
      </c>
      <c r="L162" s="35"/>
    </row>
    <row r="163" spans="1:13" s="610" customFormat="1">
      <c r="A163" s="617">
        <f t="shared" si="15"/>
        <v>158</v>
      </c>
      <c r="B163" s="71" t="s">
        <v>2411</v>
      </c>
      <c r="C163" s="71">
        <f t="shared" si="16"/>
        <v>55048.839175283676</v>
      </c>
      <c r="D163" s="371" t="str">
        <f>"L"&amp;A37&amp;" * L"&amp;A158&amp;""</f>
        <v>L32 * L153</v>
      </c>
      <c r="E163" s="71"/>
      <c r="F163" s="35"/>
      <c r="G163" s="59"/>
      <c r="H163" s="35"/>
      <c r="I163" s="59"/>
      <c r="J163" s="35"/>
      <c r="K163" s="71">
        <f>SUM(C163:I163)</f>
        <v>55048.839175283676</v>
      </c>
      <c r="L163" s="35"/>
    </row>
    <row r="164" spans="1:13" s="610" customFormat="1">
      <c r="A164" s="617">
        <f t="shared" si="15"/>
        <v>159</v>
      </c>
      <c r="B164" s="71" t="s">
        <v>2410</v>
      </c>
      <c r="C164" s="71">
        <f t="shared" si="16"/>
        <v>5.0509698634858097E-7</v>
      </c>
      <c r="D164" s="371" t="str">
        <f>"L"&amp;A38&amp;" * L"&amp;A158&amp;""</f>
        <v>L33 * L153</v>
      </c>
      <c r="E164" s="71"/>
      <c r="F164" s="35"/>
      <c r="G164" s="59"/>
      <c r="H164" s="35"/>
      <c r="I164" s="59"/>
      <c r="J164" s="35"/>
      <c r="K164" s="71">
        <f>SUM(C164:I164)</f>
        <v>5.0509698634858097E-7</v>
      </c>
      <c r="L164" s="35"/>
    </row>
    <row r="165" spans="1:13" s="34" customFormat="1" ht="13.5" thickBot="1">
      <c r="A165" s="617">
        <f t="shared" si="15"/>
        <v>160</v>
      </c>
      <c r="B165" s="154" t="s">
        <v>210</v>
      </c>
      <c r="C165" s="155">
        <f>SUM(C160:C164)</f>
        <v>76626726.701933637</v>
      </c>
      <c r="D165" s="155"/>
      <c r="E165" s="155">
        <f>SUM(E160:E164)</f>
        <v>574878.82268155774</v>
      </c>
      <c r="F165" s="155"/>
      <c r="G165" s="155">
        <f>SUM(G160:G164)</f>
        <v>4032800.8479391523</v>
      </c>
      <c r="H165" s="155"/>
      <c r="I165" s="155">
        <f>SUM(I160:I164)</f>
        <v>0</v>
      </c>
      <c r="J165" s="155"/>
      <c r="K165" s="155">
        <f>SUM(K160:K164)</f>
        <v>81234406.372554347</v>
      </c>
      <c r="L165" s="35"/>
      <c r="M165" s="30"/>
    </row>
    <row r="166" spans="1:13" ht="13.5" thickTop="1">
      <c r="A166" s="617">
        <f t="shared" si="15"/>
        <v>161</v>
      </c>
      <c r="B166" s="71"/>
      <c r="C166" s="71"/>
      <c r="D166" s="35"/>
      <c r="E166" s="71"/>
      <c r="F166" s="35"/>
      <c r="G166" s="59"/>
      <c r="H166" s="35"/>
      <c r="I166" s="59"/>
      <c r="J166" s="35"/>
      <c r="K166" s="71"/>
      <c r="L166" s="35"/>
    </row>
    <row r="167" spans="1:13">
      <c r="A167" s="617">
        <f t="shared" si="15"/>
        <v>162</v>
      </c>
      <c r="B167" s="150" t="s">
        <v>211</v>
      </c>
      <c r="C167" s="53">
        <f>C158</f>
        <v>80256386.250000015</v>
      </c>
      <c r="D167" s="369" t="s">
        <v>197</v>
      </c>
      <c r="E167" s="57">
        <f>E158</f>
        <v>55859675.859999992</v>
      </c>
      <c r="F167" s="376" t="s">
        <v>198</v>
      </c>
      <c r="G167" s="55">
        <f>G158</f>
        <v>55808805</v>
      </c>
      <c r="H167" s="376" t="s">
        <v>153</v>
      </c>
      <c r="I167" s="57">
        <f>I158</f>
        <v>56811513.270000003</v>
      </c>
      <c r="J167" s="376" t="s">
        <v>112</v>
      </c>
      <c r="K167" s="53">
        <f>C167+E167+G167+I167</f>
        <v>248736380.38000003</v>
      </c>
      <c r="L167" s="35"/>
    </row>
    <row r="168" spans="1:13">
      <c r="A168" s="617">
        <f t="shared" si="15"/>
        <v>163</v>
      </c>
      <c r="B168" s="147" t="s">
        <v>212</v>
      </c>
      <c r="C168" s="147">
        <f>$C$167*C33</f>
        <v>67529871.902780414</v>
      </c>
      <c r="D168" s="371" t="str">
        <f>"L"&amp;A33&amp;" * L"&amp;A167&amp;""</f>
        <v>L28 * L162</v>
      </c>
      <c r="E168" s="147">
        <f>$E$167*E33</f>
        <v>342270.36763014068</v>
      </c>
      <c r="F168" s="371" t="str">
        <f>"L"&amp;A33&amp;" * L"&amp;A167&amp;""</f>
        <v>L28 * L162</v>
      </c>
      <c r="G168" s="147">
        <f>$G$167*G33</f>
        <v>3926927.2818451808</v>
      </c>
      <c r="H168" s="371" t="str">
        <f>"L"&amp;A33&amp;" * L"&amp;A167&amp;""</f>
        <v>L28 * L162</v>
      </c>
      <c r="I168" s="147"/>
      <c r="J168" s="375"/>
      <c r="K168" s="147">
        <f>C168+E168+G168</f>
        <v>71799069.552255735</v>
      </c>
      <c r="L168" s="35"/>
    </row>
    <row r="169" spans="1:13">
      <c r="A169" s="617">
        <f t="shared" si="15"/>
        <v>164</v>
      </c>
      <c r="B169" s="147" t="s">
        <v>213</v>
      </c>
      <c r="C169" s="147">
        <f>$C$167*C34</f>
        <v>7472905.0271970807</v>
      </c>
      <c r="D169" s="371" t="str">
        <f>"L"&amp;A34&amp;" * L"&amp;A167&amp;""</f>
        <v>L29 * L162</v>
      </c>
      <c r="E169" s="147">
        <f>$E$167*E34</f>
        <v>232608.45505141711</v>
      </c>
      <c r="F169" s="371" t="str">
        <f>"L"&amp;A34&amp;" * L"&amp;A167&amp;""</f>
        <v>L29 * L162</v>
      </c>
      <c r="G169" s="147">
        <f>$G$167*G34</f>
        <v>105873.56609397163</v>
      </c>
      <c r="H169" s="371" t="str">
        <f>"L"&amp;A34&amp;" * L"&amp;A167&amp;""</f>
        <v>L29 * L162</v>
      </c>
      <c r="I169" s="147"/>
      <c r="J169" s="148"/>
      <c r="K169" s="147">
        <f>C169+E169+G169</f>
        <v>7811387.0483424701</v>
      </c>
      <c r="L169" s="35"/>
    </row>
    <row r="170" spans="1:13">
      <c r="A170" s="617">
        <f t="shared" si="15"/>
        <v>165</v>
      </c>
      <c r="B170" s="179" t="s">
        <v>214</v>
      </c>
      <c r="C170" s="180">
        <f>9423796.41+2192799.45</f>
        <v>11616595.859999999</v>
      </c>
      <c r="D170" s="381" t="s">
        <v>215</v>
      </c>
      <c r="E170" s="180"/>
      <c r="F170" s="181"/>
      <c r="G170" s="180"/>
      <c r="H170" s="181"/>
      <c r="I170" s="180"/>
      <c r="J170" s="181"/>
      <c r="K170" s="180">
        <f>SUM(C170:I170)</f>
        <v>11616595.859999999</v>
      </c>
      <c r="L170" s="35"/>
    </row>
    <row r="171" spans="1:13">
      <c r="A171" s="617">
        <f t="shared" ref="A171:A192" si="17">A170+1</f>
        <v>166</v>
      </c>
      <c r="B171" s="147" t="s">
        <v>216</v>
      </c>
      <c r="C171" s="147">
        <f>$C$167*C40</f>
        <v>1198260.7440944004</v>
      </c>
      <c r="D171" s="371" t="str">
        <f>"L"&amp;A40&amp;" * L"&amp;A167&amp;""</f>
        <v>L35 * L162</v>
      </c>
      <c r="E171" s="147"/>
      <c r="F171" s="148"/>
      <c r="G171" s="149"/>
      <c r="H171" s="148"/>
      <c r="I171" s="147"/>
      <c r="J171" s="148"/>
      <c r="K171" s="147">
        <f>C171+E171+G171+I171</f>
        <v>1198260.7440944004</v>
      </c>
      <c r="L171" s="35"/>
    </row>
    <row r="172" spans="1:13">
      <c r="A172" s="617">
        <f t="shared" si="17"/>
        <v>167</v>
      </c>
      <c r="B172" s="71"/>
      <c r="C172" s="71"/>
      <c r="D172" s="35"/>
      <c r="E172" s="71"/>
      <c r="F172" s="35"/>
      <c r="G172" s="59"/>
      <c r="H172" s="35"/>
      <c r="I172" s="59"/>
      <c r="J172" s="35"/>
      <c r="K172" s="71"/>
      <c r="L172" s="35"/>
    </row>
    <row r="173" spans="1:13">
      <c r="A173" s="617">
        <f t="shared" si="17"/>
        <v>168</v>
      </c>
      <c r="B173" s="382" t="s">
        <v>217</v>
      </c>
      <c r="C173" s="49"/>
      <c r="D173" s="49"/>
      <c r="E173" s="49"/>
      <c r="F173" s="49"/>
      <c r="G173" s="49"/>
      <c r="H173" s="49"/>
      <c r="I173" s="49"/>
      <c r="J173" s="49"/>
      <c r="K173" s="49"/>
      <c r="L173" s="35"/>
    </row>
    <row r="174" spans="1:13">
      <c r="A174" s="617">
        <f t="shared" si="17"/>
        <v>169</v>
      </c>
      <c r="B174" s="383" t="s">
        <v>218</v>
      </c>
      <c r="C174" s="49"/>
      <c r="D174" s="49"/>
      <c r="E174" s="49"/>
      <c r="F174" s="49"/>
      <c r="G174" s="49"/>
      <c r="H174" s="49"/>
      <c r="I174" s="49"/>
      <c r="J174" s="49"/>
      <c r="K174" s="49"/>
      <c r="L174" s="35"/>
    </row>
    <row r="175" spans="1:13">
      <c r="A175" s="617">
        <f t="shared" si="17"/>
        <v>170</v>
      </c>
      <c r="B175" s="382" t="s">
        <v>219</v>
      </c>
      <c r="C175" s="49"/>
      <c r="D175" s="49"/>
      <c r="E175" s="49"/>
      <c r="F175" s="49"/>
      <c r="G175" s="49"/>
      <c r="H175" s="49"/>
      <c r="I175" s="49"/>
      <c r="J175" s="49"/>
      <c r="K175" s="49"/>
      <c r="L175" s="35"/>
    </row>
    <row r="176" spans="1:13">
      <c r="A176" s="617">
        <f t="shared" si="17"/>
        <v>171</v>
      </c>
      <c r="B176" s="382" t="s">
        <v>220</v>
      </c>
      <c r="C176" s="49"/>
      <c r="D176" s="49"/>
      <c r="E176" s="49"/>
      <c r="F176" s="49"/>
      <c r="G176" s="49"/>
      <c r="H176" s="49"/>
      <c r="I176" s="49"/>
      <c r="J176" s="49"/>
      <c r="K176" s="49"/>
      <c r="L176" s="35"/>
    </row>
    <row r="177" spans="1:13">
      <c r="A177" s="617">
        <f t="shared" si="17"/>
        <v>172</v>
      </c>
      <c r="B177" s="382" t="s">
        <v>221</v>
      </c>
      <c r="C177" s="49"/>
      <c r="D177" s="49"/>
      <c r="E177" s="49"/>
      <c r="F177" s="49"/>
      <c r="G177" s="49"/>
      <c r="H177" s="49"/>
      <c r="I177" s="49"/>
      <c r="J177" s="49"/>
      <c r="K177" s="49"/>
      <c r="L177" s="35"/>
    </row>
    <row r="178" spans="1:13">
      <c r="A178" s="617">
        <f t="shared" si="17"/>
        <v>173</v>
      </c>
      <c r="B178" s="383" t="s">
        <v>222</v>
      </c>
      <c r="C178" s="49"/>
      <c r="D178" s="49"/>
      <c r="E178" s="49"/>
      <c r="F178" s="49"/>
      <c r="G178" s="49"/>
      <c r="H178" s="49"/>
      <c r="I178" s="49"/>
      <c r="J178" s="49"/>
      <c r="K178" s="56"/>
      <c r="L178" s="35"/>
    </row>
    <row r="179" spans="1:13">
      <c r="A179" s="617">
        <f t="shared" si="17"/>
        <v>174</v>
      </c>
      <c r="B179" s="383" t="s">
        <v>223</v>
      </c>
      <c r="C179" s="49"/>
      <c r="D179" s="49"/>
      <c r="E179" s="49"/>
      <c r="F179" s="49"/>
      <c r="G179" s="49"/>
      <c r="H179" s="49"/>
      <c r="I179" s="49"/>
      <c r="J179" s="49"/>
      <c r="K179" s="49"/>
      <c r="L179" s="35"/>
    </row>
    <row r="180" spans="1:13">
      <c r="A180" s="617">
        <f t="shared" si="17"/>
        <v>175</v>
      </c>
      <c r="B180" s="382" t="s">
        <v>224</v>
      </c>
      <c r="C180" s="49"/>
      <c r="D180" s="49"/>
      <c r="E180" s="49"/>
      <c r="F180" s="49"/>
      <c r="G180" s="49"/>
      <c r="H180" s="49"/>
      <c r="I180" s="49"/>
      <c r="J180" s="49"/>
      <c r="K180" s="49"/>
      <c r="L180" s="35"/>
    </row>
    <row r="181" spans="1:13">
      <c r="A181" s="617">
        <f t="shared" si="17"/>
        <v>176</v>
      </c>
      <c r="B181" s="384" t="s">
        <v>225</v>
      </c>
      <c r="C181" s="49"/>
      <c r="D181" s="49"/>
      <c r="E181" s="49"/>
      <c r="F181" s="49"/>
      <c r="G181" s="49"/>
      <c r="H181" s="49"/>
      <c r="I181" s="49"/>
      <c r="J181" s="49"/>
      <c r="K181" s="49"/>
      <c r="L181" s="35"/>
    </row>
    <row r="182" spans="1:13">
      <c r="A182" s="617">
        <f t="shared" si="17"/>
        <v>177</v>
      </c>
      <c r="B182" s="382" t="s">
        <v>226</v>
      </c>
      <c r="C182" s="49"/>
      <c r="D182" s="49"/>
      <c r="E182" s="49"/>
      <c r="F182" s="49"/>
      <c r="G182" s="49"/>
      <c r="H182" s="49"/>
      <c r="I182" s="49"/>
      <c r="J182" s="49"/>
      <c r="K182" s="49"/>
      <c r="L182" s="35"/>
    </row>
    <row r="183" spans="1:13">
      <c r="A183" s="617">
        <f t="shared" si="17"/>
        <v>178</v>
      </c>
      <c r="B183" s="382" t="s">
        <v>227</v>
      </c>
      <c r="C183" s="49"/>
      <c r="D183" s="49"/>
      <c r="E183" s="49"/>
      <c r="F183" s="49"/>
      <c r="G183" s="49"/>
      <c r="H183" s="49"/>
      <c r="I183" s="49"/>
      <c r="J183" s="49"/>
      <c r="K183" s="49"/>
      <c r="L183" s="35"/>
    </row>
    <row r="184" spans="1:13">
      <c r="A184" s="617">
        <f t="shared" si="17"/>
        <v>179</v>
      </c>
      <c r="B184" s="382" t="s">
        <v>228</v>
      </c>
      <c r="C184" s="49"/>
      <c r="D184" s="49"/>
      <c r="E184" s="49"/>
      <c r="F184" s="49"/>
      <c r="G184" s="49"/>
      <c r="H184" s="49"/>
      <c r="I184" s="49"/>
      <c r="J184" s="49"/>
      <c r="K184" s="49"/>
      <c r="L184" s="35"/>
    </row>
    <row r="185" spans="1:13">
      <c r="A185" s="617">
        <f t="shared" si="17"/>
        <v>180</v>
      </c>
      <c r="B185" s="385" t="s">
        <v>229</v>
      </c>
      <c r="C185" s="49"/>
      <c r="D185" s="49"/>
      <c r="E185" s="49"/>
      <c r="F185" s="49"/>
      <c r="G185" s="49"/>
      <c r="H185" s="49"/>
      <c r="I185" s="49"/>
      <c r="J185" s="49"/>
      <c r="K185" s="49"/>
      <c r="L185" s="35"/>
    </row>
    <row r="186" spans="1:13">
      <c r="A186" s="617">
        <f t="shared" si="17"/>
        <v>181</v>
      </c>
      <c r="B186" s="385" t="s">
        <v>230</v>
      </c>
      <c r="C186" s="49"/>
      <c r="D186" s="49"/>
      <c r="E186" s="49"/>
      <c r="F186" s="49"/>
      <c r="G186" s="49"/>
      <c r="H186" s="49"/>
      <c r="I186" s="49"/>
      <c r="J186" s="49"/>
      <c r="K186" s="49"/>
      <c r="L186" s="35"/>
    </row>
    <row r="187" spans="1:13">
      <c r="A187" s="617">
        <f t="shared" si="17"/>
        <v>182</v>
      </c>
      <c r="B187" s="385" t="s">
        <v>231</v>
      </c>
      <c r="C187" s="49"/>
      <c r="D187" s="49"/>
      <c r="E187" s="49"/>
      <c r="F187" s="49"/>
      <c r="G187" s="49"/>
      <c r="H187" s="49"/>
      <c r="I187" s="49"/>
      <c r="J187" s="49"/>
      <c r="K187" s="49"/>
      <c r="L187" s="35"/>
    </row>
    <row r="188" spans="1:13" s="34" customFormat="1">
      <c r="A188" s="617">
        <f t="shared" si="17"/>
        <v>183</v>
      </c>
      <c r="B188" s="386" t="s">
        <v>232</v>
      </c>
      <c r="C188" s="51"/>
      <c r="D188" s="52"/>
      <c r="E188" s="51"/>
      <c r="F188" s="52"/>
      <c r="G188" s="51"/>
      <c r="H188" s="52"/>
      <c r="I188" s="51"/>
      <c r="J188" s="52"/>
      <c r="K188" s="49"/>
      <c r="L188" s="35"/>
      <c r="M188" s="30"/>
    </row>
    <row r="189" spans="1:13" s="34" customFormat="1">
      <c r="A189" s="617">
        <f t="shared" si="17"/>
        <v>184</v>
      </c>
      <c r="B189" s="386" t="s">
        <v>233</v>
      </c>
      <c r="C189" s="51"/>
      <c r="D189" s="52"/>
      <c r="E189" s="51"/>
      <c r="F189" s="52"/>
      <c r="G189" s="51"/>
      <c r="H189" s="52"/>
      <c r="I189" s="51"/>
      <c r="J189" s="52"/>
      <c r="K189" s="49"/>
      <c r="L189" s="35"/>
      <c r="M189" s="30"/>
    </row>
    <row r="190" spans="1:13" s="34" customFormat="1">
      <c r="A190" s="617">
        <f t="shared" si="17"/>
        <v>185</v>
      </c>
      <c r="B190" s="386" t="s">
        <v>234</v>
      </c>
      <c r="C190" s="51"/>
      <c r="D190" s="52"/>
      <c r="E190" s="51"/>
      <c r="F190" s="52"/>
      <c r="G190" s="51"/>
      <c r="H190" s="52"/>
      <c r="I190" s="51"/>
      <c r="J190" s="52"/>
      <c r="K190" s="49"/>
      <c r="L190" s="35"/>
      <c r="M190" s="30"/>
    </row>
    <row r="191" spans="1:13" s="34" customFormat="1">
      <c r="A191" s="617">
        <f t="shared" si="17"/>
        <v>186</v>
      </c>
      <c r="B191" s="386" t="s">
        <v>235</v>
      </c>
      <c r="C191" s="51"/>
      <c r="D191" s="52"/>
      <c r="E191" s="51"/>
      <c r="F191" s="52"/>
      <c r="G191" s="51"/>
      <c r="H191" s="52"/>
      <c r="I191" s="51"/>
      <c r="J191" s="52"/>
      <c r="K191" s="49"/>
      <c r="L191" s="35"/>
      <c r="M191" s="30"/>
    </row>
    <row r="192" spans="1:13" s="34" customFormat="1">
      <c r="A192" s="617">
        <f t="shared" si="17"/>
        <v>187</v>
      </c>
      <c r="B192" s="382" t="s">
        <v>236</v>
      </c>
      <c r="C192" s="51"/>
      <c r="D192" s="52"/>
      <c r="E192" s="51"/>
      <c r="F192" s="52"/>
      <c r="G192" s="51"/>
      <c r="H192" s="52"/>
      <c r="I192" s="51"/>
      <c r="J192" s="52"/>
      <c r="K192" s="49"/>
      <c r="L192" s="35"/>
      <c r="M192" s="30"/>
    </row>
    <row r="193" spans="2:7">
      <c r="C193" s="32"/>
      <c r="D193" s="32"/>
      <c r="E193" s="32"/>
      <c r="F193" s="32"/>
      <c r="G193" s="32"/>
    </row>
    <row r="194" spans="2:7">
      <c r="B194" s="32"/>
      <c r="C194" s="32"/>
      <c r="D194" s="32"/>
      <c r="E194" s="32"/>
      <c r="F194" s="32"/>
      <c r="G194" s="32"/>
    </row>
    <row r="195" spans="2:7">
      <c r="C195" s="32"/>
      <c r="D195" s="32"/>
      <c r="E195" s="32"/>
      <c r="F195" s="32"/>
      <c r="G195" s="32"/>
    </row>
    <row r="196" spans="2:7">
      <c r="B196" s="32"/>
      <c r="C196" s="32"/>
      <c r="D196" s="32"/>
      <c r="E196" s="32"/>
      <c r="F196" s="32"/>
      <c r="G196" s="32"/>
    </row>
  </sheetData>
  <mergeCells count="2">
    <mergeCell ref="B24:K24"/>
    <mergeCell ref="B32:K32"/>
  </mergeCells>
  <hyperlinks>
    <hyperlink ref="C1" location="'Cover Sheets'!A18" display="(Back to Worksheet Links)" xr:uid="{AD550180-44AD-475D-9AD9-5F990460F903}"/>
  </hyperlinks>
  <pageMargins left="0.7" right="0.7" top="0.75" bottom="0.75" header="0.3" footer="0.3"/>
  <pageSetup paperSize="17" fitToHeight="0" orientation="landscape" r:id="rId1"/>
  <headerFooter>
    <oddFooter>&amp;R&amp;A</oddFooter>
  </headerFooter>
  <rowBreaks count="1" manualBreakCount="1">
    <brk id="74"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17"/>
  <sheetViews>
    <sheetView view="pageBreakPreview" zoomScale="90" zoomScaleNormal="90" zoomScaleSheetLayoutView="90" zoomScalePageLayoutView="90" workbookViewId="0"/>
  </sheetViews>
  <sheetFormatPr defaultColWidth="9.1796875" defaultRowHeight="13" outlineLevelRow="2"/>
  <cols>
    <col min="1" max="1" width="9.1796875" style="7"/>
    <col min="2" max="2" width="12.7265625" style="7" bestFit="1" customWidth="1"/>
    <col min="3" max="3" width="9.1796875" style="7"/>
    <col min="4" max="4" width="8" style="13" customWidth="1"/>
    <col min="5" max="5" width="42.81640625" style="8" customWidth="1"/>
    <col min="6" max="6" width="21.54296875" style="28" customWidth="1"/>
    <col min="7" max="8" width="18.453125" style="9" customWidth="1"/>
    <col min="9" max="10" width="14.54296875" style="9" customWidth="1"/>
    <col min="11" max="13" width="16.54296875" style="10" customWidth="1"/>
    <col min="14" max="14" width="20.54296875" style="13" customWidth="1"/>
    <col min="15" max="15" width="13.54296875" style="8" bestFit="1" customWidth="1"/>
    <col min="16" max="16" width="12.1796875" style="7" customWidth="1"/>
    <col min="17" max="17" width="12" style="7" customWidth="1"/>
    <col min="18" max="19" width="9.1796875" style="8" customWidth="1"/>
    <col min="20" max="20" width="12.453125" style="8" bestFit="1" customWidth="1"/>
    <col min="21" max="16384" width="9.1796875" style="8"/>
  </cols>
  <sheetData>
    <row r="1" spans="1:17" s="3" customFormat="1" ht="14.5">
      <c r="A1" s="6" t="str">
        <f>'Cover Sheets'!A10:D10</f>
        <v>WAPA-UGP 2023 Rate True-up Calculation</v>
      </c>
      <c r="B1" s="1"/>
      <c r="C1" s="1"/>
      <c r="D1" s="2"/>
      <c r="F1" s="448" t="s">
        <v>52</v>
      </c>
      <c r="G1" s="120"/>
      <c r="H1" s="120"/>
      <c r="I1" s="120"/>
      <c r="J1" s="120"/>
      <c r="K1" s="167"/>
      <c r="L1" s="167"/>
      <c r="M1" s="167"/>
    </row>
    <row r="2" spans="1:17" s="3" customFormat="1">
      <c r="A2" s="6" t="s">
        <v>237</v>
      </c>
      <c r="B2" s="1"/>
      <c r="C2" s="1"/>
      <c r="D2" s="2"/>
      <c r="F2" s="202"/>
      <c r="G2" s="120"/>
      <c r="H2" s="120"/>
      <c r="I2" s="120"/>
      <c r="J2" s="120"/>
      <c r="K2" s="167"/>
      <c r="L2" s="167"/>
      <c r="M2" s="167"/>
    </row>
    <row r="3" spans="1:17" s="4" customFormat="1" ht="14.15" customHeight="1">
      <c r="A3" s="1" t="str">
        <f>'Summary-TrueUp'!A3</f>
        <v>12 Months Ending 09/30/2023 True-up</v>
      </c>
      <c r="B3" s="1"/>
      <c r="C3" s="1"/>
      <c r="D3" s="3"/>
      <c r="F3" s="119"/>
      <c r="G3" s="119"/>
      <c r="H3" s="119"/>
      <c r="I3" s="119"/>
      <c r="J3" s="119"/>
      <c r="N3" s="3"/>
      <c r="O3" s="3"/>
      <c r="P3" s="3"/>
      <c r="Q3" s="3"/>
    </row>
    <row r="4" spans="1:17" s="4" customFormat="1" ht="14.15" customHeight="1">
      <c r="A4" s="1"/>
      <c r="B4" s="88">
        <v>-1</v>
      </c>
      <c r="C4" s="88">
        <v>-2</v>
      </c>
      <c r="D4" s="88">
        <v>-3</v>
      </c>
      <c r="E4" s="88">
        <v>-4</v>
      </c>
      <c r="F4" s="88">
        <v>-5</v>
      </c>
      <c r="G4" s="88">
        <v>-6</v>
      </c>
      <c r="H4" s="88">
        <v>-7</v>
      </c>
      <c r="I4" s="168">
        <v>-8</v>
      </c>
      <c r="J4" s="168">
        <v>-9</v>
      </c>
      <c r="K4" s="168">
        <v>-10</v>
      </c>
      <c r="L4" s="168"/>
      <c r="M4" s="168"/>
      <c r="N4" s="3"/>
      <c r="O4" s="3"/>
      <c r="P4" s="3"/>
      <c r="Q4" s="3"/>
    </row>
    <row r="5" spans="1:17" s="3" customFormat="1" ht="32.5" customHeight="1">
      <c r="A5" s="3" t="s">
        <v>24</v>
      </c>
      <c r="B5" s="3" t="s">
        <v>238</v>
      </c>
      <c r="D5" s="5" t="s">
        <v>239</v>
      </c>
      <c r="E5" s="6" t="s">
        <v>240</v>
      </c>
      <c r="F5" s="121" t="s">
        <v>241</v>
      </c>
      <c r="G5" s="121" t="s">
        <v>242</v>
      </c>
      <c r="H5" s="121" t="s">
        <v>243</v>
      </c>
      <c r="I5" s="121" t="s">
        <v>244</v>
      </c>
      <c r="J5" s="121" t="s">
        <v>245</v>
      </c>
      <c r="K5" s="169" t="s">
        <v>246</v>
      </c>
      <c r="L5" s="169"/>
      <c r="M5" s="169"/>
      <c r="N5" s="5" t="s">
        <v>247</v>
      </c>
      <c r="Q5" s="5"/>
    </row>
    <row r="6" spans="1:17" outlineLevel="2">
      <c r="A6" s="7">
        <v>1</v>
      </c>
      <c r="B6" s="7" t="s">
        <v>27</v>
      </c>
      <c r="C6" s="7" t="s">
        <v>77</v>
      </c>
      <c r="D6" s="8" t="s">
        <v>248</v>
      </c>
      <c r="E6" s="8" t="s">
        <v>249</v>
      </c>
      <c r="F6" s="28">
        <v>96623.18</v>
      </c>
      <c r="G6" s="10">
        <v>0</v>
      </c>
      <c r="H6" s="10">
        <f>F6+G6</f>
        <v>96623.18</v>
      </c>
      <c r="I6" s="10">
        <v>0</v>
      </c>
      <c r="J6" s="10"/>
      <c r="K6" s="170">
        <f>SUM(H6:J6)</f>
        <v>96623.18</v>
      </c>
      <c r="L6" s="170"/>
      <c r="M6" s="170"/>
      <c r="N6" s="8"/>
      <c r="O6" s="7"/>
      <c r="Q6" s="11"/>
    </row>
    <row r="7" spans="1:17" ht="13.5" customHeight="1" outlineLevel="2">
      <c r="A7" s="7">
        <f>A6+1</f>
        <v>2</v>
      </c>
      <c r="B7" s="7" t="s">
        <v>27</v>
      </c>
      <c r="C7" s="7" t="s">
        <v>77</v>
      </c>
      <c r="D7" s="8" t="s">
        <v>250</v>
      </c>
      <c r="E7" s="8" t="s">
        <v>251</v>
      </c>
      <c r="F7" s="28">
        <v>343710.28</v>
      </c>
      <c r="G7" s="10">
        <v>0</v>
      </c>
      <c r="H7" s="10">
        <f>F7+G7</f>
        <v>343710.28</v>
      </c>
      <c r="I7" s="10">
        <v>0</v>
      </c>
      <c r="J7" s="10"/>
      <c r="K7" s="170">
        <f>SUM(H7:J7)</f>
        <v>343710.28</v>
      </c>
      <c r="L7" s="170"/>
      <c r="M7" s="170"/>
      <c r="N7" s="8"/>
      <c r="O7" s="7"/>
      <c r="Q7" s="11"/>
    </row>
    <row r="8" spans="1:17" ht="12.75" customHeight="1" outlineLevel="2">
      <c r="A8" s="7">
        <f>A7+1</f>
        <v>3</v>
      </c>
      <c r="B8" s="7" t="s">
        <v>27</v>
      </c>
      <c r="C8" s="7" t="s">
        <v>77</v>
      </c>
      <c r="D8" s="8" t="s">
        <v>252</v>
      </c>
      <c r="E8" s="8" t="s">
        <v>253</v>
      </c>
      <c r="F8" s="203">
        <v>459778.46</v>
      </c>
      <c r="G8" s="10">
        <v>0</v>
      </c>
      <c r="H8" s="10">
        <f t="shared" ref="H8:H64" si="0">F8+G8</f>
        <v>459778.46</v>
      </c>
      <c r="I8" s="10">
        <v>0</v>
      </c>
      <c r="J8" s="10"/>
      <c r="K8" s="170">
        <f t="shared" ref="K8:K64" si="1">SUM(H8:J8)</f>
        <v>459778.46</v>
      </c>
      <c r="L8" s="170"/>
      <c r="M8" s="170"/>
      <c r="N8" s="8"/>
      <c r="O8" s="7"/>
      <c r="Q8" s="11"/>
    </row>
    <row r="9" spans="1:17" outlineLevel="2">
      <c r="A9" s="7">
        <f t="shared" ref="A9:A72" si="2">A8+1</f>
        <v>4</v>
      </c>
      <c r="B9" s="7" t="s">
        <v>27</v>
      </c>
      <c r="C9" s="7" t="s">
        <v>77</v>
      </c>
      <c r="D9" s="12" t="s">
        <v>254</v>
      </c>
      <c r="E9" s="8" t="s">
        <v>255</v>
      </c>
      <c r="F9" s="203">
        <v>357312.09</v>
      </c>
      <c r="G9" s="10">
        <v>0</v>
      </c>
      <c r="H9" s="10">
        <f t="shared" si="0"/>
        <v>357312.09</v>
      </c>
      <c r="I9" s="10">
        <v>0</v>
      </c>
      <c r="J9" s="10"/>
      <c r="K9" s="170">
        <f t="shared" si="1"/>
        <v>357312.09</v>
      </c>
      <c r="L9" s="170"/>
      <c r="M9" s="170"/>
      <c r="N9" s="12"/>
      <c r="O9" s="7"/>
      <c r="Q9" s="11"/>
    </row>
    <row r="10" spans="1:17" outlineLevel="2">
      <c r="A10" s="7">
        <f t="shared" si="2"/>
        <v>5</v>
      </c>
      <c r="B10" s="7" t="s">
        <v>27</v>
      </c>
      <c r="C10" s="7" t="s">
        <v>77</v>
      </c>
      <c r="D10" s="13" t="s">
        <v>256</v>
      </c>
      <c r="E10" s="8" t="s">
        <v>257</v>
      </c>
      <c r="F10" s="203">
        <v>6362299.5499999998</v>
      </c>
      <c r="G10" s="10">
        <v>0</v>
      </c>
      <c r="H10" s="10">
        <f t="shared" si="0"/>
        <v>6362299.5499999998</v>
      </c>
      <c r="I10" s="10">
        <v>0</v>
      </c>
      <c r="J10" s="10"/>
      <c r="K10" s="170">
        <f t="shared" si="1"/>
        <v>6362299.5499999998</v>
      </c>
      <c r="L10" s="170"/>
      <c r="M10" s="170"/>
      <c r="O10" s="7"/>
      <c r="Q10" s="11"/>
    </row>
    <row r="11" spans="1:17" outlineLevel="2">
      <c r="A11" s="7">
        <f t="shared" si="2"/>
        <v>6</v>
      </c>
      <c r="B11" s="7" t="s">
        <v>27</v>
      </c>
      <c r="C11" s="7" t="s">
        <v>77</v>
      </c>
      <c r="D11" s="13" t="s">
        <v>258</v>
      </c>
      <c r="E11" s="8" t="s">
        <v>259</v>
      </c>
      <c r="F11" s="203">
        <v>9317119.5999999996</v>
      </c>
      <c r="G11" s="10">
        <v>0</v>
      </c>
      <c r="H11" s="10">
        <f t="shared" si="0"/>
        <v>9317119.5999999996</v>
      </c>
      <c r="I11" s="10">
        <v>0</v>
      </c>
      <c r="J11" s="10"/>
      <c r="K11" s="170">
        <f t="shared" si="1"/>
        <v>9317119.5999999996</v>
      </c>
      <c r="L11" s="170"/>
      <c r="M11" s="170"/>
      <c r="O11" s="7"/>
    </row>
    <row r="12" spans="1:17" outlineLevel="2">
      <c r="A12" s="7">
        <f t="shared" si="2"/>
        <v>7</v>
      </c>
      <c r="B12" s="7" t="s">
        <v>27</v>
      </c>
      <c r="C12" s="7" t="s">
        <v>77</v>
      </c>
      <c r="D12" s="13" t="s">
        <v>260</v>
      </c>
      <c r="E12" s="8" t="s">
        <v>261</v>
      </c>
      <c r="F12" s="203">
        <v>7484031.3300000001</v>
      </c>
      <c r="G12" s="10">
        <v>0</v>
      </c>
      <c r="H12" s="10">
        <f t="shared" si="0"/>
        <v>7484031.3300000001</v>
      </c>
      <c r="I12" s="10">
        <v>0</v>
      </c>
      <c r="J12" s="10"/>
      <c r="K12" s="170">
        <f t="shared" si="1"/>
        <v>7484031.3300000001</v>
      </c>
      <c r="L12" s="170"/>
      <c r="M12" s="170"/>
      <c r="O12" s="7"/>
      <c r="Q12" s="11"/>
    </row>
    <row r="13" spans="1:17" outlineLevel="2">
      <c r="A13" s="7">
        <f t="shared" si="2"/>
        <v>8</v>
      </c>
      <c r="B13" s="7" t="s">
        <v>27</v>
      </c>
      <c r="C13" s="7" t="s">
        <v>77</v>
      </c>
      <c r="D13" s="13" t="s">
        <v>262</v>
      </c>
      <c r="E13" s="8" t="s">
        <v>263</v>
      </c>
      <c r="F13" s="203">
        <v>12837758.279999999</v>
      </c>
      <c r="G13" s="10">
        <v>0</v>
      </c>
      <c r="H13" s="10">
        <f t="shared" si="0"/>
        <v>12837758.279999999</v>
      </c>
      <c r="I13" s="10">
        <v>0</v>
      </c>
      <c r="J13" s="10"/>
      <c r="K13" s="170">
        <f t="shared" si="1"/>
        <v>12837758.279999999</v>
      </c>
      <c r="L13" s="170"/>
      <c r="M13" s="170"/>
      <c r="O13" s="7"/>
    </row>
    <row r="14" spans="1:17" outlineLevel="2">
      <c r="A14" s="7">
        <f t="shared" si="2"/>
        <v>9</v>
      </c>
      <c r="B14" s="7" t="s">
        <v>27</v>
      </c>
      <c r="C14" s="7" t="s">
        <v>77</v>
      </c>
      <c r="D14" s="13" t="s">
        <v>264</v>
      </c>
      <c r="E14" s="8" t="s">
        <v>265</v>
      </c>
      <c r="F14" s="203">
        <v>2564428.87</v>
      </c>
      <c r="G14" s="10">
        <v>0</v>
      </c>
      <c r="H14" s="10">
        <f t="shared" si="0"/>
        <v>2564428.87</v>
      </c>
      <c r="I14" s="10">
        <v>0</v>
      </c>
      <c r="J14" s="10"/>
      <c r="K14" s="170">
        <f t="shared" si="1"/>
        <v>2564428.87</v>
      </c>
      <c r="L14" s="170"/>
      <c r="M14" s="170"/>
      <c r="O14" s="7"/>
      <c r="Q14" s="11"/>
    </row>
    <row r="15" spans="1:17" outlineLevel="2">
      <c r="A15" s="7">
        <f t="shared" si="2"/>
        <v>10</v>
      </c>
      <c r="B15" s="7" t="s">
        <v>27</v>
      </c>
      <c r="C15" s="7" t="s">
        <v>77</v>
      </c>
      <c r="D15" s="13" t="s">
        <v>266</v>
      </c>
      <c r="E15" s="8" t="s">
        <v>267</v>
      </c>
      <c r="F15" s="203">
        <v>1718240.27</v>
      </c>
      <c r="G15" s="10">
        <v>0</v>
      </c>
      <c r="H15" s="10">
        <f t="shared" si="0"/>
        <v>1718240.27</v>
      </c>
      <c r="I15" s="10">
        <v>0</v>
      </c>
      <c r="J15" s="10"/>
      <c r="K15" s="170">
        <f t="shared" si="1"/>
        <v>1718240.27</v>
      </c>
      <c r="L15" s="170"/>
      <c r="M15" s="170"/>
      <c r="O15" s="7"/>
      <c r="Q15" s="11"/>
    </row>
    <row r="16" spans="1:17" outlineLevel="2">
      <c r="A16" s="7">
        <f t="shared" si="2"/>
        <v>11</v>
      </c>
      <c r="B16" s="7" t="s">
        <v>27</v>
      </c>
      <c r="C16" s="7" t="s">
        <v>77</v>
      </c>
      <c r="D16" s="13" t="s">
        <v>268</v>
      </c>
      <c r="E16" s="8" t="s">
        <v>269</v>
      </c>
      <c r="F16" s="203">
        <v>3318557.94</v>
      </c>
      <c r="G16" s="10">
        <v>0</v>
      </c>
      <c r="H16" s="10">
        <f t="shared" si="0"/>
        <v>3318557.94</v>
      </c>
      <c r="I16" s="10">
        <v>0</v>
      </c>
      <c r="J16" s="10"/>
      <c r="K16" s="170">
        <f t="shared" si="1"/>
        <v>3318557.94</v>
      </c>
      <c r="L16" s="170"/>
      <c r="M16" s="170"/>
      <c r="O16" s="7"/>
      <c r="Q16" s="11"/>
    </row>
    <row r="17" spans="1:17" outlineLevel="2">
      <c r="A17" s="7">
        <f t="shared" si="2"/>
        <v>12</v>
      </c>
      <c r="B17" s="7" t="s">
        <v>27</v>
      </c>
      <c r="C17" s="7" t="s">
        <v>77</v>
      </c>
      <c r="D17" s="13" t="s">
        <v>270</v>
      </c>
      <c r="E17" s="8" t="s">
        <v>271</v>
      </c>
      <c r="F17" s="203">
        <v>3495515.91</v>
      </c>
      <c r="G17" s="10">
        <v>0</v>
      </c>
      <c r="H17" s="10">
        <f t="shared" si="0"/>
        <v>3495515.91</v>
      </c>
      <c r="I17" s="10">
        <v>0</v>
      </c>
      <c r="J17" s="10"/>
      <c r="K17" s="170">
        <f t="shared" si="1"/>
        <v>3495515.91</v>
      </c>
      <c r="L17" s="170"/>
      <c r="M17" s="170"/>
      <c r="O17" s="7"/>
      <c r="Q17" s="11"/>
    </row>
    <row r="18" spans="1:17" outlineLevel="2">
      <c r="A18" s="7">
        <f t="shared" si="2"/>
        <v>13</v>
      </c>
      <c r="B18" s="7" t="s">
        <v>27</v>
      </c>
      <c r="C18" s="7" t="s">
        <v>77</v>
      </c>
      <c r="D18" s="13" t="s">
        <v>272</v>
      </c>
      <c r="E18" s="8" t="s">
        <v>273</v>
      </c>
      <c r="F18" s="203">
        <v>1259667.9099999999</v>
      </c>
      <c r="G18" s="10">
        <v>0</v>
      </c>
      <c r="H18" s="10">
        <f t="shared" si="0"/>
        <v>1259667.9099999999</v>
      </c>
      <c r="I18" s="10">
        <v>0</v>
      </c>
      <c r="J18" s="10"/>
      <c r="K18" s="170">
        <f t="shared" si="1"/>
        <v>1259667.9099999999</v>
      </c>
      <c r="L18" s="170"/>
      <c r="M18" s="170"/>
      <c r="O18" s="7"/>
      <c r="Q18" s="11"/>
    </row>
    <row r="19" spans="1:17" outlineLevel="2">
      <c r="A19" s="7">
        <f t="shared" si="2"/>
        <v>14</v>
      </c>
      <c r="B19" s="7" t="s">
        <v>27</v>
      </c>
      <c r="C19" s="7" t="s">
        <v>77</v>
      </c>
      <c r="D19" s="13" t="s">
        <v>274</v>
      </c>
      <c r="E19" s="8" t="s">
        <v>275</v>
      </c>
      <c r="F19" s="203">
        <v>13451446</v>
      </c>
      <c r="G19" s="10">
        <v>0</v>
      </c>
      <c r="H19" s="10">
        <f t="shared" si="0"/>
        <v>13451446</v>
      </c>
      <c r="I19" s="10">
        <v>0</v>
      </c>
      <c r="J19" s="10"/>
      <c r="K19" s="170">
        <f t="shared" si="1"/>
        <v>13451446</v>
      </c>
      <c r="L19" s="170"/>
      <c r="M19" s="170"/>
      <c r="O19" s="7"/>
      <c r="Q19" s="11"/>
    </row>
    <row r="20" spans="1:17" outlineLevel="2">
      <c r="A20" s="7">
        <f t="shared" si="2"/>
        <v>15</v>
      </c>
      <c r="B20" s="7" t="s">
        <v>27</v>
      </c>
      <c r="C20" s="7" t="s">
        <v>77</v>
      </c>
      <c r="D20" s="13" t="s">
        <v>276</v>
      </c>
      <c r="E20" s="8" t="s">
        <v>277</v>
      </c>
      <c r="F20" s="203">
        <v>14513307.74</v>
      </c>
      <c r="G20" s="10">
        <v>0</v>
      </c>
      <c r="H20" s="10">
        <f t="shared" si="0"/>
        <v>14513307.74</v>
      </c>
      <c r="I20" s="10">
        <v>0</v>
      </c>
      <c r="J20" s="10"/>
      <c r="K20" s="170">
        <f t="shared" si="1"/>
        <v>14513307.74</v>
      </c>
      <c r="L20" s="170"/>
      <c r="M20" s="170"/>
      <c r="O20" s="7"/>
      <c r="Q20" s="11"/>
    </row>
    <row r="21" spans="1:17" outlineLevel="2">
      <c r="A21" s="7">
        <f t="shared" si="2"/>
        <v>16</v>
      </c>
      <c r="B21" s="7" t="s">
        <v>27</v>
      </c>
      <c r="C21" s="7" t="s">
        <v>77</v>
      </c>
      <c r="D21" s="13" t="s">
        <v>278</v>
      </c>
      <c r="E21" s="8" t="s">
        <v>279</v>
      </c>
      <c r="F21" s="203">
        <v>8961040.5500000007</v>
      </c>
      <c r="G21" s="10">
        <v>0</v>
      </c>
      <c r="H21" s="10">
        <f t="shared" si="0"/>
        <v>8961040.5500000007</v>
      </c>
      <c r="I21" s="10">
        <v>0</v>
      </c>
      <c r="J21" s="10"/>
      <c r="K21" s="170">
        <f t="shared" si="1"/>
        <v>8961040.5500000007</v>
      </c>
      <c r="L21" s="170"/>
      <c r="M21" s="170"/>
      <c r="O21" s="7"/>
      <c r="Q21" s="11"/>
    </row>
    <row r="22" spans="1:17" outlineLevel="2">
      <c r="A22" s="7">
        <f t="shared" si="2"/>
        <v>17</v>
      </c>
      <c r="B22" s="7" t="s">
        <v>27</v>
      </c>
      <c r="C22" s="7" t="s">
        <v>77</v>
      </c>
      <c r="D22" s="13" t="s">
        <v>280</v>
      </c>
      <c r="E22" s="8" t="s">
        <v>281</v>
      </c>
      <c r="F22" s="203">
        <v>1366481</v>
      </c>
      <c r="G22" s="10">
        <v>0</v>
      </c>
      <c r="H22" s="10">
        <f t="shared" si="0"/>
        <v>1366481</v>
      </c>
      <c r="I22" s="10">
        <v>0</v>
      </c>
      <c r="J22" s="10"/>
      <c r="K22" s="170">
        <f t="shared" si="1"/>
        <v>1366481</v>
      </c>
      <c r="L22" s="170"/>
      <c r="M22" s="170"/>
      <c r="O22" s="7"/>
      <c r="Q22" s="11"/>
    </row>
    <row r="23" spans="1:17" outlineLevel="2">
      <c r="A23" s="7">
        <f t="shared" si="2"/>
        <v>18</v>
      </c>
      <c r="B23" s="7" t="s">
        <v>27</v>
      </c>
      <c r="C23" s="7" t="s">
        <v>77</v>
      </c>
      <c r="D23" s="13" t="s">
        <v>282</v>
      </c>
      <c r="E23" s="8" t="s">
        <v>283</v>
      </c>
      <c r="F23" s="203">
        <v>2605678.14</v>
      </c>
      <c r="G23" s="10">
        <v>0</v>
      </c>
      <c r="H23" s="10">
        <f t="shared" si="0"/>
        <v>2605678.14</v>
      </c>
      <c r="I23" s="10">
        <v>0</v>
      </c>
      <c r="J23" s="10"/>
      <c r="K23" s="170">
        <f t="shared" si="1"/>
        <v>2605678.14</v>
      </c>
      <c r="L23" s="170"/>
      <c r="M23" s="170"/>
      <c r="O23" s="7"/>
      <c r="Q23" s="11"/>
    </row>
    <row r="24" spans="1:17" outlineLevel="2">
      <c r="A24" s="7">
        <f t="shared" si="2"/>
        <v>19</v>
      </c>
      <c r="B24" s="7" t="s">
        <v>27</v>
      </c>
      <c r="C24" s="7" t="s">
        <v>77</v>
      </c>
      <c r="D24" s="13" t="s">
        <v>284</v>
      </c>
      <c r="E24" s="8" t="s">
        <v>285</v>
      </c>
      <c r="F24" s="28">
        <v>553799.82999999996</v>
      </c>
      <c r="G24" s="10">
        <v>0</v>
      </c>
      <c r="H24" s="10">
        <f t="shared" si="0"/>
        <v>553799.82999999996</v>
      </c>
      <c r="I24" s="10">
        <v>0</v>
      </c>
      <c r="J24" s="10"/>
      <c r="K24" s="170">
        <f t="shared" si="1"/>
        <v>553799.82999999996</v>
      </c>
      <c r="L24" s="170"/>
      <c r="M24" s="170"/>
      <c r="O24" s="7"/>
      <c r="Q24" s="11"/>
    </row>
    <row r="25" spans="1:17" outlineLevel="2">
      <c r="A25" s="7">
        <f t="shared" si="2"/>
        <v>20</v>
      </c>
      <c r="B25" s="7" t="s">
        <v>27</v>
      </c>
      <c r="C25" s="7" t="s">
        <v>77</v>
      </c>
      <c r="D25" s="13" t="s">
        <v>286</v>
      </c>
      <c r="E25" s="8" t="s">
        <v>287</v>
      </c>
      <c r="F25" s="28">
        <v>3464063.5</v>
      </c>
      <c r="G25" s="10">
        <v>0</v>
      </c>
      <c r="H25" s="10">
        <f t="shared" si="0"/>
        <v>3464063.5</v>
      </c>
      <c r="I25" s="10">
        <v>0</v>
      </c>
      <c r="J25" s="10"/>
      <c r="K25" s="170">
        <f t="shared" si="1"/>
        <v>3464063.5</v>
      </c>
      <c r="L25" s="170"/>
      <c r="M25" s="170"/>
      <c r="O25" s="7"/>
      <c r="Q25" s="11"/>
    </row>
    <row r="26" spans="1:17" outlineLevel="2">
      <c r="A26" s="7">
        <f t="shared" si="2"/>
        <v>21</v>
      </c>
      <c r="B26" s="7" t="s">
        <v>27</v>
      </c>
      <c r="C26" s="7" t="s">
        <v>77</v>
      </c>
      <c r="D26" s="13" t="s">
        <v>288</v>
      </c>
      <c r="E26" s="8" t="s">
        <v>289</v>
      </c>
      <c r="F26" s="28">
        <v>918675.84</v>
      </c>
      <c r="G26" s="10">
        <v>0</v>
      </c>
      <c r="H26" s="10">
        <f t="shared" si="0"/>
        <v>918675.84</v>
      </c>
      <c r="I26" s="10">
        <v>0</v>
      </c>
      <c r="J26" s="10"/>
      <c r="K26" s="170">
        <f t="shared" si="1"/>
        <v>918675.84</v>
      </c>
      <c r="L26" s="170"/>
      <c r="M26" s="170"/>
      <c r="O26" s="7"/>
      <c r="Q26" s="11"/>
    </row>
    <row r="27" spans="1:17" outlineLevel="2">
      <c r="A27" s="7">
        <f t="shared" si="2"/>
        <v>22</v>
      </c>
      <c r="B27" s="7" t="s">
        <v>27</v>
      </c>
      <c r="C27" s="7" t="s">
        <v>77</v>
      </c>
      <c r="D27" s="13" t="s">
        <v>290</v>
      </c>
      <c r="E27" s="8" t="s">
        <v>291</v>
      </c>
      <c r="F27" s="28">
        <v>1258899.68</v>
      </c>
      <c r="G27" s="10">
        <v>0</v>
      </c>
      <c r="H27" s="10">
        <f t="shared" si="0"/>
        <v>1258899.68</v>
      </c>
      <c r="I27" s="10">
        <v>0</v>
      </c>
      <c r="J27" s="10">
        <f>-51813</f>
        <v>-51813</v>
      </c>
      <c r="K27" s="170">
        <f t="shared" si="1"/>
        <v>1207086.68</v>
      </c>
      <c r="L27" s="170"/>
      <c r="M27" s="170"/>
      <c r="O27" s="7"/>
      <c r="Q27" s="11"/>
    </row>
    <row r="28" spans="1:17" outlineLevel="2">
      <c r="A28" s="7">
        <f t="shared" si="2"/>
        <v>23</v>
      </c>
      <c r="B28" s="7" t="s">
        <v>27</v>
      </c>
      <c r="C28" s="7" t="s">
        <v>77</v>
      </c>
      <c r="D28" s="13" t="s">
        <v>292</v>
      </c>
      <c r="E28" s="8" t="s">
        <v>293</v>
      </c>
      <c r="F28" s="28">
        <v>20977730.73</v>
      </c>
      <c r="G28" s="10">
        <v>0</v>
      </c>
      <c r="H28" s="10">
        <f t="shared" si="0"/>
        <v>20977730.73</v>
      </c>
      <c r="I28" s="10">
        <v>0</v>
      </c>
      <c r="J28" s="10"/>
      <c r="K28" s="170">
        <f t="shared" si="1"/>
        <v>20977730.73</v>
      </c>
      <c r="L28" s="170"/>
      <c r="M28" s="170"/>
      <c r="O28" s="7"/>
      <c r="Q28" s="11"/>
    </row>
    <row r="29" spans="1:17" outlineLevel="2">
      <c r="A29" s="7">
        <f t="shared" si="2"/>
        <v>24</v>
      </c>
      <c r="B29" s="7" t="s">
        <v>27</v>
      </c>
      <c r="C29" s="7" t="s">
        <v>77</v>
      </c>
      <c r="D29" s="13" t="s">
        <v>294</v>
      </c>
      <c r="E29" s="8" t="s">
        <v>295</v>
      </c>
      <c r="F29" s="28">
        <v>9365001.5600000005</v>
      </c>
      <c r="G29" s="10">
        <v>0</v>
      </c>
      <c r="H29" s="10">
        <f t="shared" si="0"/>
        <v>9365001.5600000005</v>
      </c>
      <c r="I29" s="10">
        <v>0</v>
      </c>
      <c r="J29" s="10"/>
      <c r="K29" s="170">
        <f>SUM(H29:J29)</f>
        <v>9365001.5600000005</v>
      </c>
      <c r="L29" s="170"/>
      <c r="M29" s="170"/>
      <c r="O29" s="7"/>
      <c r="Q29" s="11"/>
    </row>
    <row r="30" spans="1:17" outlineLevel="2">
      <c r="A30" s="7">
        <f t="shared" si="2"/>
        <v>25</v>
      </c>
      <c r="B30" s="7" t="s">
        <v>27</v>
      </c>
      <c r="C30" s="7" t="s">
        <v>77</v>
      </c>
      <c r="D30" s="13" t="s">
        <v>296</v>
      </c>
      <c r="E30" s="8" t="s">
        <v>297</v>
      </c>
      <c r="F30" s="28">
        <v>1983046.82</v>
      </c>
      <c r="G30" s="10">
        <v>0</v>
      </c>
      <c r="H30" s="10">
        <f t="shared" si="0"/>
        <v>1983046.82</v>
      </c>
      <c r="I30" s="10">
        <v>0</v>
      </c>
      <c r="J30" s="10"/>
      <c r="K30" s="170">
        <f t="shared" si="1"/>
        <v>1983046.82</v>
      </c>
      <c r="L30" s="170"/>
      <c r="M30" s="170"/>
      <c r="O30" s="7"/>
      <c r="Q30" s="11"/>
    </row>
    <row r="31" spans="1:17" outlineLevel="2">
      <c r="A31" s="7">
        <f t="shared" si="2"/>
        <v>26</v>
      </c>
      <c r="B31" s="7" t="s">
        <v>27</v>
      </c>
      <c r="C31" s="7" t="s">
        <v>77</v>
      </c>
      <c r="D31" s="13" t="s">
        <v>298</v>
      </c>
      <c r="E31" s="8" t="s">
        <v>299</v>
      </c>
      <c r="F31" s="28">
        <v>4159479.56</v>
      </c>
      <c r="G31" s="10">
        <v>0</v>
      </c>
      <c r="H31" s="10">
        <f t="shared" si="0"/>
        <v>4159479.56</v>
      </c>
      <c r="I31" s="10">
        <v>0</v>
      </c>
      <c r="J31" s="10"/>
      <c r="K31" s="170">
        <f t="shared" si="1"/>
        <v>4159479.56</v>
      </c>
      <c r="L31" s="170"/>
      <c r="M31" s="170"/>
      <c r="O31" s="7"/>
      <c r="Q31" s="11"/>
    </row>
    <row r="32" spans="1:17" outlineLevel="2">
      <c r="A32" s="7">
        <f t="shared" si="2"/>
        <v>27</v>
      </c>
      <c r="B32" s="7" t="s">
        <v>27</v>
      </c>
      <c r="C32" s="7" t="s">
        <v>77</v>
      </c>
      <c r="D32" s="13" t="s">
        <v>300</v>
      </c>
      <c r="E32" s="8" t="s">
        <v>301</v>
      </c>
      <c r="F32" s="28">
        <v>771572.37</v>
      </c>
      <c r="G32" s="10">
        <v>0</v>
      </c>
      <c r="H32" s="10">
        <f t="shared" si="0"/>
        <v>771572.37</v>
      </c>
      <c r="I32" s="10">
        <v>0</v>
      </c>
      <c r="J32" s="10"/>
      <c r="K32" s="170">
        <f t="shared" si="1"/>
        <v>771572.37</v>
      </c>
      <c r="L32" s="170"/>
      <c r="M32" s="170"/>
      <c r="O32" s="7"/>
      <c r="Q32" s="11"/>
    </row>
    <row r="33" spans="1:17" outlineLevel="2">
      <c r="A33" s="7">
        <f t="shared" si="2"/>
        <v>28</v>
      </c>
      <c r="B33" s="7" t="s">
        <v>27</v>
      </c>
      <c r="C33" s="7" t="s">
        <v>77</v>
      </c>
      <c r="D33" s="13" t="s">
        <v>302</v>
      </c>
      <c r="E33" s="8" t="s">
        <v>303</v>
      </c>
      <c r="F33" s="28">
        <v>34387.89</v>
      </c>
      <c r="G33" s="10">
        <v>0</v>
      </c>
      <c r="H33" s="10">
        <f t="shared" si="0"/>
        <v>34387.89</v>
      </c>
      <c r="I33" s="10">
        <v>0</v>
      </c>
      <c r="J33" s="10"/>
      <c r="K33" s="170">
        <f t="shared" si="1"/>
        <v>34387.89</v>
      </c>
      <c r="L33" s="170"/>
      <c r="M33" s="170"/>
      <c r="O33" s="7"/>
      <c r="Q33" s="11"/>
    </row>
    <row r="34" spans="1:17" outlineLevel="2">
      <c r="A34" s="7">
        <f t="shared" si="2"/>
        <v>29</v>
      </c>
      <c r="B34" s="7" t="s">
        <v>27</v>
      </c>
      <c r="C34" s="7" t="s">
        <v>77</v>
      </c>
      <c r="D34" s="13" t="s">
        <v>304</v>
      </c>
      <c r="E34" s="8" t="s">
        <v>305</v>
      </c>
      <c r="F34" s="28">
        <v>2369098.0699999998</v>
      </c>
      <c r="G34" s="10">
        <v>0</v>
      </c>
      <c r="H34" s="10">
        <f t="shared" si="0"/>
        <v>2369098.0699999998</v>
      </c>
      <c r="I34" s="10">
        <v>0</v>
      </c>
      <c r="J34" s="10"/>
      <c r="K34" s="170">
        <f t="shared" si="1"/>
        <v>2369098.0699999998</v>
      </c>
      <c r="L34" s="170"/>
      <c r="M34" s="170"/>
      <c r="O34" s="7"/>
      <c r="Q34" s="11"/>
    </row>
    <row r="35" spans="1:17" outlineLevel="2">
      <c r="A35" s="7">
        <f t="shared" si="2"/>
        <v>30</v>
      </c>
      <c r="B35" s="7" t="s">
        <v>27</v>
      </c>
      <c r="C35" s="7" t="s">
        <v>77</v>
      </c>
      <c r="D35" s="13" t="s">
        <v>306</v>
      </c>
      <c r="E35" s="8" t="s">
        <v>307</v>
      </c>
      <c r="F35" s="28">
        <v>8661075.9700000007</v>
      </c>
      <c r="G35" s="10">
        <v>0</v>
      </c>
      <c r="H35" s="10">
        <f t="shared" si="0"/>
        <v>8661075.9700000007</v>
      </c>
      <c r="I35" s="10">
        <v>0</v>
      </c>
      <c r="J35" s="10"/>
      <c r="K35" s="170">
        <f t="shared" si="1"/>
        <v>8661075.9700000007</v>
      </c>
      <c r="L35" s="170"/>
      <c r="M35" s="170"/>
      <c r="O35" s="7"/>
      <c r="Q35" s="11"/>
    </row>
    <row r="36" spans="1:17" outlineLevel="2">
      <c r="A36" s="7">
        <f t="shared" si="2"/>
        <v>31</v>
      </c>
      <c r="B36" s="7" t="s">
        <v>27</v>
      </c>
      <c r="C36" s="7" t="s">
        <v>77</v>
      </c>
      <c r="D36" s="13" t="s">
        <v>308</v>
      </c>
      <c r="E36" s="8" t="s">
        <v>309</v>
      </c>
      <c r="F36" s="28">
        <v>183484.72</v>
      </c>
      <c r="G36" s="10">
        <v>0</v>
      </c>
      <c r="H36" s="10">
        <f t="shared" si="0"/>
        <v>183484.72</v>
      </c>
      <c r="I36" s="10">
        <v>0</v>
      </c>
      <c r="J36" s="10"/>
      <c r="K36" s="170">
        <f t="shared" si="1"/>
        <v>183484.72</v>
      </c>
      <c r="L36" s="170"/>
      <c r="M36" s="170"/>
      <c r="O36" s="7"/>
      <c r="Q36" s="11"/>
    </row>
    <row r="37" spans="1:17" outlineLevel="2">
      <c r="A37" s="7">
        <f t="shared" si="2"/>
        <v>32</v>
      </c>
      <c r="B37" s="7" t="s">
        <v>27</v>
      </c>
      <c r="C37" s="7" t="s">
        <v>77</v>
      </c>
      <c r="D37" s="13" t="s">
        <v>310</v>
      </c>
      <c r="E37" s="8" t="s">
        <v>311</v>
      </c>
      <c r="F37" s="28">
        <v>922097.72</v>
      </c>
      <c r="G37" s="10">
        <v>0</v>
      </c>
      <c r="H37" s="10">
        <f t="shared" si="0"/>
        <v>922097.72</v>
      </c>
      <c r="I37" s="10">
        <v>0</v>
      </c>
      <c r="J37" s="10"/>
      <c r="K37" s="170">
        <f t="shared" si="1"/>
        <v>922097.72</v>
      </c>
      <c r="L37" s="170"/>
      <c r="M37" s="170"/>
      <c r="O37" s="7"/>
      <c r="Q37" s="11"/>
    </row>
    <row r="38" spans="1:17" outlineLevel="2">
      <c r="A38" s="7">
        <f t="shared" si="2"/>
        <v>33</v>
      </c>
      <c r="B38" s="7" t="s">
        <v>27</v>
      </c>
      <c r="C38" s="7" t="s">
        <v>77</v>
      </c>
      <c r="D38" s="13" t="s">
        <v>312</v>
      </c>
      <c r="E38" s="8" t="s">
        <v>313</v>
      </c>
      <c r="F38" s="28">
        <v>4465037.05</v>
      </c>
      <c r="G38" s="10">
        <v>0</v>
      </c>
      <c r="H38" s="10">
        <f t="shared" si="0"/>
        <v>4465037.05</v>
      </c>
      <c r="I38" s="10">
        <v>0</v>
      </c>
      <c r="J38" s="10"/>
      <c r="K38" s="170">
        <f t="shared" si="1"/>
        <v>4465037.05</v>
      </c>
      <c r="L38" s="170"/>
      <c r="M38" s="170"/>
      <c r="O38" s="7"/>
      <c r="Q38" s="11"/>
    </row>
    <row r="39" spans="1:17" outlineLevel="2">
      <c r="A39" s="7">
        <f t="shared" si="2"/>
        <v>34</v>
      </c>
      <c r="B39" s="7" t="s">
        <v>27</v>
      </c>
      <c r="C39" s="7" t="s">
        <v>77</v>
      </c>
      <c r="D39" s="13" t="s">
        <v>314</v>
      </c>
      <c r="E39" s="8" t="s">
        <v>315</v>
      </c>
      <c r="F39" s="203">
        <v>200790.43</v>
      </c>
      <c r="G39" s="10">
        <v>0</v>
      </c>
      <c r="H39" s="10">
        <f t="shared" si="0"/>
        <v>200790.43</v>
      </c>
      <c r="I39" s="10">
        <v>0</v>
      </c>
      <c r="J39" s="10"/>
      <c r="K39" s="170">
        <f t="shared" si="1"/>
        <v>200790.43</v>
      </c>
      <c r="L39" s="170"/>
      <c r="M39" s="170"/>
      <c r="O39" s="7"/>
      <c r="Q39" s="11"/>
    </row>
    <row r="40" spans="1:17" outlineLevel="2">
      <c r="A40" s="7">
        <f t="shared" si="2"/>
        <v>35</v>
      </c>
      <c r="B40" s="7" t="s">
        <v>27</v>
      </c>
      <c r="C40" s="7" t="s">
        <v>77</v>
      </c>
      <c r="D40" s="13" t="s">
        <v>316</v>
      </c>
      <c r="E40" s="8" t="s">
        <v>317</v>
      </c>
      <c r="F40" s="28">
        <v>8301710.0999999996</v>
      </c>
      <c r="G40" s="10">
        <v>0</v>
      </c>
      <c r="H40" s="10">
        <f t="shared" si="0"/>
        <v>8301710.0999999996</v>
      </c>
      <c r="I40" s="10">
        <v>0</v>
      </c>
      <c r="J40" s="10"/>
      <c r="K40" s="170">
        <f t="shared" si="1"/>
        <v>8301710.0999999996</v>
      </c>
      <c r="L40" s="170"/>
      <c r="M40" s="170"/>
      <c r="O40" s="7"/>
      <c r="Q40" s="11"/>
    </row>
    <row r="41" spans="1:17" outlineLevel="2">
      <c r="A41" s="7">
        <f t="shared" si="2"/>
        <v>36</v>
      </c>
      <c r="B41" s="7" t="s">
        <v>27</v>
      </c>
      <c r="C41" s="7" t="s">
        <v>77</v>
      </c>
      <c r="D41" s="13" t="s">
        <v>318</v>
      </c>
      <c r="E41" s="8" t="s">
        <v>319</v>
      </c>
      <c r="F41" s="203">
        <v>17867985.469999999</v>
      </c>
      <c r="G41" s="10">
        <v>0</v>
      </c>
      <c r="H41" s="10">
        <f t="shared" si="0"/>
        <v>17867985.469999999</v>
      </c>
      <c r="I41" s="10">
        <v>0</v>
      </c>
      <c r="J41" s="10"/>
      <c r="K41" s="170">
        <f t="shared" si="1"/>
        <v>17867985.469999999</v>
      </c>
      <c r="L41" s="170"/>
      <c r="M41" s="170"/>
      <c r="O41" s="7"/>
      <c r="Q41" s="11"/>
    </row>
    <row r="42" spans="1:17" outlineLevel="2">
      <c r="A42" s="7">
        <f t="shared" si="2"/>
        <v>37</v>
      </c>
      <c r="B42" s="7" t="s">
        <v>27</v>
      </c>
      <c r="C42" s="7" t="s">
        <v>77</v>
      </c>
      <c r="D42" s="13" t="s">
        <v>320</v>
      </c>
      <c r="E42" s="8" t="s">
        <v>321</v>
      </c>
      <c r="F42" s="28">
        <v>7554491.9000000004</v>
      </c>
      <c r="G42" s="10">
        <v>0</v>
      </c>
      <c r="H42" s="10">
        <f t="shared" si="0"/>
        <v>7554491.9000000004</v>
      </c>
      <c r="I42" s="10">
        <v>0</v>
      </c>
      <c r="J42" s="10"/>
      <c r="K42" s="170">
        <f t="shared" si="1"/>
        <v>7554491.9000000004</v>
      </c>
      <c r="L42" s="170"/>
      <c r="M42" s="170"/>
      <c r="O42" s="7"/>
      <c r="Q42" s="11"/>
    </row>
    <row r="43" spans="1:17" outlineLevel="2">
      <c r="A43" s="7">
        <f t="shared" si="2"/>
        <v>38</v>
      </c>
      <c r="B43" s="7" t="s">
        <v>27</v>
      </c>
      <c r="C43" s="7" t="s">
        <v>77</v>
      </c>
      <c r="D43" s="13" t="s">
        <v>322</v>
      </c>
      <c r="E43" s="8" t="s">
        <v>323</v>
      </c>
      <c r="F43" s="28">
        <v>7782247.0099999998</v>
      </c>
      <c r="G43" s="10">
        <v>0</v>
      </c>
      <c r="H43" s="10">
        <f t="shared" si="0"/>
        <v>7782247.0099999998</v>
      </c>
      <c r="I43" s="10">
        <v>0</v>
      </c>
      <c r="J43" s="10"/>
      <c r="K43" s="170">
        <f t="shared" si="1"/>
        <v>7782247.0099999998</v>
      </c>
      <c r="L43" s="170"/>
      <c r="M43" s="170"/>
      <c r="O43" s="7"/>
      <c r="Q43" s="11"/>
    </row>
    <row r="44" spans="1:17" outlineLevel="2">
      <c r="A44" s="7">
        <f t="shared" si="2"/>
        <v>39</v>
      </c>
      <c r="B44" s="7" t="s">
        <v>27</v>
      </c>
      <c r="C44" s="7" t="s">
        <v>77</v>
      </c>
      <c r="D44" s="13" t="s">
        <v>324</v>
      </c>
      <c r="E44" s="8" t="s">
        <v>325</v>
      </c>
      <c r="F44" s="28">
        <v>2319938.7200000002</v>
      </c>
      <c r="G44" s="10">
        <v>0</v>
      </c>
      <c r="H44" s="10">
        <f t="shared" si="0"/>
        <v>2319938.7200000002</v>
      </c>
      <c r="I44" s="10">
        <v>0</v>
      </c>
      <c r="J44" s="10"/>
      <c r="K44" s="170">
        <f>SUM(H44:J44)</f>
        <v>2319938.7200000002</v>
      </c>
      <c r="L44" s="170"/>
      <c r="M44" s="170"/>
      <c r="O44" s="7"/>
      <c r="Q44" s="11"/>
    </row>
    <row r="45" spans="1:17" outlineLevel="2">
      <c r="A45" s="7">
        <f t="shared" si="2"/>
        <v>40</v>
      </c>
      <c r="B45" s="7" t="s">
        <v>27</v>
      </c>
      <c r="C45" s="7" t="s">
        <v>77</v>
      </c>
      <c r="D45" s="13" t="s">
        <v>326</v>
      </c>
      <c r="E45" s="8" t="s">
        <v>327</v>
      </c>
      <c r="F45" s="28">
        <v>777326.71</v>
      </c>
      <c r="G45" s="10">
        <v>0</v>
      </c>
      <c r="H45" s="10">
        <f t="shared" si="0"/>
        <v>777326.71</v>
      </c>
      <c r="I45" s="10">
        <v>0</v>
      </c>
      <c r="J45" s="10"/>
      <c r="K45" s="170">
        <f t="shared" si="1"/>
        <v>777326.71</v>
      </c>
      <c r="L45" s="170"/>
      <c r="M45" s="170"/>
      <c r="O45" s="7"/>
      <c r="Q45" s="11"/>
    </row>
    <row r="46" spans="1:17" outlineLevel="2">
      <c r="A46" s="7">
        <f t="shared" si="2"/>
        <v>41</v>
      </c>
      <c r="B46" s="7" t="s">
        <v>27</v>
      </c>
      <c r="C46" s="7" t="s">
        <v>77</v>
      </c>
      <c r="D46" s="13" t="s">
        <v>328</v>
      </c>
      <c r="E46" s="8" t="s">
        <v>329</v>
      </c>
      <c r="F46" s="203">
        <v>2269522.02</v>
      </c>
      <c r="G46" s="10">
        <v>0</v>
      </c>
      <c r="H46" s="10">
        <f t="shared" si="0"/>
        <v>2269522.02</v>
      </c>
      <c r="I46" s="10">
        <v>0</v>
      </c>
      <c r="J46" s="10"/>
      <c r="K46" s="170">
        <f t="shared" si="1"/>
        <v>2269522.02</v>
      </c>
      <c r="L46" s="170"/>
      <c r="M46" s="170"/>
      <c r="O46" s="7"/>
      <c r="Q46" s="11"/>
    </row>
    <row r="47" spans="1:17" outlineLevel="2">
      <c r="A47" s="7">
        <f t="shared" si="2"/>
        <v>42</v>
      </c>
      <c r="B47" s="7" t="s">
        <v>27</v>
      </c>
      <c r="C47" s="7" t="s">
        <v>77</v>
      </c>
      <c r="D47" s="13" t="s">
        <v>330</v>
      </c>
      <c r="E47" s="8" t="s">
        <v>331</v>
      </c>
      <c r="F47" s="203">
        <v>937082.17</v>
      </c>
      <c r="G47" s="10">
        <v>0</v>
      </c>
      <c r="H47" s="10">
        <f t="shared" si="0"/>
        <v>937082.17</v>
      </c>
      <c r="I47" s="10">
        <v>0</v>
      </c>
      <c r="J47" s="10"/>
      <c r="K47" s="170">
        <f t="shared" si="1"/>
        <v>937082.17</v>
      </c>
      <c r="L47" s="170"/>
      <c r="M47" s="170"/>
      <c r="O47" s="7"/>
      <c r="Q47" s="11"/>
    </row>
    <row r="48" spans="1:17" outlineLevel="2">
      <c r="A48" s="7">
        <f t="shared" si="2"/>
        <v>43</v>
      </c>
      <c r="B48" s="7" t="s">
        <v>27</v>
      </c>
      <c r="C48" s="7" t="s">
        <v>77</v>
      </c>
      <c r="D48" s="13" t="s">
        <v>332</v>
      </c>
      <c r="E48" s="8" t="s">
        <v>333</v>
      </c>
      <c r="F48" s="203">
        <v>11919658.630000001</v>
      </c>
      <c r="G48" s="10">
        <v>0</v>
      </c>
      <c r="H48" s="10">
        <f t="shared" si="0"/>
        <v>11919658.630000001</v>
      </c>
      <c r="I48" s="10">
        <v>0</v>
      </c>
      <c r="J48" s="10"/>
      <c r="K48" s="170">
        <f t="shared" si="1"/>
        <v>11919658.630000001</v>
      </c>
      <c r="L48" s="170"/>
      <c r="M48" s="170"/>
      <c r="O48" s="7"/>
      <c r="Q48" s="11"/>
    </row>
    <row r="49" spans="1:17" outlineLevel="2">
      <c r="A49" s="7">
        <f t="shared" si="2"/>
        <v>44</v>
      </c>
      <c r="B49" s="7" t="s">
        <v>27</v>
      </c>
      <c r="C49" s="7" t="s">
        <v>77</v>
      </c>
      <c r="D49" s="13" t="s">
        <v>334</v>
      </c>
      <c r="E49" s="8" t="s">
        <v>335</v>
      </c>
      <c r="F49" s="28">
        <v>17831554.219999999</v>
      </c>
      <c r="G49" s="10">
        <v>0</v>
      </c>
      <c r="H49" s="10">
        <f t="shared" si="0"/>
        <v>17831554.219999999</v>
      </c>
      <c r="I49" s="10">
        <v>0</v>
      </c>
      <c r="J49" s="10"/>
      <c r="K49" s="170">
        <f t="shared" si="1"/>
        <v>17831554.219999999</v>
      </c>
      <c r="L49" s="170"/>
      <c r="M49" s="170"/>
      <c r="O49" s="7"/>
      <c r="Q49" s="11"/>
    </row>
    <row r="50" spans="1:17" outlineLevel="2">
      <c r="A50" s="7">
        <f t="shared" si="2"/>
        <v>45</v>
      </c>
      <c r="B50" s="7" t="s">
        <v>27</v>
      </c>
      <c r="C50" s="7" t="s">
        <v>77</v>
      </c>
      <c r="D50" s="13" t="s">
        <v>336</v>
      </c>
      <c r="E50" s="8" t="s">
        <v>337</v>
      </c>
      <c r="F50" s="204">
        <v>7747203.0899999999</v>
      </c>
      <c r="G50" s="10">
        <v>0</v>
      </c>
      <c r="H50" s="10">
        <f t="shared" si="0"/>
        <v>7747203.0899999999</v>
      </c>
      <c r="I50" s="10">
        <v>0</v>
      </c>
      <c r="J50" s="10"/>
      <c r="K50" s="170">
        <f t="shared" si="1"/>
        <v>7747203.0899999999</v>
      </c>
      <c r="L50" s="170"/>
      <c r="M50" s="170"/>
      <c r="O50" s="7"/>
      <c r="Q50" s="11"/>
    </row>
    <row r="51" spans="1:17" outlineLevel="2">
      <c r="A51" s="7">
        <f t="shared" si="2"/>
        <v>46</v>
      </c>
      <c r="B51" s="7" t="s">
        <v>27</v>
      </c>
      <c r="C51" s="7" t="s">
        <v>77</v>
      </c>
      <c r="D51" s="13" t="s">
        <v>338</v>
      </c>
      <c r="E51" s="8" t="s">
        <v>339</v>
      </c>
      <c r="F51" s="28">
        <v>10455917.060000001</v>
      </c>
      <c r="G51" s="10">
        <v>0</v>
      </c>
      <c r="H51" s="10">
        <f t="shared" si="0"/>
        <v>10455917.060000001</v>
      </c>
      <c r="I51" s="10">
        <v>0</v>
      </c>
      <c r="J51" s="10"/>
      <c r="K51" s="170">
        <f t="shared" si="1"/>
        <v>10455917.060000001</v>
      </c>
      <c r="L51" s="170"/>
      <c r="M51" s="170"/>
      <c r="O51" s="7"/>
      <c r="Q51" s="11"/>
    </row>
    <row r="52" spans="1:17" outlineLevel="2">
      <c r="A52" s="7">
        <f t="shared" si="2"/>
        <v>47</v>
      </c>
      <c r="B52" s="7" t="s">
        <v>27</v>
      </c>
      <c r="C52" s="7" t="s">
        <v>77</v>
      </c>
      <c r="D52" s="13" t="s">
        <v>340</v>
      </c>
      <c r="E52" s="8" t="s">
        <v>341</v>
      </c>
      <c r="F52" s="28">
        <v>10713977.23</v>
      </c>
      <c r="G52" s="10">
        <v>0</v>
      </c>
      <c r="H52" s="10">
        <f t="shared" si="0"/>
        <v>10713977.23</v>
      </c>
      <c r="I52" s="10">
        <v>0</v>
      </c>
      <c r="J52" s="10"/>
      <c r="K52" s="170">
        <f t="shared" si="1"/>
        <v>10713977.23</v>
      </c>
      <c r="L52" s="170"/>
      <c r="M52" s="170"/>
      <c r="O52" s="7"/>
      <c r="Q52" s="11"/>
    </row>
    <row r="53" spans="1:17" outlineLevel="2">
      <c r="A53" s="7">
        <f t="shared" si="2"/>
        <v>48</v>
      </c>
      <c r="B53" s="7" t="s">
        <v>27</v>
      </c>
      <c r="C53" s="7" t="s">
        <v>77</v>
      </c>
      <c r="D53" s="13" t="s">
        <v>342</v>
      </c>
      <c r="E53" s="8" t="s">
        <v>343</v>
      </c>
      <c r="F53" s="28">
        <v>5062687.71</v>
      </c>
      <c r="G53" s="10">
        <v>0</v>
      </c>
      <c r="H53" s="10">
        <f t="shared" si="0"/>
        <v>5062687.71</v>
      </c>
      <c r="I53" s="10">
        <v>0</v>
      </c>
      <c r="J53" s="10"/>
      <c r="K53" s="170">
        <f t="shared" si="1"/>
        <v>5062687.71</v>
      </c>
      <c r="L53" s="170"/>
      <c r="M53" s="170"/>
      <c r="O53" s="7"/>
      <c r="Q53" s="11"/>
    </row>
    <row r="54" spans="1:17" outlineLevel="2">
      <c r="A54" s="7">
        <f t="shared" si="2"/>
        <v>49</v>
      </c>
      <c r="B54" s="7" t="s">
        <v>27</v>
      </c>
      <c r="C54" s="7" t="s">
        <v>77</v>
      </c>
      <c r="D54" s="13" t="s">
        <v>344</v>
      </c>
      <c r="E54" s="8" t="s">
        <v>345</v>
      </c>
      <c r="F54" s="28">
        <v>1948078.5</v>
      </c>
      <c r="G54" s="10">
        <v>0</v>
      </c>
      <c r="H54" s="10">
        <f t="shared" si="0"/>
        <v>1948078.5</v>
      </c>
      <c r="I54" s="10">
        <v>0</v>
      </c>
      <c r="J54" s="10"/>
      <c r="K54" s="170">
        <f t="shared" si="1"/>
        <v>1948078.5</v>
      </c>
      <c r="L54" s="170"/>
      <c r="M54" s="170"/>
      <c r="O54" s="7"/>
      <c r="Q54" s="11"/>
    </row>
    <row r="55" spans="1:17" outlineLevel="2">
      <c r="A55" s="7">
        <f t="shared" si="2"/>
        <v>50</v>
      </c>
      <c r="B55" s="7" t="s">
        <v>27</v>
      </c>
      <c r="C55" s="7" t="s">
        <v>77</v>
      </c>
      <c r="D55" s="13" t="s">
        <v>346</v>
      </c>
      <c r="E55" s="8" t="s">
        <v>347</v>
      </c>
      <c r="F55" s="28">
        <v>1521173.69</v>
      </c>
      <c r="G55" s="10">
        <v>0</v>
      </c>
      <c r="H55" s="10">
        <f t="shared" si="0"/>
        <v>1521173.69</v>
      </c>
      <c r="I55" s="10">
        <v>0</v>
      </c>
      <c r="J55" s="10"/>
      <c r="K55" s="170">
        <f t="shared" si="1"/>
        <v>1521173.69</v>
      </c>
      <c r="L55" s="170"/>
      <c r="M55" s="170"/>
      <c r="O55" s="7"/>
      <c r="Q55" s="11"/>
    </row>
    <row r="56" spans="1:17" outlineLevel="2">
      <c r="A56" s="7">
        <f t="shared" si="2"/>
        <v>51</v>
      </c>
      <c r="B56" s="7" t="s">
        <v>27</v>
      </c>
      <c r="C56" s="7" t="s">
        <v>77</v>
      </c>
      <c r="D56" s="13" t="s">
        <v>348</v>
      </c>
      <c r="E56" s="8" t="s">
        <v>349</v>
      </c>
      <c r="F56" s="28">
        <v>455727</v>
      </c>
      <c r="G56" s="10">
        <v>0</v>
      </c>
      <c r="H56" s="10">
        <f t="shared" si="0"/>
        <v>455727</v>
      </c>
      <c r="I56" s="10">
        <v>0</v>
      </c>
      <c r="J56" s="10"/>
      <c r="K56" s="170">
        <f t="shared" si="1"/>
        <v>455727</v>
      </c>
      <c r="L56" s="170"/>
      <c r="M56" s="170"/>
      <c r="O56" s="7"/>
      <c r="Q56" s="11"/>
    </row>
    <row r="57" spans="1:17" outlineLevel="2">
      <c r="A57" s="7">
        <f t="shared" si="2"/>
        <v>52</v>
      </c>
      <c r="B57" s="7" t="s">
        <v>27</v>
      </c>
      <c r="C57" s="7" t="s">
        <v>77</v>
      </c>
      <c r="D57" s="13" t="s">
        <v>350</v>
      </c>
      <c r="E57" s="8" t="s">
        <v>351</v>
      </c>
      <c r="F57" s="28">
        <v>3361449.06</v>
      </c>
      <c r="G57" s="10">
        <v>0</v>
      </c>
      <c r="H57" s="10">
        <f t="shared" si="0"/>
        <v>3361449.06</v>
      </c>
      <c r="I57" s="10">
        <v>0</v>
      </c>
      <c r="J57" s="10"/>
      <c r="K57" s="170">
        <f t="shared" si="1"/>
        <v>3361449.06</v>
      </c>
      <c r="L57" s="170"/>
      <c r="M57" s="170"/>
      <c r="O57" s="7"/>
      <c r="Q57" s="11"/>
    </row>
    <row r="58" spans="1:17" outlineLevel="2">
      <c r="A58" s="7">
        <f t="shared" si="2"/>
        <v>53</v>
      </c>
      <c r="B58" s="7" t="s">
        <v>27</v>
      </c>
      <c r="C58" s="7" t="s">
        <v>77</v>
      </c>
      <c r="D58" s="13" t="s">
        <v>352</v>
      </c>
      <c r="E58" s="8" t="s">
        <v>353</v>
      </c>
      <c r="F58" s="28">
        <v>3279089.4</v>
      </c>
      <c r="G58" s="10">
        <v>0</v>
      </c>
      <c r="H58" s="10">
        <f t="shared" si="0"/>
        <v>3279089.4</v>
      </c>
      <c r="I58" s="10">
        <v>0</v>
      </c>
      <c r="J58" s="10"/>
      <c r="K58" s="170">
        <f t="shared" si="1"/>
        <v>3279089.4</v>
      </c>
      <c r="L58" s="170"/>
      <c r="M58" s="170"/>
      <c r="O58" s="7"/>
      <c r="Q58" s="11"/>
    </row>
    <row r="59" spans="1:17" outlineLevel="2">
      <c r="A59" s="7">
        <f t="shared" si="2"/>
        <v>54</v>
      </c>
      <c r="B59" s="7" t="s">
        <v>27</v>
      </c>
      <c r="C59" s="7" t="s">
        <v>77</v>
      </c>
      <c r="D59" s="13" t="s">
        <v>354</v>
      </c>
      <c r="E59" s="8" t="s">
        <v>355</v>
      </c>
      <c r="F59" s="28">
        <v>156778</v>
      </c>
      <c r="G59" s="10">
        <v>0</v>
      </c>
      <c r="H59" s="10">
        <f t="shared" si="0"/>
        <v>156778</v>
      </c>
      <c r="I59" s="10">
        <v>0</v>
      </c>
      <c r="J59" s="10"/>
      <c r="K59" s="170">
        <f t="shared" si="1"/>
        <v>156778</v>
      </c>
      <c r="L59" s="170"/>
      <c r="M59" s="170"/>
      <c r="O59" s="7"/>
      <c r="Q59" s="11"/>
    </row>
    <row r="60" spans="1:17" outlineLevel="2">
      <c r="A60" s="7">
        <f t="shared" si="2"/>
        <v>55</v>
      </c>
      <c r="B60" s="7" t="s">
        <v>27</v>
      </c>
      <c r="C60" s="7" t="s">
        <v>77</v>
      </c>
      <c r="D60" s="13" t="s">
        <v>356</v>
      </c>
      <c r="E60" s="8" t="s">
        <v>357</v>
      </c>
      <c r="F60" s="28">
        <v>10110752.16</v>
      </c>
      <c r="G60" s="10">
        <v>0</v>
      </c>
      <c r="H60" s="10">
        <f t="shared" si="0"/>
        <v>10110752.16</v>
      </c>
      <c r="I60" s="10">
        <v>0</v>
      </c>
      <c r="J60" s="10"/>
      <c r="K60" s="170">
        <f t="shared" si="1"/>
        <v>10110752.16</v>
      </c>
      <c r="L60" s="170"/>
      <c r="M60" s="170"/>
      <c r="O60" s="7"/>
      <c r="Q60" s="11"/>
    </row>
    <row r="61" spans="1:17" outlineLevel="2">
      <c r="A61" s="7">
        <f t="shared" si="2"/>
        <v>56</v>
      </c>
      <c r="B61" s="7" t="s">
        <v>27</v>
      </c>
      <c r="C61" s="7" t="s">
        <v>77</v>
      </c>
      <c r="D61" s="13" t="s">
        <v>358</v>
      </c>
      <c r="E61" s="8" t="s">
        <v>359</v>
      </c>
      <c r="F61" s="28">
        <v>1270645.42</v>
      </c>
      <c r="G61" s="10">
        <v>0</v>
      </c>
      <c r="H61" s="10">
        <f t="shared" si="0"/>
        <v>1270645.42</v>
      </c>
      <c r="I61" s="10">
        <v>0</v>
      </c>
      <c r="J61" s="10"/>
      <c r="K61" s="170">
        <f t="shared" si="1"/>
        <v>1270645.42</v>
      </c>
      <c r="L61" s="170"/>
      <c r="M61" s="170"/>
      <c r="O61" s="7"/>
      <c r="Q61" s="11"/>
    </row>
    <row r="62" spans="1:17" outlineLevel="2">
      <c r="A62" s="7">
        <f t="shared" si="2"/>
        <v>57</v>
      </c>
      <c r="B62" s="7" t="s">
        <v>27</v>
      </c>
      <c r="C62" s="7" t="s">
        <v>77</v>
      </c>
      <c r="D62" s="13" t="s">
        <v>360</v>
      </c>
      <c r="E62" s="8" t="s">
        <v>361</v>
      </c>
      <c r="F62" s="28">
        <v>3255847.1</v>
      </c>
      <c r="G62" s="10">
        <v>0</v>
      </c>
      <c r="H62" s="10">
        <f t="shared" si="0"/>
        <v>3255847.1</v>
      </c>
      <c r="I62" s="10">
        <v>0</v>
      </c>
      <c r="J62" s="10"/>
      <c r="K62" s="170">
        <f t="shared" si="1"/>
        <v>3255847.1</v>
      </c>
      <c r="L62" s="170"/>
      <c r="M62" s="170"/>
      <c r="O62" s="7"/>
      <c r="Q62" s="11"/>
    </row>
    <row r="63" spans="1:17" outlineLevel="2">
      <c r="A63" s="7">
        <f t="shared" si="2"/>
        <v>58</v>
      </c>
      <c r="B63" s="7" t="s">
        <v>27</v>
      </c>
      <c r="C63" s="7" t="s">
        <v>77</v>
      </c>
      <c r="D63" s="13" t="s">
        <v>362</v>
      </c>
      <c r="E63" s="8" t="s">
        <v>363</v>
      </c>
      <c r="F63" s="28">
        <v>6016436.0499999998</v>
      </c>
      <c r="G63" s="10">
        <v>0</v>
      </c>
      <c r="H63" s="10">
        <f t="shared" si="0"/>
        <v>6016436.0499999998</v>
      </c>
      <c r="I63" s="10">
        <v>0</v>
      </c>
      <c r="J63" s="10"/>
      <c r="K63" s="170">
        <f t="shared" si="1"/>
        <v>6016436.0499999998</v>
      </c>
      <c r="L63" s="170"/>
      <c r="M63" s="170"/>
      <c r="O63" s="7"/>
      <c r="Q63" s="11"/>
    </row>
    <row r="64" spans="1:17" outlineLevel="2">
      <c r="A64" s="7">
        <f t="shared" si="2"/>
        <v>59</v>
      </c>
      <c r="B64" s="7" t="s">
        <v>27</v>
      </c>
      <c r="C64" s="7" t="s">
        <v>77</v>
      </c>
      <c r="D64" s="13" t="s">
        <v>364</v>
      </c>
      <c r="E64" s="8" t="s">
        <v>365</v>
      </c>
      <c r="F64" s="28">
        <v>11263708.41</v>
      </c>
      <c r="G64" s="10">
        <v>0</v>
      </c>
      <c r="H64" s="10">
        <f t="shared" si="0"/>
        <v>11263708.41</v>
      </c>
      <c r="I64" s="10">
        <v>0</v>
      </c>
      <c r="J64" s="10"/>
      <c r="K64" s="170">
        <f t="shared" si="1"/>
        <v>11263708.41</v>
      </c>
      <c r="L64" s="170"/>
      <c r="M64" s="170"/>
      <c r="O64" s="7"/>
      <c r="Q64" s="11"/>
    </row>
    <row r="65" spans="1:17" outlineLevel="2">
      <c r="A65" s="7">
        <f t="shared" si="2"/>
        <v>60</v>
      </c>
      <c r="B65" s="7" t="s">
        <v>27</v>
      </c>
      <c r="C65" s="7" t="s">
        <v>77</v>
      </c>
      <c r="D65" s="13" t="s">
        <v>366</v>
      </c>
      <c r="E65" s="8" t="s">
        <v>367</v>
      </c>
      <c r="F65" s="28">
        <v>617622.68000000005</v>
      </c>
      <c r="G65" s="10">
        <v>0</v>
      </c>
      <c r="H65" s="10">
        <f t="shared" ref="H65:H121" si="3">F65+G65</f>
        <v>617622.68000000005</v>
      </c>
      <c r="I65" s="10">
        <v>0</v>
      </c>
      <c r="J65" s="10"/>
      <c r="K65" s="170">
        <f t="shared" ref="K65:K121" si="4">SUM(H65:J65)</f>
        <v>617622.68000000005</v>
      </c>
      <c r="L65" s="170"/>
      <c r="M65" s="170"/>
      <c r="O65" s="7"/>
      <c r="Q65" s="11"/>
    </row>
    <row r="66" spans="1:17" outlineLevel="2">
      <c r="A66" s="7">
        <f t="shared" si="2"/>
        <v>61</v>
      </c>
      <c r="B66" s="7" t="s">
        <v>27</v>
      </c>
      <c r="C66" s="7" t="s">
        <v>77</v>
      </c>
      <c r="D66" s="13" t="s">
        <v>368</v>
      </c>
      <c r="E66" s="8" t="s">
        <v>369</v>
      </c>
      <c r="F66" s="28">
        <v>6319621.6699999999</v>
      </c>
      <c r="G66" s="10">
        <v>0</v>
      </c>
      <c r="H66" s="10">
        <f t="shared" si="3"/>
        <v>6319621.6699999999</v>
      </c>
      <c r="I66" s="10">
        <v>0</v>
      </c>
      <c r="J66" s="10"/>
      <c r="K66" s="170">
        <f t="shared" si="4"/>
        <v>6319621.6699999999</v>
      </c>
      <c r="L66" s="170"/>
      <c r="M66" s="170"/>
      <c r="O66" s="7"/>
      <c r="Q66" s="11"/>
    </row>
    <row r="67" spans="1:17" outlineLevel="2">
      <c r="A67" s="7">
        <f t="shared" si="2"/>
        <v>62</v>
      </c>
      <c r="B67" s="7" t="s">
        <v>27</v>
      </c>
      <c r="C67" s="7" t="s">
        <v>77</v>
      </c>
      <c r="D67" s="13" t="s">
        <v>370</v>
      </c>
      <c r="E67" s="8" t="s">
        <v>371</v>
      </c>
      <c r="F67" s="28">
        <v>1189519.96</v>
      </c>
      <c r="G67" s="10">
        <v>0</v>
      </c>
      <c r="H67" s="10">
        <f t="shared" si="3"/>
        <v>1189519.96</v>
      </c>
      <c r="I67" s="10">
        <v>0</v>
      </c>
      <c r="J67" s="10"/>
      <c r="K67" s="170">
        <f t="shared" si="4"/>
        <v>1189519.96</v>
      </c>
      <c r="L67" s="170"/>
      <c r="M67" s="170"/>
      <c r="O67" s="7"/>
      <c r="Q67" s="11"/>
    </row>
    <row r="68" spans="1:17" outlineLevel="2">
      <c r="A68" s="7">
        <f t="shared" si="2"/>
        <v>63</v>
      </c>
      <c r="B68" s="7" t="s">
        <v>27</v>
      </c>
      <c r="C68" s="7" t="s">
        <v>77</v>
      </c>
      <c r="D68" s="13" t="s">
        <v>372</v>
      </c>
      <c r="E68" s="8" t="s">
        <v>373</v>
      </c>
      <c r="F68" s="28">
        <v>4941648.6100000003</v>
      </c>
      <c r="G68" s="10">
        <v>0</v>
      </c>
      <c r="H68" s="10">
        <f t="shared" si="3"/>
        <v>4941648.6100000003</v>
      </c>
      <c r="I68" s="10">
        <v>0</v>
      </c>
      <c r="J68" s="10"/>
      <c r="K68" s="170">
        <f t="shared" si="4"/>
        <v>4941648.6100000003</v>
      </c>
      <c r="L68" s="170"/>
      <c r="M68" s="170"/>
      <c r="O68" s="7"/>
      <c r="Q68" s="11"/>
    </row>
    <row r="69" spans="1:17" outlineLevel="2">
      <c r="A69" s="7">
        <f t="shared" si="2"/>
        <v>64</v>
      </c>
      <c r="B69" s="7" t="s">
        <v>27</v>
      </c>
      <c r="C69" s="7" t="s">
        <v>77</v>
      </c>
      <c r="D69" s="13" t="s">
        <v>374</v>
      </c>
      <c r="E69" s="8" t="s">
        <v>375</v>
      </c>
      <c r="F69" s="28">
        <v>3155849.87</v>
      </c>
      <c r="G69" s="10">
        <v>0</v>
      </c>
      <c r="H69" s="10">
        <f t="shared" si="3"/>
        <v>3155849.87</v>
      </c>
      <c r="I69" s="10">
        <v>0</v>
      </c>
      <c r="J69" s="10"/>
      <c r="K69" s="170">
        <f t="shared" si="4"/>
        <v>3155849.87</v>
      </c>
      <c r="L69" s="170"/>
      <c r="M69" s="170"/>
      <c r="O69" s="7"/>
      <c r="Q69" s="11"/>
    </row>
    <row r="70" spans="1:17" outlineLevel="2">
      <c r="A70" s="7">
        <f t="shared" si="2"/>
        <v>65</v>
      </c>
      <c r="B70" s="7" t="s">
        <v>27</v>
      </c>
      <c r="C70" s="7" t="s">
        <v>77</v>
      </c>
      <c r="D70" s="13" t="s">
        <v>376</v>
      </c>
      <c r="E70" s="8" t="s">
        <v>377</v>
      </c>
      <c r="F70" s="28">
        <v>28856299.199999999</v>
      </c>
      <c r="G70" s="10">
        <v>0</v>
      </c>
      <c r="H70" s="10">
        <f t="shared" si="3"/>
        <v>28856299.199999999</v>
      </c>
      <c r="I70" s="10">
        <v>0</v>
      </c>
      <c r="J70" s="10"/>
      <c r="K70" s="170">
        <f t="shared" si="4"/>
        <v>28856299.199999999</v>
      </c>
      <c r="L70" s="170"/>
      <c r="M70" s="170"/>
      <c r="O70" s="7"/>
      <c r="Q70" s="11"/>
    </row>
    <row r="71" spans="1:17" outlineLevel="2">
      <c r="A71" s="7">
        <f t="shared" si="2"/>
        <v>66</v>
      </c>
      <c r="B71" s="7" t="s">
        <v>27</v>
      </c>
      <c r="C71" s="7" t="s">
        <v>77</v>
      </c>
      <c r="D71" s="13" t="s">
        <v>378</v>
      </c>
      <c r="E71" s="8" t="s">
        <v>379</v>
      </c>
      <c r="F71" s="28">
        <v>1055414.43</v>
      </c>
      <c r="G71" s="10">
        <v>0</v>
      </c>
      <c r="H71" s="10">
        <f t="shared" si="3"/>
        <v>1055414.43</v>
      </c>
      <c r="I71" s="10">
        <v>0</v>
      </c>
      <c r="J71" s="10"/>
      <c r="K71" s="170">
        <f t="shared" si="4"/>
        <v>1055414.43</v>
      </c>
      <c r="L71" s="170"/>
      <c r="M71" s="170"/>
      <c r="O71" s="7"/>
      <c r="Q71" s="11"/>
    </row>
    <row r="72" spans="1:17" outlineLevel="2">
      <c r="A72" s="7">
        <f t="shared" si="2"/>
        <v>67</v>
      </c>
      <c r="B72" s="7" t="s">
        <v>27</v>
      </c>
      <c r="C72" s="7" t="s">
        <v>77</v>
      </c>
      <c r="D72" s="13" t="s">
        <v>380</v>
      </c>
      <c r="E72" s="8" t="s">
        <v>381</v>
      </c>
      <c r="F72" s="28">
        <v>7039893</v>
      </c>
      <c r="G72" s="10">
        <v>0</v>
      </c>
      <c r="H72" s="10">
        <f t="shared" si="3"/>
        <v>7039893</v>
      </c>
      <c r="I72" s="10">
        <v>0</v>
      </c>
      <c r="J72" s="10"/>
      <c r="K72" s="170">
        <f t="shared" si="4"/>
        <v>7039893</v>
      </c>
      <c r="L72" s="170"/>
      <c r="M72" s="170"/>
      <c r="O72" s="7"/>
      <c r="Q72" s="11"/>
    </row>
    <row r="73" spans="1:17" outlineLevel="2">
      <c r="A73" s="7">
        <f t="shared" ref="A73:A136" si="5">A72+1</f>
        <v>68</v>
      </c>
      <c r="B73" s="7" t="s">
        <v>27</v>
      </c>
      <c r="C73" s="7" t="s">
        <v>77</v>
      </c>
      <c r="D73" s="13" t="s">
        <v>382</v>
      </c>
      <c r="E73" s="8" t="s">
        <v>383</v>
      </c>
      <c r="F73" s="28">
        <v>9199829.6600000001</v>
      </c>
      <c r="G73" s="10">
        <v>0</v>
      </c>
      <c r="H73" s="10">
        <f t="shared" si="3"/>
        <v>9199829.6600000001</v>
      </c>
      <c r="I73" s="10">
        <v>0</v>
      </c>
      <c r="J73" s="10"/>
      <c r="K73" s="170">
        <f t="shared" si="4"/>
        <v>9199829.6600000001</v>
      </c>
      <c r="L73" s="170"/>
      <c r="M73" s="170"/>
      <c r="O73" s="7"/>
      <c r="Q73" s="11"/>
    </row>
    <row r="74" spans="1:17" outlineLevel="2">
      <c r="A74" s="7">
        <f t="shared" si="5"/>
        <v>69</v>
      </c>
      <c r="B74" s="7" t="s">
        <v>27</v>
      </c>
      <c r="C74" s="7" t="s">
        <v>77</v>
      </c>
      <c r="D74" s="13" t="s">
        <v>384</v>
      </c>
      <c r="E74" s="8" t="s">
        <v>385</v>
      </c>
      <c r="F74" s="28">
        <v>6257785.9800000004</v>
      </c>
      <c r="G74" s="10">
        <v>0</v>
      </c>
      <c r="H74" s="10">
        <f t="shared" si="3"/>
        <v>6257785.9800000004</v>
      </c>
      <c r="I74" s="10">
        <v>0</v>
      </c>
      <c r="J74" s="10"/>
      <c r="K74" s="170">
        <f t="shared" si="4"/>
        <v>6257785.9800000004</v>
      </c>
      <c r="L74" s="170"/>
      <c r="M74" s="170"/>
      <c r="O74" s="7"/>
      <c r="Q74" s="11"/>
    </row>
    <row r="75" spans="1:17" outlineLevel="2">
      <c r="A75" s="7">
        <f t="shared" si="5"/>
        <v>70</v>
      </c>
      <c r="B75" s="7" t="s">
        <v>27</v>
      </c>
      <c r="C75" s="7" t="s">
        <v>77</v>
      </c>
      <c r="D75" s="13" t="s">
        <v>386</v>
      </c>
      <c r="E75" s="8" t="s">
        <v>387</v>
      </c>
      <c r="F75" s="28">
        <v>1089083.24</v>
      </c>
      <c r="G75" s="10">
        <v>0</v>
      </c>
      <c r="H75" s="10">
        <f t="shared" si="3"/>
        <v>1089083.24</v>
      </c>
      <c r="I75" s="10">
        <v>0</v>
      </c>
      <c r="J75" s="10"/>
      <c r="K75" s="170">
        <f t="shared" si="4"/>
        <v>1089083.24</v>
      </c>
      <c r="L75" s="170"/>
      <c r="M75" s="170"/>
      <c r="O75" s="7"/>
      <c r="Q75" s="11"/>
    </row>
    <row r="76" spans="1:17" outlineLevel="2">
      <c r="A76" s="7">
        <f t="shared" si="5"/>
        <v>71</v>
      </c>
      <c r="B76" s="7" t="s">
        <v>27</v>
      </c>
      <c r="C76" s="7" t="s">
        <v>77</v>
      </c>
      <c r="D76" s="13" t="s">
        <v>388</v>
      </c>
      <c r="E76" s="8" t="s">
        <v>389</v>
      </c>
      <c r="F76" s="28">
        <v>1816903.7</v>
      </c>
      <c r="G76" s="10">
        <v>0</v>
      </c>
      <c r="H76" s="10">
        <f t="shared" si="3"/>
        <v>1816903.7</v>
      </c>
      <c r="I76" s="10">
        <v>0</v>
      </c>
      <c r="J76" s="10"/>
      <c r="K76" s="170">
        <f t="shared" si="4"/>
        <v>1816903.7</v>
      </c>
      <c r="L76" s="170"/>
      <c r="M76" s="170"/>
      <c r="O76" s="7"/>
      <c r="Q76" s="11"/>
    </row>
    <row r="77" spans="1:17" outlineLevel="2">
      <c r="A77" s="7">
        <f t="shared" si="5"/>
        <v>72</v>
      </c>
      <c r="B77" s="7" t="s">
        <v>27</v>
      </c>
      <c r="C77" s="7" t="s">
        <v>77</v>
      </c>
      <c r="D77" s="13" t="s">
        <v>390</v>
      </c>
      <c r="E77" s="8" t="s">
        <v>391</v>
      </c>
      <c r="F77" s="203">
        <v>2469604.23</v>
      </c>
      <c r="G77" s="10">
        <v>0</v>
      </c>
      <c r="H77" s="10">
        <f t="shared" si="3"/>
        <v>2469604.23</v>
      </c>
      <c r="I77" s="10">
        <v>0</v>
      </c>
      <c r="J77" s="10"/>
      <c r="K77" s="170">
        <f t="shared" si="4"/>
        <v>2469604.23</v>
      </c>
      <c r="L77" s="170"/>
      <c r="M77" s="170"/>
      <c r="O77" s="7"/>
      <c r="Q77" s="11"/>
    </row>
    <row r="78" spans="1:17" outlineLevel="2">
      <c r="A78" s="7">
        <f t="shared" si="5"/>
        <v>73</v>
      </c>
      <c r="B78" s="7" t="s">
        <v>27</v>
      </c>
      <c r="C78" s="7" t="s">
        <v>77</v>
      </c>
      <c r="D78" s="13" t="s">
        <v>392</v>
      </c>
      <c r="E78" s="8" t="s">
        <v>393</v>
      </c>
      <c r="F78" s="28">
        <v>6346264.54</v>
      </c>
      <c r="G78" s="10">
        <v>0</v>
      </c>
      <c r="H78" s="10">
        <f t="shared" si="3"/>
        <v>6346264.54</v>
      </c>
      <c r="I78" s="10">
        <v>0</v>
      </c>
      <c r="J78" s="10"/>
      <c r="K78" s="170">
        <f t="shared" si="4"/>
        <v>6346264.54</v>
      </c>
      <c r="L78" s="170"/>
      <c r="M78" s="170"/>
      <c r="O78" s="7"/>
      <c r="Q78" s="11"/>
    </row>
    <row r="79" spans="1:17" outlineLevel="2">
      <c r="A79" s="7">
        <f t="shared" si="5"/>
        <v>74</v>
      </c>
      <c r="B79" s="7" t="s">
        <v>27</v>
      </c>
      <c r="C79" s="7" t="s">
        <v>77</v>
      </c>
      <c r="D79" s="13" t="s">
        <v>394</v>
      </c>
      <c r="E79" s="8" t="s">
        <v>395</v>
      </c>
      <c r="F79" s="28">
        <v>11220164.279999999</v>
      </c>
      <c r="G79" s="10">
        <v>0</v>
      </c>
      <c r="H79" s="10">
        <f t="shared" si="3"/>
        <v>11220164.279999999</v>
      </c>
      <c r="I79" s="10">
        <v>0</v>
      </c>
      <c r="J79" s="10"/>
      <c r="K79" s="170">
        <f t="shared" si="4"/>
        <v>11220164.279999999</v>
      </c>
      <c r="L79" s="170"/>
      <c r="M79" s="170"/>
      <c r="O79" s="7"/>
      <c r="Q79" s="11"/>
    </row>
    <row r="80" spans="1:17" outlineLevel="2">
      <c r="A80" s="7">
        <f t="shared" si="5"/>
        <v>75</v>
      </c>
      <c r="B80" s="7" t="s">
        <v>27</v>
      </c>
      <c r="C80" s="7" t="s">
        <v>77</v>
      </c>
      <c r="D80" s="13" t="s">
        <v>396</v>
      </c>
      <c r="E80" s="8" t="s">
        <v>397</v>
      </c>
      <c r="F80" s="203">
        <v>3216069.16</v>
      </c>
      <c r="G80" s="10">
        <v>0</v>
      </c>
      <c r="H80" s="10">
        <f t="shared" si="3"/>
        <v>3216069.16</v>
      </c>
      <c r="I80" s="10">
        <v>0</v>
      </c>
      <c r="J80" s="10"/>
      <c r="K80" s="170">
        <f t="shared" si="4"/>
        <v>3216069.16</v>
      </c>
      <c r="L80" s="170"/>
      <c r="M80" s="170"/>
      <c r="O80" s="7"/>
      <c r="Q80" s="11"/>
    </row>
    <row r="81" spans="1:17" outlineLevel="2">
      <c r="A81" s="7">
        <f t="shared" si="5"/>
        <v>76</v>
      </c>
      <c r="B81" s="7" t="s">
        <v>27</v>
      </c>
      <c r="C81" s="7" t="s">
        <v>77</v>
      </c>
      <c r="D81" s="13" t="s">
        <v>398</v>
      </c>
      <c r="E81" s="8" t="s">
        <v>399</v>
      </c>
      <c r="F81" s="28">
        <v>1132485.8600000001</v>
      </c>
      <c r="G81" s="10">
        <v>0</v>
      </c>
      <c r="H81" s="10">
        <f t="shared" si="3"/>
        <v>1132485.8600000001</v>
      </c>
      <c r="I81" s="10">
        <v>0</v>
      </c>
      <c r="J81" s="10"/>
      <c r="K81" s="170">
        <f t="shared" si="4"/>
        <v>1132485.8600000001</v>
      </c>
      <c r="L81" s="170"/>
      <c r="M81" s="170"/>
      <c r="O81" s="7"/>
      <c r="Q81" s="11"/>
    </row>
    <row r="82" spans="1:17" outlineLevel="2">
      <c r="A82" s="7">
        <f t="shared" si="5"/>
        <v>77</v>
      </c>
      <c r="B82" s="7" t="s">
        <v>27</v>
      </c>
      <c r="C82" s="7" t="s">
        <v>77</v>
      </c>
      <c r="D82" s="13" t="s">
        <v>400</v>
      </c>
      <c r="E82" s="8" t="s">
        <v>401</v>
      </c>
      <c r="F82" s="28">
        <v>309991</v>
      </c>
      <c r="G82" s="10">
        <v>0</v>
      </c>
      <c r="H82" s="10">
        <f t="shared" si="3"/>
        <v>309991</v>
      </c>
      <c r="I82" s="10">
        <v>0</v>
      </c>
      <c r="J82" s="10"/>
      <c r="K82" s="170">
        <f t="shared" si="4"/>
        <v>309991</v>
      </c>
      <c r="L82" s="170"/>
      <c r="M82" s="170"/>
      <c r="O82" s="7"/>
      <c r="Q82" s="11"/>
    </row>
    <row r="83" spans="1:17" outlineLevel="2">
      <c r="A83" s="7">
        <f t="shared" si="5"/>
        <v>78</v>
      </c>
      <c r="B83" s="7" t="s">
        <v>27</v>
      </c>
      <c r="C83" s="7" t="s">
        <v>77</v>
      </c>
      <c r="D83" s="13" t="s">
        <v>402</v>
      </c>
      <c r="E83" s="8" t="s">
        <v>403</v>
      </c>
      <c r="F83" s="28">
        <v>2651859.84</v>
      </c>
      <c r="G83" s="10">
        <v>0</v>
      </c>
      <c r="H83" s="10">
        <f t="shared" si="3"/>
        <v>2651859.84</v>
      </c>
      <c r="I83" s="10">
        <v>0</v>
      </c>
      <c r="J83" s="10"/>
      <c r="K83" s="170">
        <f t="shared" si="4"/>
        <v>2651859.84</v>
      </c>
      <c r="L83" s="170"/>
      <c r="M83" s="170"/>
      <c r="O83" s="7"/>
      <c r="Q83" s="11"/>
    </row>
    <row r="84" spans="1:17" ht="13.5" customHeight="1" outlineLevel="2">
      <c r="A84" s="7">
        <f t="shared" si="5"/>
        <v>79</v>
      </c>
      <c r="B84" s="7" t="s">
        <v>27</v>
      </c>
      <c r="C84" s="7" t="s">
        <v>77</v>
      </c>
      <c r="D84" s="13" t="s">
        <v>404</v>
      </c>
      <c r="E84" s="8" t="s">
        <v>405</v>
      </c>
      <c r="F84" s="28">
        <v>3973415.92</v>
      </c>
      <c r="G84" s="10">
        <v>0</v>
      </c>
      <c r="H84" s="10">
        <f t="shared" si="3"/>
        <v>3973415.92</v>
      </c>
      <c r="I84" s="10">
        <v>0</v>
      </c>
      <c r="J84" s="10"/>
      <c r="K84" s="170">
        <f t="shared" si="4"/>
        <v>3973415.92</v>
      </c>
      <c r="L84" s="170"/>
      <c r="M84" s="170"/>
      <c r="O84" s="7"/>
      <c r="Q84" s="11"/>
    </row>
    <row r="85" spans="1:17" outlineLevel="2">
      <c r="A85" s="7">
        <f t="shared" si="5"/>
        <v>80</v>
      </c>
      <c r="B85" s="7" t="s">
        <v>27</v>
      </c>
      <c r="C85" s="7" t="s">
        <v>77</v>
      </c>
      <c r="D85" s="13" t="s">
        <v>406</v>
      </c>
      <c r="E85" s="8" t="s">
        <v>407</v>
      </c>
      <c r="F85" s="28">
        <v>5563295.5999999996</v>
      </c>
      <c r="G85" s="10">
        <v>0</v>
      </c>
      <c r="H85" s="10">
        <f t="shared" si="3"/>
        <v>5563295.5999999996</v>
      </c>
      <c r="I85" s="10">
        <v>0</v>
      </c>
      <c r="J85" s="10"/>
      <c r="K85" s="170">
        <f t="shared" si="4"/>
        <v>5563295.5999999996</v>
      </c>
      <c r="L85" s="170"/>
      <c r="M85" s="170"/>
      <c r="O85" s="7"/>
      <c r="Q85" s="11"/>
    </row>
    <row r="86" spans="1:17" outlineLevel="2">
      <c r="A86" s="7">
        <f t="shared" si="5"/>
        <v>81</v>
      </c>
      <c r="B86" s="7" t="s">
        <v>27</v>
      </c>
      <c r="C86" s="7" t="s">
        <v>77</v>
      </c>
      <c r="D86" s="13" t="s">
        <v>408</v>
      </c>
      <c r="E86" s="8" t="s">
        <v>409</v>
      </c>
      <c r="F86" s="28">
        <v>5949647.5099999998</v>
      </c>
      <c r="G86" s="10">
        <v>0</v>
      </c>
      <c r="H86" s="10">
        <f t="shared" si="3"/>
        <v>5949647.5099999998</v>
      </c>
      <c r="I86" s="10">
        <v>0</v>
      </c>
      <c r="J86" s="10"/>
      <c r="K86" s="170">
        <f t="shared" si="4"/>
        <v>5949647.5099999998</v>
      </c>
      <c r="L86" s="170"/>
      <c r="M86" s="170"/>
      <c r="O86" s="7"/>
      <c r="Q86" s="11"/>
    </row>
    <row r="87" spans="1:17" outlineLevel="2">
      <c r="A87" s="7">
        <f t="shared" si="5"/>
        <v>82</v>
      </c>
      <c r="B87" s="7" t="s">
        <v>27</v>
      </c>
      <c r="C87" s="7" t="s">
        <v>77</v>
      </c>
      <c r="D87" s="13" t="s">
        <v>410</v>
      </c>
      <c r="E87" s="8" t="s">
        <v>411</v>
      </c>
      <c r="F87" s="28">
        <v>3226732.48</v>
      </c>
      <c r="G87" s="10">
        <v>0</v>
      </c>
      <c r="H87" s="10">
        <f t="shared" si="3"/>
        <v>3226732.48</v>
      </c>
      <c r="I87" s="10">
        <v>0</v>
      </c>
      <c r="J87" s="10"/>
      <c r="K87" s="170">
        <f t="shared" si="4"/>
        <v>3226732.48</v>
      </c>
      <c r="L87" s="170"/>
      <c r="M87" s="170"/>
      <c r="O87" s="7"/>
      <c r="Q87" s="11"/>
    </row>
    <row r="88" spans="1:17" outlineLevel="2">
      <c r="A88" s="7">
        <f t="shared" si="5"/>
        <v>83</v>
      </c>
      <c r="B88" s="7" t="s">
        <v>27</v>
      </c>
      <c r="C88" s="7" t="s">
        <v>77</v>
      </c>
      <c r="D88" s="13" t="s">
        <v>412</v>
      </c>
      <c r="E88" s="8" t="s">
        <v>413</v>
      </c>
      <c r="F88" s="28">
        <v>6868035.9100000001</v>
      </c>
      <c r="G88" s="10">
        <v>0</v>
      </c>
      <c r="H88" s="10">
        <f t="shared" si="3"/>
        <v>6868035.9100000001</v>
      </c>
      <c r="I88" s="10">
        <v>0</v>
      </c>
      <c r="J88" s="10"/>
      <c r="K88" s="170">
        <f t="shared" si="4"/>
        <v>6868035.9100000001</v>
      </c>
      <c r="L88" s="170"/>
      <c r="M88" s="170"/>
      <c r="O88" s="7"/>
      <c r="Q88" s="11"/>
    </row>
    <row r="89" spans="1:17" outlineLevel="2">
      <c r="A89" s="7">
        <f t="shared" si="5"/>
        <v>84</v>
      </c>
      <c r="B89" s="7" t="s">
        <v>27</v>
      </c>
      <c r="C89" s="7" t="s">
        <v>77</v>
      </c>
      <c r="D89" s="13" t="s">
        <v>414</v>
      </c>
      <c r="E89" s="8" t="s">
        <v>415</v>
      </c>
      <c r="F89" s="28">
        <v>388816.19</v>
      </c>
      <c r="G89" s="10">
        <v>0</v>
      </c>
      <c r="H89" s="10">
        <f t="shared" si="3"/>
        <v>388816.19</v>
      </c>
      <c r="I89" s="10">
        <v>0</v>
      </c>
      <c r="J89" s="10"/>
      <c r="K89" s="170">
        <f t="shared" si="4"/>
        <v>388816.19</v>
      </c>
      <c r="L89" s="170"/>
      <c r="M89" s="170"/>
      <c r="O89" s="7"/>
      <c r="Q89" s="11"/>
    </row>
    <row r="90" spans="1:17" outlineLevel="2">
      <c r="A90" s="7">
        <f t="shared" si="5"/>
        <v>85</v>
      </c>
      <c r="B90" s="7" t="s">
        <v>27</v>
      </c>
      <c r="C90" s="7" t="s">
        <v>77</v>
      </c>
      <c r="D90" s="13" t="s">
        <v>416</v>
      </c>
      <c r="E90" s="8" t="s">
        <v>417</v>
      </c>
      <c r="F90" s="28">
        <v>2488318.48</v>
      </c>
      <c r="G90" s="10">
        <v>0</v>
      </c>
      <c r="H90" s="10">
        <f t="shared" si="3"/>
        <v>2488318.48</v>
      </c>
      <c r="I90" s="10">
        <v>0</v>
      </c>
      <c r="J90" s="10"/>
      <c r="K90" s="170">
        <f t="shared" si="4"/>
        <v>2488318.48</v>
      </c>
      <c r="L90" s="170"/>
      <c r="M90" s="170"/>
      <c r="O90" s="7"/>
      <c r="Q90" s="11"/>
    </row>
    <row r="91" spans="1:17" outlineLevel="2">
      <c r="A91" s="7">
        <f t="shared" si="5"/>
        <v>86</v>
      </c>
      <c r="B91" s="7" t="s">
        <v>27</v>
      </c>
      <c r="C91" s="7" t="s">
        <v>77</v>
      </c>
      <c r="D91" s="13" t="s">
        <v>418</v>
      </c>
      <c r="E91" s="8" t="s">
        <v>419</v>
      </c>
      <c r="F91" s="28">
        <v>2038920.25</v>
      </c>
      <c r="G91" s="10">
        <v>0</v>
      </c>
      <c r="H91" s="10">
        <f t="shared" si="3"/>
        <v>2038920.25</v>
      </c>
      <c r="I91" s="10">
        <v>0</v>
      </c>
      <c r="J91" s="10"/>
      <c r="K91" s="170">
        <f t="shared" si="4"/>
        <v>2038920.25</v>
      </c>
      <c r="L91" s="170"/>
      <c r="M91" s="170"/>
      <c r="O91" s="7"/>
      <c r="Q91" s="11"/>
    </row>
    <row r="92" spans="1:17" outlineLevel="2">
      <c r="A92" s="7">
        <f t="shared" si="5"/>
        <v>87</v>
      </c>
      <c r="B92" s="7" t="s">
        <v>27</v>
      </c>
      <c r="C92" s="7" t="s">
        <v>77</v>
      </c>
      <c r="D92" s="13" t="s">
        <v>420</v>
      </c>
      <c r="E92" s="8" t="s">
        <v>421</v>
      </c>
      <c r="F92" s="28">
        <v>2140435.5299999998</v>
      </c>
      <c r="G92" s="10">
        <v>0</v>
      </c>
      <c r="H92" s="10">
        <f t="shared" si="3"/>
        <v>2140435.5299999998</v>
      </c>
      <c r="I92" s="10">
        <v>0</v>
      </c>
      <c r="J92" s="10"/>
      <c r="K92" s="170">
        <f t="shared" si="4"/>
        <v>2140435.5299999998</v>
      </c>
      <c r="L92" s="170"/>
      <c r="M92" s="170"/>
      <c r="O92" s="7"/>
      <c r="Q92" s="11"/>
    </row>
    <row r="93" spans="1:17" outlineLevel="2">
      <c r="A93" s="7">
        <f t="shared" si="5"/>
        <v>88</v>
      </c>
      <c r="B93" s="7" t="s">
        <v>27</v>
      </c>
      <c r="C93" s="7" t="s">
        <v>77</v>
      </c>
      <c r="D93" s="13" t="s">
        <v>422</v>
      </c>
      <c r="E93" s="8" t="s">
        <v>423</v>
      </c>
      <c r="F93" s="28">
        <v>9269194.1600000001</v>
      </c>
      <c r="G93" s="10">
        <v>0</v>
      </c>
      <c r="H93" s="10">
        <f t="shared" si="3"/>
        <v>9269194.1600000001</v>
      </c>
      <c r="I93" s="10">
        <v>0</v>
      </c>
      <c r="J93" s="10"/>
      <c r="K93" s="170">
        <f t="shared" si="4"/>
        <v>9269194.1600000001</v>
      </c>
      <c r="L93" s="170"/>
      <c r="M93" s="170"/>
      <c r="O93" s="7"/>
      <c r="Q93" s="11"/>
    </row>
    <row r="94" spans="1:17" outlineLevel="2">
      <c r="A94" s="7">
        <f t="shared" si="5"/>
        <v>89</v>
      </c>
      <c r="B94" s="7" t="s">
        <v>27</v>
      </c>
      <c r="C94" s="7" t="s">
        <v>77</v>
      </c>
      <c r="D94" s="13" t="s">
        <v>424</v>
      </c>
      <c r="E94" s="8" t="s">
        <v>425</v>
      </c>
      <c r="F94" s="28">
        <v>52063.76</v>
      </c>
      <c r="G94" s="10">
        <v>0</v>
      </c>
      <c r="H94" s="10">
        <f t="shared" si="3"/>
        <v>52063.76</v>
      </c>
      <c r="I94" s="10">
        <v>0</v>
      </c>
      <c r="J94" s="10"/>
      <c r="K94" s="170">
        <f t="shared" si="4"/>
        <v>52063.76</v>
      </c>
      <c r="L94" s="170"/>
      <c r="M94" s="170"/>
      <c r="O94" s="7"/>
      <c r="Q94" s="11"/>
    </row>
    <row r="95" spans="1:17" outlineLevel="2">
      <c r="A95" s="7">
        <f t="shared" si="5"/>
        <v>90</v>
      </c>
      <c r="B95" s="7" t="s">
        <v>27</v>
      </c>
      <c r="C95" s="7" t="s">
        <v>77</v>
      </c>
      <c r="D95" s="13" t="s">
        <v>426</v>
      </c>
      <c r="E95" s="8" t="s">
        <v>427</v>
      </c>
      <c r="F95" s="203">
        <v>799951.5</v>
      </c>
      <c r="G95" s="10">
        <v>0</v>
      </c>
      <c r="H95" s="10">
        <f t="shared" si="3"/>
        <v>799951.5</v>
      </c>
      <c r="I95" s="10">
        <v>0</v>
      </c>
      <c r="J95" s="10"/>
      <c r="K95" s="170">
        <f t="shared" si="4"/>
        <v>799951.5</v>
      </c>
      <c r="L95" s="170"/>
      <c r="M95" s="170"/>
      <c r="O95" s="7"/>
      <c r="Q95" s="11"/>
    </row>
    <row r="96" spans="1:17" outlineLevel="2">
      <c r="A96" s="7">
        <f t="shared" si="5"/>
        <v>91</v>
      </c>
      <c r="B96" s="7" t="s">
        <v>27</v>
      </c>
      <c r="C96" s="7" t="s">
        <v>77</v>
      </c>
      <c r="D96" s="13" t="s">
        <v>428</v>
      </c>
      <c r="E96" s="8" t="s">
        <v>429</v>
      </c>
      <c r="F96" s="28">
        <v>2235654.88</v>
      </c>
      <c r="G96" s="10">
        <v>0</v>
      </c>
      <c r="H96" s="10">
        <f t="shared" si="3"/>
        <v>2235654.88</v>
      </c>
      <c r="I96" s="10">
        <v>0</v>
      </c>
      <c r="J96" s="10"/>
      <c r="K96" s="170">
        <f t="shared" si="4"/>
        <v>2235654.88</v>
      </c>
      <c r="L96" s="170"/>
      <c r="M96" s="170"/>
      <c r="O96" s="7"/>
      <c r="Q96" s="11"/>
    </row>
    <row r="97" spans="1:17" outlineLevel="2">
      <c r="A97" s="7">
        <f t="shared" si="5"/>
        <v>92</v>
      </c>
      <c r="B97" s="7" t="s">
        <v>27</v>
      </c>
      <c r="C97" s="7" t="s">
        <v>77</v>
      </c>
      <c r="D97" s="13" t="s">
        <v>430</v>
      </c>
      <c r="E97" s="8" t="s">
        <v>431</v>
      </c>
      <c r="F97" s="28">
        <v>18190842.870000001</v>
      </c>
      <c r="G97" s="10">
        <v>0</v>
      </c>
      <c r="H97" s="10">
        <f t="shared" si="3"/>
        <v>18190842.870000001</v>
      </c>
      <c r="I97" s="10">
        <v>0</v>
      </c>
      <c r="J97" s="10"/>
      <c r="K97" s="170">
        <f t="shared" si="4"/>
        <v>18190842.870000001</v>
      </c>
      <c r="L97" s="170"/>
      <c r="M97" s="170"/>
      <c r="O97" s="7"/>
      <c r="Q97" s="11"/>
    </row>
    <row r="98" spans="1:17" outlineLevel="2">
      <c r="A98" s="7">
        <f t="shared" si="5"/>
        <v>93</v>
      </c>
      <c r="B98" s="7" t="s">
        <v>27</v>
      </c>
      <c r="C98" s="7" t="s">
        <v>77</v>
      </c>
      <c r="D98" s="13" t="s">
        <v>432</v>
      </c>
      <c r="E98" s="8" t="s">
        <v>433</v>
      </c>
      <c r="F98" s="28">
        <v>1938352.95</v>
      </c>
      <c r="G98" s="10">
        <v>0</v>
      </c>
      <c r="H98" s="10">
        <f t="shared" si="3"/>
        <v>1938352.95</v>
      </c>
      <c r="I98" s="10">
        <v>0</v>
      </c>
      <c r="J98" s="10"/>
      <c r="K98" s="170">
        <f t="shared" si="4"/>
        <v>1938352.95</v>
      </c>
      <c r="L98" s="170"/>
      <c r="M98" s="170"/>
      <c r="O98" s="7"/>
      <c r="Q98" s="11"/>
    </row>
    <row r="99" spans="1:17" outlineLevel="2">
      <c r="A99" s="7">
        <f t="shared" si="5"/>
        <v>94</v>
      </c>
      <c r="B99" s="7" t="s">
        <v>27</v>
      </c>
      <c r="C99" s="7" t="s">
        <v>77</v>
      </c>
      <c r="D99" s="13" t="s">
        <v>434</v>
      </c>
      <c r="E99" s="8" t="s">
        <v>435</v>
      </c>
      <c r="F99" s="28">
        <v>3217192.17</v>
      </c>
      <c r="G99" s="10">
        <v>0</v>
      </c>
      <c r="H99" s="10">
        <f t="shared" si="3"/>
        <v>3217192.17</v>
      </c>
      <c r="I99" s="10">
        <v>0</v>
      </c>
      <c r="J99" s="10"/>
      <c r="K99" s="170">
        <f t="shared" si="4"/>
        <v>3217192.17</v>
      </c>
      <c r="L99" s="170"/>
      <c r="M99" s="170"/>
      <c r="O99" s="7"/>
      <c r="Q99" s="11"/>
    </row>
    <row r="100" spans="1:17" outlineLevel="2">
      <c r="A100" s="7">
        <f t="shared" si="5"/>
        <v>95</v>
      </c>
      <c r="B100" s="7" t="s">
        <v>27</v>
      </c>
      <c r="C100" s="7" t="s">
        <v>77</v>
      </c>
      <c r="D100" s="13" t="s">
        <v>436</v>
      </c>
      <c r="E100" s="8" t="s">
        <v>437</v>
      </c>
      <c r="F100" s="28">
        <v>277896.62</v>
      </c>
      <c r="G100" s="10">
        <v>0</v>
      </c>
      <c r="H100" s="10">
        <f t="shared" si="3"/>
        <v>277896.62</v>
      </c>
      <c r="I100" s="10">
        <v>0</v>
      </c>
      <c r="J100" s="10"/>
      <c r="K100" s="170">
        <f t="shared" si="4"/>
        <v>277896.62</v>
      </c>
      <c r="L100" s="170"/>
      <c r="M100" s="170"/>
      <c r="O100" s="7"/>
    </row>
    <row r="101" spans="1:17" outlineLevel="2">
      <c r="A101" s="7">
        <f t="shared" si="5"/>
        <v>96</v>
      </c>
      <c r="B101" s="7" t="s">
        <v>27</v>
      </c>
      <c r="C101" s="7" t="s">
        <v>77</v>
      </c>
      <c r="D101" s="13" t="s">
        <v>438</v>
      </c>
      <c r="E101" s="8" t="s">
        <v>439</v>
      </c>
      <c r="F101" s="28">
        <v>6743203.0499999998</v>
      </c>
      <c r="G101" s="10">
        <v>0</v>
      </c>
      <c r="H101" s="10">
        <f t="shared" si="3"/>
        <v>6743203.0499999998</v>
      </c>
      <c r="I101" s="10">
        <v>0</v>
      </c>
      <c r="J101" s="10"/>
      <c r="K101" s="170">
        <f t="shared" si="4"/>
        <v>6743203.0499999998</v>
      </c>
      <c r="L101" s="170"/>
      <c r="M101" s="170"/>
      <c r="O101" s="7"/>
      <c r="Q101" s="11"/>
    </row>
    <row r="102" spans="1:17" outlineLevel="2">
      <c r="A102" s="7">
        <f t="shared" si="5"/>
        <v>97</v>
      </c>
      <c r="B102" s="7" t="s">
        <v>27</v>
      </c>
      <c r="C102" s="7" t="s">
        <v>77</v>
      </c>
      <c r="D102" s="13" t="s">
        <v>440</v>
      </c>
      <c r="E102" s="8" t="s">
        <v>441</v>
      </c>
      <c r="F102" s="28">
        <v>3485236.01</v>
      </c>
      <c r="G102" s="10">
        <v>0</v>
      </c>
      <c r="H102" s="10">
        <f t="shared" si="3"/>
        <v>3485236.01</v>
      </c>
      <c r="I102" s="10">
        <v>0</v>
      </c>
      <c r="J102" s="10"/>
      <c r="K102" s="170">
        <f t="shared" si="4"/>
        <v>3485236.01</v>
      </c>
      <c r="L102" s="170"/>
      <c r="M102" s="170"/>
      <c r="O102" s="7"/>
      <c r="Q102" s="11"/>
    </row>
    <row r="103" spans="1:17" outlineLevel="2">
      <c r="A103" s="7">
        <f t="shared" si="5"/>
        <v>98</v>
      </c>
      <c r="B103" s="7" t="s">
        <v>27</v>
      </c>
      <c r="C103" s="7" t="s">
        <v>77</v>
      </c>
      <c r="D103" s="13" t="s">
        <v>442</v>
      </c>
      <c r="E103" s="8" t="s">
        <v>443</v>
      </c>
      <c r="F103" s="28">
        <v>2418956.92</v>
      </c>
      <c r="G103" s="10">
        <v>0</v>
      </c>
      <c r="H103" s="10">
        <f t="shared" si="3"/>
        <v>2418956.92</v>
      </c>
      <c r="I103" s="10">
        <v>0</v>
      </c>
      <c r="J103" s="10"/>
      <c r="K103" s="170">
        <f t="shared" si="4"/>
        <v>2418956.92</v>
      </c>
      <c r="L103" s="170"/>
      <c r="M103" s="170"/>
      <c r="O103" s="7"/>
      <c r="Q103" s="11"/>
    </row>
    <row r="104" spans="1:17" outlineLevel="2">
      <c r="A104" s="7">
        <f t="shared" si="5"/>
        <v>99</v>
      </c>
      <c r="B104" s="7" t="s">
        <v>27</v>
      </c>
      <c r="C104" s="7" t="s">
        <v>77</v>
      </c>
      <c r="D104" s="13" t="s">
        <v>444</v>
      </c>
      <c r="E104" s="8" t="s">
        <v>445</v>
      </c>
      <c r="F104" s="28">
        <v>312931.03999999998</v>
      </c>
      <c r="G104" s="10">
        <v>0</v>
      </c>
      <c r="H104" s="10">
        <f t="shared" si="3"/>
        <v>312931.03999999998</v>
      </c>
      <c r="I104" s="10">
        <v>0</v>
      </c>
      <c r="J104" s="10"/>
      <c r="K104" s="170">
        <f t="shared" si="4"/>
        <v>312931.03999999998</v>
      </c>
      <c r="L104" s="170"/>
      <c r="M104" s="170"/>
      <c r="O104" s="7"/>
      <c r="Q104" s="11"/>
    </row>
    <row r="105" spans="1:17" outlineLevel="2">
      <c r="A105" s="7">
        <f t="shared" si="5"/>
        <v>100</v>
      </c>
      <c r="B105" s="7" t="s">
        <v>27</v>
      </c>
      <c r="C105" s="7" t="s">
        <v>77</v>
      </c>
      <c r="D105" s="13" t="s">
        <v>446</v>
      </c>
      <c r="E105" s="8" t="s">
        <v>447</v>
      </c>
      <c r="F105" s="28">
        <v>161893.01999999999</v>
      </c>
      <c r="G105" s="10">
        <v>0</v>
      </c>
      <c r="H105" s="10">
        <f t="shared" si="3"/>
        <v>161893.01999999999</v>
      </c>
      <c r="I105" s="10">
        <v>0</v>
      </c>
      <c r="J105" s="10"/>
      <c r="K105" s="170">
        <f t="shared" si="4"/>
        <v>161893.01999999999</v>
      </c>
      <c r="L105" s="170"/>
      <c r="M105" s="170"/>
      <c r="O105" s="7"/>
      <c r="Q105" s="11"/>
    </row>
    <row r="106" spans="1:17" outlineLevel="2">
      <c r="A106" s="7">
        <f t="shared" si="5"/>
        <v>101</v>
      </c>
      <c r="B106" s="7" t="s">
        <v>27</v>
      </c>
      <c r="C106" s="7" t="s">
        <v>77</v>
      </c>
      <c r="D106" s="13" t="s">
        <v>448</v>
      </c>
      <c r="E106" s="8" t="s">
        <v>449</v>
      </c>
      <c r="F106" s="28">
        <v>7488153.7300000004</v>
      </c>
      <c r="G106" s="10">
        <v>0</v>
      </c>
      <c r="H106" s="10">
        <f t="shared" si="3"/>
        <v>7488153.7300000004</v>
      </c>
      <c r="I106" s="10">
        <v>0</v>
      </c>
      <c r="J106" s="10"/>
      <c r="K106" s="170">
        <f t="shared" si="4"/>
        <v>7488153.7300000004</v>
      </c>
      <c r="L106" s="170"/>
      <c r="M106" s="170"/>
      <c r="O106" s="7"/>
      <c r="Q106" s="11"/>
    </row>
    <row r="107" spans="1:17" outlineLevel="2">
      <c r="A107" s="7">
        <f t="shared" si="5"/>
        <v>102</v>
      </c>
      <c r="B107" s="7" t="s">
        <v>27</v>
      </c>
      <c r="C107" s="7" t="s">
        <v>77</v>
      </c>
      <c r="D107" s="13" t="s">
        <v>450</v>
      </c>
      <c r="E107" s="8" t="s">
        <v>451</v>
      </c>
      <c r="F107" s="28">
        <v>26924889.420000002</v>
      </c>
      <c r="G107" s="10">
        <v>0</v>
      </c>
      <c r="H107" s="10">
        <f t="shared" si="3"/>
        <v>26924889.420000002</v>
      </c>
      <c r="I107" s="10">
        <v>0</v>
      </c>
      <c r="J107" s="10"/>
      <c r="K107" s="170">
        <f t="shared" si="4"/>
        <v>26924889.420000002</v>
      </c>
      <c r="L107" s="170"/>
      <c r="M107" s="170"/>
      <c r="O107" s="7"/>
      <c r="Q107" s="11"/>
    </row>
    <row r="108" spans="1:17" outlineLevel="2">
      <c r="A108" s="7">
        <f t="shared" si="5"/>
        <v>103</v>
      </c>
      <c r="B108" s="7" t="s">
        <v>27</v>
      </c>
      <c r="C108" s="7" t="s">
        <v>77</v>
      </c>
      <c r="D108" s="13" t="s">
        <v>452</v>
      </c>
      <c r="E108" s="8" t="s">
        <v>453</v>
      </c>
      <c r="F108" s="28">
        <v>17627867.68</v>
      </c>
      <c r="G108" s="10">
        <v>0</v>
      </c>
      <c r="H108" s="10">
        <f t="shared" si="3"/>
        <v>17627867.68</v>
      </c>
      <c r="I108" s="10">
        <v>0</v>
      </c>
      <c r="J108" s="10"/>
      <c r="K108" s="170">
        <f t="shared" si="4"/>
        <v>17627867.68</v>
      </c>
      <c r="L108" s="170"/>
      <c r="M108" s="170"/>
      <c r="O108" s="7"/>
      <c r="Q108" s="11"/>
    </row>
    <row r="109" spans="1:17" outlineLevel="2">
      <c r="A109" s="7">
        <f t="shared" si="5"/>
        <v>104</v>
      </c>
      <c r="B109" s="7" t="s">
        <v>27</v>
      </c>
      <c r="C109" s="7" t="s">
        <v>77</v>
      </c>
      <c r="D109" s="13" t="s">
        <v>454</v>
      </c>
      <c r="E109" s="8" t="s">
        <v>455</v>
      </c>
      <c r="F109" s="28">
        <v>11035513.970000001</v>
      </c>
      <c r="G109" s="10">
        <v>0</v>
      </c>
      <c r="H109" s="10">
        <f t="shared" si="3"/>
        <v>11035513.970000001</v>
      </c>
      <c r="I109" s="10">
        <v>0</v>
      </c>
      <c r="J109" s="10"/>
      <c r="K109" s="170">
        <f t="shared" si="4"/>
        <v>11035513.970000001</v>
      </c>
      <c r="L109" s="170"/>
      <c r="M109" s="170"/>
      <c r="O109" s="7"/>
      <c r="Q109" s="11"/>
    </row>
    <row r="110" spans="1:17" outlineLevel="2">
      <c r="A110" s="7">
        <f t="shared" si="5"/>
        <v>105</v>
      </c>
      <c r="B110" s="7" t="s">
        <v>27</v>
      </c>
      <c r="C110" s="7" t="s">
        <v>77</v>
      </c>
      <c r="D110" s="13" t="s">
        <v>456</v>
      </c>
      <c r="E110" s="8" t="s">
        <v>457</v>
      </c>
      <c r="F110" s="28">
        <v>4629315.97</v>
      </c>
      <c r="G110" s="10">
        <v>0</v>
      </c>
      <c r="H110" s="10">
        <f t="shared" si="3"/>
        <v>4629315.97</v>
      </c>
      <c r="I110" s="10">
        <v>0</v>
      </c>
      <c r="J110" s="10"/>
      <c r="K110" s="170">
        <f t="shared" si="4"/>
        <v>4629315.97</v>
      </c>
      <c r="L110" s="170"/>
      <c r="M110" s="170"/>
      <c r="O110" s="7"/>
      <c r="Q110" s="11"/>
    </row>
    <row r="111" spans="1:17" s="4" customFormat="1" ht="13.5" outlineLevel="1" thickBot="1">
      <c r="A111" s="7">
        <f t="shared" si="5"/>
        <v>106</v>
      </c>
      <c r="B111" s="3" t="s">
        <v>27</v>
      </c>
      <c r="C111" s="14" t="s">
        <v>458</v>
      </c>
      <c r="D111" s="15"/>
      <c r="E111" s="16" t="s">
        <v>459</v>
      </c>
      <c r="F111" s="26">
        <f>SUM(F6:F110)</f>
        <v>553314864.17000031</v>
      </c>
      <c r="G111" s="26">
        <f t="shared" ref="G111:K111" si="6">SUM(G6:G110)</f>
        <v>0</v>
      </c>
      <c r="H111" s="26">
        <f t="shared" si="6"/>
        <v>553314864.17000031</v>
      </c>
      <c r="I111" s="139">
        <f t="shared" si="6"/>
        <v>0</v>
      </c>
      <c r="J111" s="139">
        <f t="shared" si="6"/>
        <v>-51813</v>
      </c>
      <c r="K111" s="139">
        <f t="shared" si="6"/>
        <v>553263051.17000031</v>
      </c>
      <c r="L111" s="171"/>
      <c r="M111" s="171"/>
      <c r="N111" s="17"/>
      <c r="O111" s="3"/>
      <c r="P111" s="3"/>
      <c r="Q111" s="5"/>
    </row>
    <row r="112" spans="1:17" ht="13.5" outlineLevel="2" thickTop="1">
      <c r="A112" s="7">
        <f t="shared" si="5"/>
        <v>107</v>
      </c>
      <c r="B112" s="7" t="s">
        <v>27</v>
      </c>
      <c r="C112" s="7" t="s">
        <v>79</v>
      </c>
      <c r="D112" s="13" t="s">
        <v>460</v>
      </c>
      <c r="E112" s="8" t="s">
        <v>461</v>
      </c>
      <c r="F112" s="28">
        <v>6259.21</v>
      </c>
      <c r="G112" s="9">
        <v>0</v>
      </c>
      <c r="H112" s="10">
        <f t="shared" si="3"/>
        <v>6259.21</v>
      </c>
      <c r="I112" s="9">
        <v>0</v>
      </c>
      <c r="K112" s="170">
        <f t="shared" si="4"/>
        <v>6259.21</v>
      </c>
      <c r="L112" s="170"/>
      <c r="M112" s="170"/>
      <c r="O112" s="7"/>
      <c r="Q112" s="11"/>
    </row>
    <row r="113" spans="1:17" outlineLevel="2">
      <c r="A113" s="7">
        <f t="shared" si="5"/>
        <v>108</v>
      </c>
      <c r="B113" s="7" t="s">
        <v>27</v>
      </c>
      <c r="C113" s="7" t="s">
        <v>79</v>
      </c>
      <c r="D113" s="13" t="s">
        <v>462</v>
      </c>
      <c r="E113" s="8" t="s">
        <v>463</v>
      </c>
      <c r="F113" s="203">
        <v>12377.42</v>
      </c>
      <c r="G113" s="9">
        <v>0</v>
      </c>
      <c r="H113" s="10">
        <f t="shared" si="3"/>
        <v>12377.42</v>
      </c>
      <c r="K113" s="170">
        <f t="shared" si="4"/>
        <v>12377.42</v>
      </c>
      <c r="L113" s="170"/>
      <c r="M113" s="170"/>
      <c r="O113" s="7"/>
      <c r="Q113" s="11"/>
    </row>
    <row r="114" spans="1:17" outlineLevel="2">
      <c r="A114" s="7">
        <f t="shared" si="5"/>
        <v>109</v>
      </c>
      <c r="B114" s="7" t="s">
        <v>27</v>
      </c>
      <c r="C114" s="7" t="s">
        <v>79</v>
      </c>
      <c r="D114" s="13" t="s">
        <v>464</v>
      </c>
      <c r="E114" s="1" t="s">
        <v>465</v>
      </c>
      <c r="F114" s="203">
        <v>5795383.96</v>
      </c>
      <c r="G114" s="9">
        <v>0</v>
      </c>
      <c r="H114" s="10">
        <f t="shared" si="3"/>
        <v>5795383.96</v>
      </c>
      <c r="I114" s="9">
        <v>0</v>
      </c>
      <c r="K114" s="170">
        <f t="shared" si="4"/>
        <v>5795383.96</v>
      </c>
      <c r="L114" s="170"/>
      <c r="M114" s="170"/>
      <c r="O114" s="7"/>
      <c r="Q114" s="11"/>
    </row>
    <row r="115" spans="1:17" outlineLevel="2">
      <c r="A115" s="7">
        <f t="shared" si="5"/>
        <v>110</v>
      </c>
      <c r="B115" s="7" t="s">
        <v>27</v>
      </c>
      <c r="C115" s="7" t="s">
        <v>79</v>
      </c>
      <c r="D115" s="13" t="s">
        <v>466</v>
      </c>
      <c r="E115" s="8" t="s">
        <v>467</v>
      </c>
      <c r="F115" s="28">
        <v>2318295.1</v>
      </c>
      <c r="G115" s="9">
        <v>-800023.53</v>
      </c>
      <c r="H115" s="10">
        <f t="shared" si="3"/>
        <v>1518271.57</v>
      </c>
      <c r="I115" s="9">
        <v>0</v>
      </c>
      <c r="K115" s="170">
        <f t="shared" si="4"/>
        <v>1518271.57</v>
      </c>
      <c r="L115" s="170"/>
      <c r="M115" s="170"/>
      <c r="O115" s="7"/>
      <c r="Q115" s="11"/>
    </row>
    <row r="116" spans="1:17" outlineLevel="2">
      <c r="A116" s="7">
        <f t="shared" si="5"/>
        <v>111</v>
      </c>
      <c r="B116" s="7" t="s">
        <v>27</v>
      </c>
      <c r="C116" s="7" t="s">
        <v>79</v>
      </c>
      <c r="D116" s="13" t="s">
        <v>468</v>
      </c>
      <c r="E116" s="8" t="s">
        <v>469</v>
      </c>
      <c r="F116" s="28">
        <v>63325.31</v>
      </c>
      <c r="G116" s="9">
        <v>0</v>
      </c>
      <c r="H116" s="10">
        <f t="shared" si="3"/>
        <v>63325.31</v>
      </c>
      <c r="I116" s="9">
        <v>0</v>
      </c>
      <c r="K116" s="170">
        <f t="shared" si="4"/>
        <v>63325.31</v>
      </c>
      <c r="L116" s="170"/>
      <c r="M116" s="170"/>
      <c r="O116" s="7"/>
    </row>
    <row r="117" spans="1:17" outlineLevel="2">
      <c r="A117" s="7">
        <f t="shared" si="5"/>
        <v>112</v>
      </c>
      <c r="B117" s="7" t="s">
        <v>27</v>
      </c>
      <c r="C117" s="7" t="s">
        <v>79</v>
      </c>
      <c r="D117" s="13" t="s">
        <v>470</v>
      </c>
      <c r="E117" s="8" t="s">
        <v>471</v>
      </c>
      <c r="F117" s="28">
        <v>2931082.34</v>
      </c>
      <c r="G117" s="9">
        <v>-124344</v>
      </c>
      <c r="H117" s="10">
        <f t="shared" si="3"/>
        <v>2806738.34</v>
      </c>
      <c r="I117" s="9">
        <v>0</v>
      </c>
      <c r="K117" s="170">
        <f t="shared" si="4"/>
        <v>2806738.34</v>
      </c>
      <c r="L117" s="170"/>
      <c r="M117" s="170"/>
      <c r="O117" s="7"/>
    </row>
    <row r="118" spans="1:17" outlineLevel="2">
      <c r="A118" s="7">
        <f t="shared" si="5"/>
        <v>113</v>
      </c>
      <c r="B118" s="7" t="s">
        <v>27</v>
      </c>
      <c r="C118" s="7" t="s">
        <v>79</v>
      </c>
      <c r="D118" s="13" t="s">
        <v>472</v>
      </c>
      <c r="E118" s="8" t="s">
        <v>473</v>
      </c>
      <c r="F118" s="28">
        <v>369059.41</v>
      </c>
      <c r="G118" s="9">
        <v>0</v>
      </c>
      <c r="H118" s="10">
        <f t="shared" si="3"/>
        <v>369059.41</v>
      </c>
      <c r="I118" s="9">
        <v>0</v>
      </c>
      <c r="K118" s="170">
        <f t="shared" si="4"/>
        <v>369059.41</v>
      </c>
      <c r="L118" s="170"/>
      <c r="M118" s="170"/>
      <c r="O118" s="7"/>
    </row>
    <row r="119" spans="1:17" outlineLevel="2">
      <c r="A119" s="7">
        <f t="shared" si="5"/>
        <v>114</v>
      </c>
      <c r="B119" s="7" t="s">
        <v>27</v>
      </c>
      <c r="C119" s="7" t="s">
        <v>79</v>
      </c>
      <c r="D119" s="13" t="s">
        <v>474</v>
      </c>
      <c r="E119" s="8" t="s">
        <v>475</v>
      </c>
      <c r="F119" s="28">
        <v>298521.89</v>
      </c>
      <c r="G119" s="9">
        <v>0</v>
      </c>
      <c r="H119" s="10">
        <f t="shared" si="3"/>
        <v>298521.89</v>
      </c>
      <c r="I119" s="9">
        <v>0</v>
      </c>
      <c r="K119" s="170">
        <f t="shared" si="4"/>
        <v>298521.89</v>
      </c>
      <c r="L119" s="170"/>
      <c r="M119" s="170"/>
      <c r="O119" s="7"/>
      <c r="Q119" s="11"/>
    </row>
    <row r="120" spans="1:17" outlineLevel="2">
      <c r="A120" s="7">
        <f t="shared" si="5"/>
        <v>115</v>
      </c>
      <c r="B120" s="7" t="s">
        <v>27</v>
      </c>
      <c r="C120" s="7" t="s">
        <v>79</v>
      </c>
      <c r="D120" s="13" t="s">
        <v>476</v>
      </c>
      <c r="E120" s="8" t="s">
        <v>477</v>
      </c>
      <c r="F120" s="28">
        <f>14752878.62+49844.27</f>
        <v>14802722.889999999</v>
      </c>
      <c r="G120" s="9">
        <v>-109224</v>
      </c>
      <c r="H120" s="10">
        <f t="shared" si="3"/>
        <v>14693498.889999999</v>
      </c>
      <c r="I120" s="9">
        <v>0</v>
      </c>
      <c r="K120" s="170">
        <f t="shared" si="4"/>
        <v>14693498.889999999</v>
      </c>
      <c r="L120" s="170"/>
      <c r="M120" s="170"/>
      <c r="N120" s="8"/>
      <c r="O120" s="7"/>
      <c r="Q120" s="11"/>
    </row>
    <row r="121" spans="1:17" outlineLevel="2">
      <c r="A121" s="7">
        <f t="shared" si="5"/>
        <v>116</v>
      </c>
      <c r="B121" s="7" t="s">
        <v>27</v>
      </c>
      <c r="C121" s="7" t="s">
        <v>79</v>
      </c>
      <c r="D121" s="13" t="s">
        <v>478</v>
      </c>
      <c r="E121" s="8" t="s">
        <v>479</v>
      </c>
      <c r="F121" s="203">
        <v>4733509.87</v>
      </c>
      <c r="G121" s="9">
        <v>-231321.2</v>
      </c>
      <c r="H121" s="10">
        <f t="shared" si="3"/>
        <v>4502188.67</v>
      </c>
      <c r="I121" s="9">
        <v>0</v>
      </c>
      <c r="K121" s="170">
        <f t="shared" si="4"/>
        <v>4502188.67</v>
      </c>
      <c r="L121" s="170"/>
      <c r="M121" s="170"/>
      <c r="N121" s="8"/>
      <c r="O121" s="7"/>
      <c r="Q121" s="11"/>
    </row>
    <row r="122" spans="1:17" outlineLevel="2">
      <c r="A122" s="7">
        <f t="shared" si="5"/>
        <v>117</v>
      </c>
      <c r="B122" s="7" t="s">
        <v>27</v>
      </c>
      <c r="C122" s="7" t="s">
        <v>79</v>
      </c>
      <c r="D122" s="13" t="s">
        <v>480</v>
      </c>
      <c r="E122" s="8" t="s">
        <v>481</v>
      </c>
      <c r="F122" s="203">
        <v>495306.08</v>
      </c>
      <c r="G122" s="9">
        <v>-441103.97</v>
      </c>
      <c r="H122" s="10">
        <f t="shared" ref="H122:H176" si="7">F122+G122</f>
        <v>54202.110000000044</v>
      </c>
      <c r="I122" s="9">
        <v>0</v>
      </c>
      <c r="K122" s="170">
        <f t="shared" ref="K122:K176" si="8">SUM(H122:J122)</f>
        <v>54202.110000000044</v>
      </c>
      <c r="L122" s="170"/>
      <c r="M122" s="170"/>
      <c r="N122" s="8"/>
      <c r="O122" s="7"/>
      <c r="Q122" s="11"/>
    </row>
    <row r="123" spans="1:17" outlineLevel="2">
      <c r="A123" s="7">
        <f t="shared" si="5"/>
        <v>118</v>
      </c>
      <c r="B123" s="7" t="s">
        <v>27</v>
      </c>
      <c r="C123" s="7" t="s">
        <v>79</v>
      </c>
      <c r="D123" s="13" t="s">
        <v>482</v>
      </c>
      <c r="E123" s="8" t="s">
        <v>483</v>
      </c>
      <c r="F123" s="28">
        <f>19713860.2+13499.45</f>
        <v>19727359.649999999</v>
      </c>
      <c r="G123" s="9">
        <v>-200648</v>
      </c>
      <c r="H123" s="10">
        <f t="shared" si="7"/>
        <v>19526711.649999999</v>
      </c>
      <c r="I123" s="9">
        <v>0</v>
      </c>
      <c r="K123" s="170">
        <f t="shared" si="8"/>
        <v>19526711.649999999</v>
      </c>
      <c r="L123" s="170"/>
      <c r="M123" s="170"/>
      <c r="N123" s="8"/>
      <c r="O123" s="7"/>
      <c r="Q123" s="11"/>
    </row>
    <row r="124" spans="1:17" outlineLevel="2">
      <c r="A124" s="7">
        <f t="shared" si="5"/>
        <v>119</v>
      </c>
      <c r="B124" s="7" t="s">
        <v>27</v>
      </c>
      <c r="C124" s="7" t="s">
        <v>79</v>
      </c>
      <c r="D124" s="13" t="s">
        <v>484</v>
      </c>
      <c r="E124" s="8" t="s">
        <v>485</v>
      </c>
      <c r="F124" s="203">
        <v>35853.82</v>
      </c>
      <c r="G124" s="9">
        <v>0</v>
      </c>
      <c r="H124" s="10">
        <f t="shared" si="7"/>
        <v>35853.82</v>
      </c>
      <c r="I124" s="9">
        <v>0</v>
      </c>
      <c r="K124" s="170">
        <f t="shared" si="8"/>
        <v>35853.82</v>
      </c>
      <c r="L124" s="170"/>
      <c r="M124" s="170"/>
      <c r="O124" s="7"/>
      <c r="Q124" s="11"/>
    </row>
    <row r="125" spans="1:17" outlineLevel="2">
      <c r="A125" s="7">
        <f t="shared" si="5"/>
        <v>120</v>
      </c>
      <c r="B125" s="7" t="s">
        <v>27</v>
      </c>
      <c r="C125" s="7" t="s">
        <v>79</v>
      </c>
      <c r="D125" s="13" t="s">
        <v>486</v>
      </c>
      <c r="E125" s="8" t="s">
        <v>487</v>
      </c>
      <c r="F125" s="203">
        <v>3496396.41</v>
      </c>
      <c r="G125" s="9">
        <v>-1310501.02</v>
      </c>
      <c r="H125" s="10">
        <f t="shared" si="7"/>
        <v>2185895.39</v>
      </c>
      <c r="I125" s="9">
        <v>0</v>
      </c>
      <c r="K125" s="170">
        <f t="shared" si="8"/>
        <v>2185895.39</v>
      </c>
      <c r="L125" s="170"/>
      <c r="M125" s="170"/>
      <c r="N125" s="8"/>
      <c r="O125" s="7"/>
      <c r="Q125" s="11"/>
    </row>
    <row r="126" spans="1:17" outlineLevel="2">
      <c r="A126" s="7">
        <f t="shared" si="5"/>
        <v>121</v>
      </c>
      <c r="B126" s="7" t="s">
        <v>27</v>
      </c>
      <c r="C126" s="7" t="s">
        <v>79</v>
      </c>
      <c r="D126" s="13" t="s">
        <v>488</v>
      </c>
      <c r="E126" s="8" t="s">
        <v>489</v>
      </c>
      <c r="F126" s="203">
        <v>14164196.390000001</v>
      </c>
      <c r="G126" s="9">
        <v>0</v>
      </c>
      <c r="H126" s="10">
        <f t="shared" si="7"/>
        <v>14164196.390000001</v>
      </c>
      <c r="I126" s="9">
        <v>0</v>
      </c>
      <c r="K126" s="170">
        <f t="shared" si="8"/>
        <v>14164196.390000001</v>
      </c>
      <c r="L126" s="170"/>
      <c r="M126" s="170"/>
      <c r="O126" s="7"/>
      <c r="Q126" s="11"/>
    </row>
    <row r="127" spans="1:17" outlineLevel="2">
      <c r="A127" s="7">
        <f t="shared" si="5"/>
        <v>122</v>
      </c>
      <c r="B127" s="7" t="s">
        <v>27</v>
      </c>
      <c r="C127" s="7" t="s">
        <v>79</v>
      </c>
      <c r="D127" s="13" t="s">
        <v>490</v>
      </c>
      <c r="E127" s="8" t="s">
        <v>491</v>
      </c>
      <c r="F127" s="28">
        <v>4798763.16</v>
      </c>
      <c r="G127" s="9">
        <v>0</v>
      </c>
      <c r="H127" s="10">
        <f t="shared" si="7"/>
        <v>4798763.16</v>
      </c>
      <c r="I127" s="9">
        <v>0</v>
      </c>
      <c r="K127" s="170">
        <f t="shared" si="8"/>
        <v>4798763.16</v>
      </c>
      <c r="L127" s="170"/>
      <c r="M127" s="170"/>
      <c r="O127" s="7"/>
      <c r="Q127" s="11"/>
    </row>
    <row r="128" spans="1:17" outlineLevel="2">
      <c r="A128" s="7">
        <f t="shared" si="5"/>
        <v>123</v>
      </c>
      <c r="B128" s="7" t="s">
        <v>27</v>
      </c>
      <c r="C128" s="7" t="s">
        <v>79</v>
      </c>
      <c r="D128" s="13" t="s">
        <v>492</v>
      </c>
      <c r="E128" s="8" t="s">
        <v>493</v>
      </c>
      <c r="F128" s="203">
        <v>2752078.12</v>
      </c>
      <c r="G128" s="9">
        <v>0</v>
      </c>
      <c r="H128" s="10">
        <f t="shared" si="7"/>
        <v>2752078.12</v>
      </c>
      <c r="I128" s="9">
        <v>0</v>
      </c>
      <c r="K128" s="170">
        <f t="shared" si="8"/>
        <v>2752078.12</v>
      </c>
      <c r="L128" s="170"/>
      <c r="M128" s="170"/>
      <c r="O128" s="7"/>
      <c r="Q128" s="11"/>
    </row>
    <row r="129" spans="1:20" outlineLevel="2">
      <c r="A129" s="7">
        <f t="shared" si="5"/>
        <v>124</v>
      </c>
      <c r="B129" s="7" t="s">
        <v>27</v>
      </c>
      <c r="C129" s="7" t="s">
        <v>79</v>
      </c>
      <c r="D129" s="13" t="s">
        <v>494</v>
      </c>
      <c r="E129" s="8" t="s">
        <v>495</v>
      </c>
      <c r="F129" s="203">
        <v>3876965.53</v>
      </c>
      <c r="G129" s="9">
        <v>-1007873.07</v>
      </c>
      <c r="H129" s="10">
        <f t="shared" si="7"/>
        <v>2869092.46</v>
      </c>
      <c r="I129" s="9">
        <v>0</v>
      </c>
      <c r="K129" s="170">
        <f t="shared" si="8"/>
        <v>2869092.46</v>
      </c>
      <c r="L129" s="170"/>
      <c r="M129" s="170"/>
      <c r="N129" s="8"/>
      <c r="O129" s="7"/>
      <c r="Q129" s="11"/>
    </row>
    <row r="130" spans="1:20" outlineLevel="2">
      <c r="A130" s="7">
        <f t="shared" si="5"/>
        <v>125</v>
      </c>
      <c r="B130" s="7" t="s">
        <v>27</v>
      </c>
      <c r="C130" s="7" t="s">
        <v>79</v>
      </c>
      <c r="D130" s="13" t="s">
        <v>496</v>
      </c>
      <c r="E130" s="8" t="s">
        <v>497</v>
      </c>
      <c r="F130" s="203">
        <v>1365436.37</v>
      </c>
      <c r="G130" s="9">
        <v>0</v>
      </c>
      <c r="H130" s="10">
        <f t="shared" si="7"/>
        <v>1365436.37</v>
      </c>
      <c r="I130" s="9">
        <v>0</v>
      </c>
      <c r="K130" s="170">
        <f t="shared" si="8"/>
        <v>1365436.37</v>
      </c>
      <c r="L130" s="170"/>
      <c r="M130" s="170"/>
      <c r="N130" s="8"/>
      <c r="O130" s="7"/>
      <c r="Q130" s="11"/>
    </row>
    <row r="131" spans="1:20" outlineLevel="2">
      <c r="A131" s="7">
        <f t="shared" si="5"/>
        <v>126</v>
      </c>
      <c r="B131" s="7" t="s">
        <v>27</v>
      </c>
      <c r="C131" s="7" t="s">
        <v>79</v>
      </c>
      <c r="D131" s="13" t="s">
        <v>498</v>
      </c>
      <c r="E131" s="8" t="s">
        <v>499</v>
      </c>
      <c r="F131" s="203">
        <v>8846514.7200000007</v>
      </c>
      <c r="G131" s="9">
        <v>-2065347.24</v>
      </c>
      <c r="H131" s="10">
        <f t="shared" si="7"/>
        <v>6781167.4800000004</v>
      </c>
      <c r="I131" s="9">
        <v>0</v>
      </c>
      <c r="K131" s="170">
        <f t="shared" si="8"/>
        <v>6781167.4800000004</v>
      </c>
      <c r="L131" s="170"/>
      <c r="M131" s="170"/>
      <c r="N131" s="8"/>
      <c r="O131" s="7"/>
      <c r="Q131" s="11"/>
    </row>
    <row r="132" spans="1:20" outlineLevel="2">
      <c r="A132" s="7">
        <f t="shared" si="5"/>
        <v>127</v>
      </c>
      <c r="B132" s="7" t="s">
        <v>27</v>
      </c>
      <c r="C132" s="7" t="s">
        <v>79</v>
      </c>
      <c r="D132" s="13" t="s">
        <v>500</v>
      </c>
      <c r="E132" s="8" t="s">
        <v>501</v>
      </c>
      <c r="F132" s="203">
        <v>8505890.4100000001</v>
      </c>
      <c r="G132" s="9">
        <v>0</v>
      </c>
      <c r="H132" s="10">
        <f>F132+G132</f>
        <v>8505890.4100000001</v>
      </c>
      <c r="I132" s="9">
        <v>0</v>
      </c>
      <c r="K132" s="170">
        <f>SUM(H132:J132)</f>
        <v>8505890.4100000001</v>
      </c>
      <c r="L132" s="170"/>
      <c r="M132" s="170"/>
      <c r="O132" s="7"/>
      <c r="Q132" s="11"/>
    </row>
    <row r="133" spans="1:20" outlineLevel="2">
      <c r="A133" s="7">
        <f t="shared" si="5"/>
        <v>128</v>
      </c>
      <c r="B133" s="7" t="s">
        <v>27</v>
      </c>
      <c r="C133" s="7" t="s">
        <v>79</v>
      </c>
      <c r="D133" s="13" t="s">
        <v>502</v>
      </c>
      <c r="E133" s="8" t="s">
        <v>503</v>
      </c>
      <c r="F133" s="28">
        <v>2390851.2200000002</v>
      </c>
      <c r="G133" s="9">
        <v>0</v>
      </c>
      <c r="H133" s="10">
        <f>F133+G133</f>
        <v>2390851.2200000002</v>
      </c>
      <c r="I133" s="9">
        <v>0</v>
      </c>
      <c r="K133" s="170">
        <f>SUM(H133:J133)</f>
        <v>2390851.2200000002</v>
      </c>
      <c r="L133" s="170"/>
      <c r="M133" s="170"/>
      <c r="O133" s="7"/>
      <c r="Q133" s="11"/>
      <c r="T133" s="18"/>
    </row>
    <row r="134" spans="1:20" outlineLevel="2">
      <c r="A134" s="7">
        <f t="shared" si="5"/>
        <v>129</v>
      </c>
      <c r="B134" s="7" t="s">
        <v>27</v>
      </c>
      <c r="C134" s="7" t="s">
        <v>79</v>
      </c>
      <c r="D134" s="13" t="s">
        <v>504</v>
      </c>
      <c r="E134" s="8" t="s">
        <v>505</v>
      </c>
      <c r="F134" s="203">
        <v>1588076.67</v>
      </c>
      <c r="G134" s="9">
        <v>-1567242.25</v>
      </c>
      <c r="H134" s="10">
        <f t="shared" si="7"/>
        <v>20834.419999999925</v>
      </c>
      <c r="I134" s="9">
        <v>0</v>
      </c>
      <c r="K134" s="170">
        <f t="shared" si="8"/>
        <v>20834.419999999925</v>
      </c>
      <c r="L134" s="170"/>
      <c r="M134" s="170"/>
      <c r="N134" s="8"/>
      <c r="O134" s="7"/>
      <c r="Q134" s="11"/>
      <c r="T134" s="19"/>
    </row>
    <row r="135" spans="1:20" outlineLevel="2">
      <c r="A135" s="7">
        <f t="shared" si="5"/>
        <v>130</v>
      </c>
      <c r="B135" s="7" t="s">
        <v>27</v>
      </c>
      <c r="C135" s="7" t="s">
        <v>79</v>
      </c>
      <c r="D135" s="13" t="s">
        <v>506</v>
      </c>
      <c r="E135" s="8" t="s">
        <v>507</v>
      </c>
      <c r="F135" s="28">
        <f>10895638.31+283007.18+3603.23</f>
        <v>11182248.720000001</v>
      </c>
      <c r="G135" s="9">
        <v>-2304.9</v>
      </c>
      <c r="H135" s="10">
        <f t="shared" si="7"/>
        <v>11179943.82</v>
      </c>
      <c r="I135" s="9">
        <v>0</v>
      </c>
      <c r="K135" s="170">
        <f t="shared" si="8"/>
        <v>11179943.82</v>
      </c>
      <c r="L135" s="170"/>
      <c r="M135" s="170"/>
      <c r="N135" s="8"/>
      <c r="O135" s="7"/>
      <c r="Q135" s="11"/>
    </row>
    <row r="136" spans="1:20" outlineLevel="2">
      <c r="A136" s="7">
        <f t="shared" si="5"/>
        <v>131</v>
      </c>
      <c r="B136" s="7" t="s">
        <v>27</v>
      </c>
      <c r="C136" s="7" t="s">
        <v>79</v>
      </c>
      <c r="D136" s="13" t="s">
        <v>508</v>
      </c>
      <c r="E136" s="8" t="s">
        <v>509</v>
      </c>
      <c r="F136" s="28">
        <v>848872.14</v>
      </c>
      <c r="G136" s="9">
        <v>-109672.64</v>
      </c>
      <c r="H136" s="10">
        <f t="shared" si="7"/>
        <v>739199.5</v>
      </c>
      <c r="K136" s="170">
        <f t="shared" si="8"/>
        <v>739199.5</v>
      </c>
      <c r="L136" s="170"/>
      <c r="M136" s="170"/>
      <c r="N136" s="8"/>
      <c r="O136" s="7"/>
      <c r="Q136" s="11"/>
    </row>
    <row r="137" spans="1:20" outlineLevel="2">
      <c r="A137" s="7">
        <f t="shared" ref="A137:A200" si="9">A136+1</f>
        <v>132</v>
      </c>
      <c r="B137" s="7" t="s">
        <v>27</v>
      </c>
      <c r="C137" s="7" t="s">
        <v>79</v>
      </c>
      <c r="D137" s="13" t="s">
        <v>510</v>
      </c>
      <c r="E137" s="8" t="s">
        <v>511</v>
      </c>
      <c r="F137" s="203">
        <v>16272742.529999999</v>
      </c>
      <c r="G137" s="9">
        <v>0</v>
      </c>
      <c r="H137" s="10">
        <f t="shared" si="7"/>
        <v>16272742.529999999</v>
      </c>
      <c r="I137" s="9">
        <v>0</v>
      </c>
      <c r="K137" s="170">
        <f t="shared" si="8"/>
        <v>16272742.529999999</v>
      </c>
      <c r="L137" s="170"/>
      <c r="M137" s="170"/>
      <c r="N137" s="8"/>
      <c r="O137" s="7"/>
      <c r="Q137" s="11"/>
    </row>
    <row r="138" spans="1:20" outlineLevel="2">
      <c r="A138" s="7">
        <f t="shared" si="9"/>
        <v>133</v>
      </c>
      <c r="B138" s="7" t="s">
        <v>27</v>
      </c>
      <c r="C138" s="7" t="s">
        <v>79</v>
      </c>
      <c r="D138" s="13" t="s">
        <v>512</v>
      </c>
      <c r="E138" s="8" t="s">
        <v>513</v>
      </c>
      <c r="F138" s="28">
        <v>1657438.26</v>
      </c>
      <c r="G138" s="9">
        <v>-1657438</v>
      </c>
      <c r="H138" s="10">
        <f t="shared" si="7"/>
        <v>0.26000000000931323</v>
      </c>
      <c r="I138" s="9">
        <v>0</v>
      </c>
      <c r="K138" s="170">
        <f t="shared" si="8"/>
        <v>0.26000000000931323</v>
      </c>
      <c r="L138" s="170"/>
      <c r="M138" s="170"/>
      <c r="N138" s="8"/>
      <c r="O138" s="7"/>
      <c r="Q138" s="11"/>
    </row>
    <row r="139" spans="1:20" outlineLevel="2">
      <c r="A139" s="7">
        <f t="shared" si="9"/>
        <v>134</v>
      </c>
      <c r="B139" s="7" t="s">
        <v>27</v>
      </c>
      <c r="C139" s="7" t="s">
        <v>79</v>
      </c>
      <c r="D139" s="13" t="s">
        <v>514</v>
      </c>
      <c r="E139" s="8" t="s">
        <v>515</v>
      </c>
      <c r="F139" s="28">
        <v>12332947.029999999</v>
      </c>
      <c r="G139" s="9">
        <v>-537805</v>
      </c>
      <c r="H139" s="10">
        <f t="shared" si="7"/>
        <v>11795142.029999999</v>
      </c>
      <c r="I139" s="9">
        <v>0</v>
      </c>
      <c r="K139" s="170">
        <f t="shared" si="8"/>
        <v>11795142.029999999</v>
      </c>
      <c r="L139" s="170"/>
      <c r="M139" s="170"/>
      <c r="N139" s="8"/>
      <c r="O139" s="7"/>
      <c r="Q139" s="11"/>
    </row>
    <row r="140" spans="1:20" outlineLevel="2">
      <c r="A140" s="7">
        <f t="shared" si="9"/>
        <v>135</v>
      </c>
      <c r="B140" s="7" t="s">
        <v>27</v>
      </c>
      <c r="C140" s="7" t="s">
        <v>79</v>
      </c>
      <c r="D140" s="13" t="s">
        <v>516</v>
      </c>
      <c r="E140" s="8" t="s">
        <v>517</v>
      </c>
      <c r="F140" s="203">
        <v>108819.74</v>
      </c>
      <c r="G140" s="9">
        <v>0</v>
      </c>
      <c r="H140" s="10">
        <f t="shared" si="7"/>
        <v>108819.74</v>
      </c>
      <c r="I140" s="9">
        <v>0</v>
      </c>
      <c r="K140" s="170">
        <f t="shared" si="8"/>
        <v>108819.74</v>
      </c>
      <c r="L140" s="170"/>
      <c r="M140" s="170"/>
      <c r="N140" s="8"/>
      <c r="O140" s="7"/>
      <c r="Q140" s="11"/>
    </row>
    <row r="141" spans="1:20" outlineLevel="2">
      <c r="A141" s="7">
        <f t="shared" si="9"/>
        <v>136</v>
      </c>
      <c r="B141" s="7" t="s">
        <v>27</v>
      </c>
      <c r="C141" s="7" t="s">
        <v>79</v>
      </c>
      <c r="D141" s="13" t="s">
        <v>518</v>
      </c>
      <c r="E141" s="8" t="s">
        <v>519</v>
      </c>
      <c r="F141" s="28">
        <v>49112.160000000003</v>
      </c>
      <c r="G141" s="9">
        <v>0</v>
      </c>
      <c r="H141" s="10">
        <f t="shared" si="7"/>
        <v>49112.160000000003</v>
      </c>
      <c r="I141" s="9">
        <v>0</v>
      </c>
      <c r="K141" s="170">
        <f t="shared" si="8"/>
        <v>49112.160000000003</v>
      </c>
      <c r="L141" s="170"/>
      <c r="M141" s="170"/>
      <c r="N141" s="8"/>
      <c r="O141" s="7"/>
      <c r="Q141" s="11"/>
    </row>
    <row r="142" spans="1:20" outlineLevel="2">
      <c r="A142" s="7">
        <f t="shared" si="9"/>
        <v>137</v>
      </c>
      <c r="B142" s="7" t="s">
        <v>27</v>
      </c>
      <c r="C142" s="7" t="s">
        <v>79</v>
      </c>
      <c r="D142" s="13" t="s">
        <v>520</v>
      </c>
      <c r="E142" s="8" t="s">
        <v>521</v>
      </c>
      <c r="F142" s="28">
        <v>88696.06</v>
      </c>
      <c r="G142" s="9">
        <v>0</v>
      </c>
      <c r="H142" s="10">
        <f t="shared" si="7"/>
        <v>88696.06</v>
      </c>
      <c r="I142" s="9">
        <v>0</v>
      </c>
      <c r="K142" s="170">
        <f t="shared" si="8"/>
        <v>88696.06</v>
      </c>
      <c r="L142" s="170"/>
      <c r="M142" s="170"/>
      <c r="N142" s="8"/>
      <c r="O142" s="7"/>
      <c r="Q142" s="11"/>
    </row>
    <row r="143" spans="1:20" outlineLevel="2">
      <c r="A143" s="7">
        <f t="shared" si="9"/>
        <v>138</v>
      </c>
      <c r="B143" s="7" t="s">
        <v>27</v>
      </c>
      <c r="C143" s="7" t="s">
        <v>79</v>
      </c>
      <c r="D143" s="13" t="s">
        <v>522</v>
      </c>
      <c r="E143" s="8" t="s">
        <v>523</v>
      </c>
      <c r="F143" s="203">
        <v>2149403.61</v>
      </c>
      <c r="G143" s="9">
        <v>-1211250</v>
      </c>
      <c r="H143" s="10">
        <f t="shared" si="7"/>
        <v>938153.60999999987</v>
      </c>
      <c r="I143" s="9">
        <v>0</v>
      </c>
      <c r="K143" s="170">
        <f t="shared" si="8"/>
        <v>938153.60999999987</v>
      </c>
      <c r="L143" s="170"/>
      <c r="M143" s="170"/>
      <c r="N143" s="8"/>
      <c r="O143" s="7"/>
      <c r="Q143" s="11"/>
    </row>
    <row r="144" spans="1:20" outlineLevel="2">
      <c r="A144" s="7">
        <f t="shared" si="9"/>
        <v>139</v>
      </c>
      <c r="B144" s="7" t="s">
        <v>27</v>
      </c>
      <c r="C144" s="7" t="s">
        <v>79</v>
      </c>
      <c r="D144" s="13" t="s">
        <v>524</v>
      </c>
      <c r="E144" s="8" t="s">
        <v>525</v>
      </c>
      <c r="F144" s="203">
        <v>6813253.8399999999</v>
      </c>
      <c r="G144" s="9">
        <v>-1197121.81</v>
      </c>
      <c r="H144" s="10">
        <f t="shared" si="7"/>
        <v>5616132.0299999993</v>
      </c>
      <c r="I144" s="9">
        <v>0</v>
      </c>
      <c r="K144" s="170">
        <f t="shared" si="8"/>
        <v>5616132.0299999993</v>
      </c>
      <c r="L144" s="170"/>
      <c r="M144" s="170"/>
      <c r="N144" s="8"/>
      <c r="O144" s="7"/>
      <c r="Q144" s="11"/>
    </row>
    <row r="145" spans="1:17" outlineLevel="2">
      <c r="A145" s="7">
        <f t="shared" si="9"/>
        <v>140</v>
      </c>
      <c r="B145" s="7" t="s">
        <v>27</v>
      </c>
      <c r="C145" s="7" t="s">
        <v>79</v>
      </c>
      <c r="D145" s="13" t="s">
        <v>526</v>
      </c>
      <c r="E145" s="8" t="s">
        <v>527</v>
      </c>
      <c r="F145" s="203">
        <v>2092683.74</v>
      </c>
      <c r="G145" s="9">
        <v>-17146.990000000002</v>
      </c>
      <c r="H145" s="10">
        <f t="shared" si="7"/>
        <v>2075536.75</v>
      </c>
      <c r="I145" s="9">
        <v>0</v>
      </c>
      <c r="K145" s="170">
        <f t="shared" si="8"/>
        <v>2075536.75</v>
      </c>
      <c r="L145" s="170"/>
      <c r="M145" s="170"/>
      <c r="N145" s="8"/>
      <c r="O145" s="7"/>
      <c r="Q145" s="11"/>
    </row>
    <row r="146" spans="1:17" outlineLevel="2">
      <c r="A146" s="7">
        <f t="shared" si="9"/>
        <v>141</v>
      </c>
      <c r="B146" s="7" t="s">
        <v>27</v>
      </c>
      <c r="C146" s="7" t="s">
        <v>79</v>
      </c>
      <c r="D146" s="13" t="s">
        <v>528</v>
      </c>
      <c r="E146" s="8" t="s">
        <v>529</v>
      </c>
      <c r="F146" s="203">
        <v>579.42999999999995</v>
      </c>
      <c r="G146" s="9">
        <v>-579.42999999999995</v>
      </c>
      <c r="H146" s="10">
        <f t="shared" si="7"/>
        <v>0</v>
      </c>
      <c r="I146" s="9">
        <v>0</v>
      </c>
      <c r="K146" s="170">
        <f t="shared" si="8"/>
        <v>0</v>
      </c>
      <c r="L146" s="170"/>
      <c r="M146" s="170"/>
      <c r="N146" s="8"/>
      <c r="O146" s="7"/>
      <c r="Q146" s="11"/>
    </row>
    <row r="147" spans="1:17" outlineLevel="2">
      <c r="A147" s="7">
        <f t="shared" si="9"/>
        <v>142</v>
      </c>
      <c r="B147" s="7" t="s">
        <v>27</v>
      </c>
      <c r="C147" s="7" t="s">
        <v>79</v>
      </c>
      <c r="D147" s="13" t="s">
        <v>530</v>
      </c>
      <c r="E147" s="8" t="s">
        <v>531</v>
      </c>
      <c r="F147" s="203">
        <v>3529818.02</v>
      </c>
      <c r="G147" s="9">
        <v>-41652.43</v>
      </c>
      <c r="H147" s="10">
        <f t="shared" si="7"/>
        <v>3488165.59</v>
      </c>
      <c r="I147" s="9">
        <v>0</v>
      </c>
      <c r="K147" s="170">
        <f t="shared" si="8"/>
        <v>3488165.59</v>
      </c>
      <c r="L147" s="170"/>
      <c r="M147" s="170"/>
      <c r="N147" s="8"/>
      <c r="O147" s="7"/>
      <c r="Q147" s="11"/>
    </row>
    <row r="148" spans="1:17" outlineLevel="2">
      <c r="A148" s="7">
        <f t="shared" si="9"/>
        <v>143</v>
      </c>
      <c r="B148" s="7" t="s">
        <v>27</v>
      </c>
      <c r="C148" s="7" t="s">
        <v>79</v>
      </c>
      <c r="D148" s="13" t="s">
        <v>532</v>
      </c>
      <c r="E148" s="8" t="s">
        <v>533</v>
      </c>
      <c r="F148" s="203">
        <v>749767.78</v>
      </c>
      <c r="G148" s="9">
        <v>-494847</v>
      </c>
      <c r="H148" s="10">
        <f t="shared" si="7"/>
        <v>254920.78000000003</v>
      </c>
      <c r="I148" s="9">
        <v>0</v>
      </c>
      <c r="K148" s="170">
        <f t="shared" si="8"/>
        <v>254920.78000000003</v>
      </c>
      <c r="L148" s="170"/>
      <c r="M148" s="170"/>
      <c r="O148" s="7"/>
      <c r="Q148" s="11"/>
    </row>
    <row r="149" spans="1:17" outlineLevel="2">
      <c r="A149" s="7">
        <f t="shared" si="9"/>
        <v>144</v>
      </c>
      <c r="B149" s="7" t="s">
        <v>27</v>
      </c>
      <c r="C149" s="7" t="s">
        <v>79</v>
      </c>
      <c r="D149" s="13" t="s">
        <v>534</v>
      </c>
      <c r="E149" s="8" t="s">
        <v>535</v>
      </c>
      <c r="F149" s="203">
        <v>5508482</v>
      </c>
      <c r="G149" s="9">
        <v>-164228.81</v>
      </c>
      <c r="H149" s="10">
        <f t="shared" si="7"/>
        <v>5344253.1900000004</v>
      </c>
      <c r="I149" s="9">
        <v>0</v>
      </c>
      <c r="K149" s="170">
        <f t="shared" si="8"/>
        <v>5344253.1900000004</v>
      </c>
      <c r="L149" s="170"/>
      <c r="M149" s="170"/>
      <c r="N149" s="8"/>
      <c r="O149" s="7"/>
      <c r="Q149" s="11"/>
    </row>
    <row r="150" spans="1:17" outlineLevel="2">
      <c r="A150" s="7">
        <f t="shared" si="9"/>
        <v>145</v>
      </c>
      <c r="B150" s="7" t="s">
        <v>27</v>
      </c>
      <c r="C150" s="7" t="s">
        <v>79</v>
      </c>
      <c r="D150" s="13" t="s">
        <v>536</v>
      </c>
      <c r="E150" s="8" t="s">
        <v>537</v>
      </c>
      <c r="F150" s="203">
        <v>4318483.83</v>
      </c>
      <c r="G150" s="9">
        <v>0</v>
      </c>
      <c r="H150" s="10">
        <f t="shared" si="7"/>
        <v>4318483.83</v>
      </c>
      <c r="I150" s="9">
        <v>0</v>
      </c>
      <c r="K150" s="170">
        <f t="shared" si="8"/>
        <v>4318483.83</v>
      </c>
      <c r="L150" s="170"/>
      <c r="M150" s="170"/>
      <c r="N150" s="8"/>
      <c r="O150" s="7"/>
      <c r="Q150" s="11"/>
    </row>
    <row r="151" spans="1:17" ht="12.75" customHeight="1" outlineLevel="2">
      <c r="A151" s="7">
        <f t="shared" si="9"/>
        <v>146</v>
      </c>
      <c r="B151" s="7" t="s">
        <v>27</v>
      </c>
      <c r="C151" s="7" t="s">
        <v>79</v>
      </c>
      <c r="D151" s="13" t="s">
        <v>538</v>
      </c>
      <c r="E151" s="8" t="s">
        <v>539</v>
      </c>
      <c r="F151" s="203">
        <v>1235034.1000000001</v>
      </c>
      <c r="G151" s="9">
        <v>-586376.6</v>
      </c>
      <c r="H151" s="10">
        <f t="shared" si="7"/>
        <v>648657.50000000012</v>
      </c>
      <c r="I151" s="9">
        <v>0</v>
      </c>
      <c r="K151" s="170">
        <f t="shared" si="8"/>
        <v>648657.50000000012</v>
      </c>
      <c r="L151" s="170"/>
      <c r="M151" s="170"/>
      <c r="N151" s="8"/>
      <c r="O151" s="7"/>
      <c r="Q151" s="11"/>
    </row>
    <row r="152" spans="1:17" outlineLevel="2">
      <c r="A152" s="7">
        <f t="shared" si="9"/>
        <v>147</v>
      </c>
      <c r="B152" s="7" t="s">
        <v>27</v>
      </c>
      <c r="C152" s="7" t="s">
        <v>79</v>
      </c>
      <c r="D152" s="13" t="s">
        <v>540</v>
      </c>
      <c r="E152" s="8" t="s">
        <v>541</v>
      </c>
      <c r="F152" s="28">
        <v>28177761.109999999</v>
      </c>
      <c r="G152" s="9">
        <v>0</v>
      </c>
      <c r="H152" s="10">
        <f t="shared" si="7"/>
        <v>28177761.109999999</v>
      </c>
      <c r="I152" s="9">
        <v>0</v>
      </c>
      <c r="K152" s="170">
        <f t="shared" si="8"/>
        <v>28177761.109999999</v>
      </c>
      <c r="L152" s="170"/>
      <c r="M152" s="170"/>
      <c r="N152" s="8"/>
      <c r="O152" s="7"/>
      <c r="Q152" s="11"/>
    </row>
    <row r="153" spans="1:17" outlineLevel="2">
      <c r="A153" s="7">
        <f t="shared" si="9"/>
        <v>148</v>
      </c>
      <c r="B153" s="7" t="s">
        <v>27</v>
      </c>
      <c r="C153" s="7" t="s">
        <v>79</v>
      </c>
      <c r="D153" s="13" t="s">
        <v>542</v>
      </c>
      <c r="E153" s="8" t="s">
        <v>543</v>
      </c>
      <c r="F153" s="203">
        <v>4407240.51</v>
      </c>
      <c r="G153" s="9">
        <v>-40435</v>
      </c>
      <c r="H153" s="10">
        <f t="shared" si="7"/>
        <v>4366805.51</v>
      </c>
      <c r="I153" s="9">
        <v>0</v>
      </c>
      <c r="K153" s="170">
        <f t="shared" si="8"/>
        <v>4366805.51</v>
      </c>
      <c r="L153" s="170"/>
      <c r="M153" s="170"/>
      <c r="N153" s="8"/>
      <c r="O153" s="7"/>
      <c r="Q153" s="11"/>
    </row>
    <row r="154" spans="1:17" outlineLevel="2">
      <c r="A154" s="7">
        <f t="shared" si="9"/>
        <v>149</v>
      </c>
      <c r="B154" s="7" t="s">
        <v>27</v>
      </c>
      <c r="C154" s="7" t="s">
        <v>79</v>
      </c>
      <c r="D154" s="13" t="s">
        <v>544</v>
      </c>
      <c r="E154" s="8" t="s">
        <v>545</v>
      </c>
      <c r="F154" s="203">
        <v>7507076.0999999996</v>
      </c>
      <c r="G154" s="9">
        <v>-1303750.56</v>
      </c>
      <c r="H154" s="10">
        <f t="shared" si="7"/>
        <v>6203325.5399999991</v>
      </c>
      <c r="I154" s="9">
        <v>0</v>
      </c>
      <c r="K154" s="170">
        <f t="shared" si="8"/>
        <v>6203325.5399999991</v>
      </c>
      <c r="L154" s="170"/>
      <c r="M154" s="170"/>
      <c r="N154" s="8"/>
      <c r="O154" s="7"/>
      <c r="Q154" s="11"/>
    </row>
    <row r="155" spans="1:17" outlineLevel="2">
      <c r="A155" s="7">
        <f t="shared" si="9"/>
        <v>150</v>
      </c>
      <c r="B155" s="7" t="s">
        <v>27</v>
      </c>
      <c r="C155" s="7" t="s">
        <v>79</v>
      </c>
      <c r="D155" s="13" t="s">
        <v>546</v>
      </c>
      <c r="E155" s="8" t="s">
        <v>547</v>
      </c>
      <c r="F155" s="203">
        <v>253710.27</v>
      </c>
      <c r="G155" s="9">
        <v>0</v>
      </c>
      <c r="H155" s="10">
        <f t="shared" si="7"/>
        <v>253710.27</v>
      </c>
      <c r="I155" s="9">
        <v>0</v>
      </c>
      <c r="K155" s="170">
        <f t="shared" si="8"/>
        <v>253710.27</v>
      </c>
      <c r="L155" s="170"/>
      <c r="M155" s="170"/>
      <c r="N155" s="8"/>
      <c r="O155" s="7"/>
      <c r="Q155" s="11"/>
    </row>
    <row r="156" spans="1:17" outlineLevel="2">
      <c r="A156" s="7">
        <f t="shared" si="9"/>
        <v>151</v>
      </c>
      <c r="B156" s="7" t="s">
        <v>27</v>
      </c>
      <c r="C156" s="7" t="s">
        <v>79</v>
      </c>
      <c r="D156" s="13" t="s">
        <v>548</v>
      </c>
      <c r="E156" s="8" t="s">
        <v>549</v>
      </c>
      <c r="F156" s="203">
        <v>13833713.08</v>
      </c>
      <c r="G156" s="9">
        <v>0</v>
      </c>
      <c r="H156" s="10">
        <f t="shared" si="7"/>
        <v>13833713.08</v>
      </c>
      <c r="I156" s="9">
        <v>0</v>
      </c>
      <c r="K156" s="170">
        <f t="shared" si="8"/>
        <v>13833713.08</v>
      </c>
      <c r="L156" s="170"/>
      <c r="M156" s="170"/>
      <c r="O156" s="7"/>
      <c r="Q156" s="11"/>
    </row>
    <row r="157" spans="1:17" outlineLevel="2">
      <c r="A157" s="7">
        <f t="shared" si="9"/>
        <v>152</v>
      </c>
      <c r="B157" s="7" t="s">
        <v>27</v>
      </c>
      <c r="C157" s="7" t="s">
        <v>79</v>
      </c>
      <c r="D157" s="13" t="s">
        <v>550</v>
      </c>
      <c r="E157" s="8" t="s">
        <v>551</v>
      </c>
      <c r="F157" s="203">
        <v>17659237.890000001</v>
      </c>
      <c r="G157" s="9">
        <v>-163144</v>
      </c>
      <c r="H157" s="10">
        <f t="shared" si="7"/>
        <v>17496093.890000001</v>
      </c>
      <c r="I157" s="9">
        <v>0</v>
      </c>
      <c r="K157" s="170">
        <f t="shared" si="8"/>
        <v>17496093.890000001</v>
      </c>
      <c r="L157" s="170"/>
      <c r="M157" s="170"/>
      <c r="N157" s="8"/>
      <c r="O157" s="7"/>
      <c r="Q157" s="11"/>
    </row>
    <row r="158" spans="1:17" outlineLevel="2">
      <c r="A158" s="7">
        <f t="shared" si="9"/>
        <v>153</v>
      </c>
      <c r="B158" s="7" t="s">
        <v>27</v>
      </c>
      <c r="C158" s="7" t="s">
        <v>79</v>
      </c>
      <c r="D158" s="13" t="s">
        <v>552</v>
      </c>
      <c r="E158" s="8" t="s">
        <v>553</v>
      </c>
      <c r="F158" s="203">
        <v>1757750.27</v>
      </c>
      <c r="G158" s="9">
        <v>0</v>
      </c>
      <c r="H158" s="10">
        <f t="shared" si="7"/>
        <v>1757750.27</v>
      </c>
      <c r="I158" s="9">
        <v>0</v>
      </c>
      <c r="K158" s="170">
        <f t="shared" si="8"/>
        <v>1757750.27</v>
      </c>
      <c r="L158" s="170"/>
      <c r="M158" s="170"/>
      <c r="O158" s="7"/>
      <c r="Q158" s="11"/>
    </row>
    <row r="159" spans="1:17" outlineLevel="2">
      <c r="A159" s="7">
        <f t="shared" si="9"/>
        <v>154</v>
      </c>
      <c r="B159" s="7" t="s">
        <v>27</v>
      </c>
      <c r="C159" s="7" t="s">
        <v>79</v>
      </c>
      <c r="D159" s="13" t="s">
        <v>554</v>
      </c>
      <c r="E159" s="8" t="s">
        <v>555</v>
      </c>
      <c r="F159" s="203">
        <v>15403790.310000001</v>
      </c>
      <c r="G159" s="9">
        <v>0</v>
      </c>
      <c r="H159" s="10">
        <f t="shared" si="7"/>
        <v>15403790.310000001</v>
      </c>
      <c r="I159" s="9">
        <v>0</v>
      </c>
      <c r="K159" s="170">
        <f t="shared" si="8"/>
        <v>15403790.310000001</v>
      </c>
      <c r="L159" s="170"/>
      <c r="M159" s="170"/>
      <c r="O159" s="7"/>
      <c r="Q159" s="11"/>
    </row>
    <row r="160" spans="1:17" outlineLevel="2">
      <c r="A160" s="7">
        <f t="shared" si="9"/>
        <v>155</v>
      </c>
      <c r="B160" s="7" t="s">
        <v>27</v>
      </c>
      <c r="C160" s="7" t="s">
        <v>79</v>
      </c>
      <c r="D160" s="13" t="s">
        <v>556</v>
      </c>
      <c r="E160" s="8" t="s">
        <v>557</v>
      </c>
      <c r="F160" s="203">
        <v>18824369.579999998</v>
      </c>
      <c r="G160" s="9">
        <v>0</v>
      </c>
      <c r="H160" s="10">
        <f t="shared" si="7"/>
        <v>18824369.579999998</v>
      </c>
      <c r="I160" s="9">
        <v>0</v>
      </c>
      <c r="K160" s="170">
        <f t="shared" si="8"/>
        <v>18824369.579999998</v>
      </c>
      <c r="L160" s="170"/>
      <c r="M160" s="170"/>
      <c r="O160" s="7"/>
      <c r="Q160" s="11"/>
    </row>
    <row r="161" spans="1:17" outlineLevel="2">
      <c r="A161" s="7">
        <f t="shared" si="9"/>
        <v>156</v>
      </c>
      <c r="B161" s="7" t="s">
        <v>27</v>
      </c>
      <c r="C161" s="7" t="s">
        <v>79</v>
      </c>
      <c r="D161" s="13" t="s">
        <v>558</v>
      </c>
      <c r="E161" s="8" t="s">
        <v>559</v>
      </c>
      <c r="F161" s="203">
        <v>269023.35999999999</v>
      </c>
      <c r="G161" s="9">
        <v>0</v>
      </c>
      <c r="H161" s="10">
        <f t="shared" si="7"/>
        <v>269023.35999999999</v>
      </c>
      <c r="I161" s="9">
        <v>0</v>
      </c>
      <c r="K161" s="170">
        <f t="shared" si="8"/>
        <v>269023.35999999999</v>
      </c>
      <c r="L161" s="170"/>
      <c r="M161" s="170"/>
      <c r="O161" s="7"/>
      <c r="Q161" s="11"/>
    </row>
    <row r="162" spans="1:17" ht="12.75" customHeight="1" outlineLevel="2">
      <c r="A162" s="7">
        <f t="shared" si="9"/>
        <v>157</v>
      </c>
      <c r="B162" s="7" t="s">
        <v>27</v>
      </c>
      <c r="C162" s="7" t="s">
        <v>79</v>
      </c>
      <c r="D162" s="13" t="s">
        <v>560</v>
      </c>
      <c r="E162" s="8" t="s">
        <v>561</v>
      </c>
      <c r="F162" s="203">
        <v>24385266.469999999</v>
      </c>
      <c r="G162" s="9">
        <v>-1922930</v>
      </c>
      <c r="H162" s="10">
        <f t="shared" si="7"/>
        <v>22462336.469999999</v>
      </c>
      <c r="I162" s="9">
        <v>0</v>
      </c>
      <c r="K162" s="170">
        <f t="shared" si="8"/>
        <v>22462336.469999999</v>
      </c>
      <c r="L162" s="170"/>
      <c r="M162" s="170"/>
      <c r="N162" s="8"/>
      <c r="O162" s="7"/>
      <c r="Q162" s="11"/>
    </row>
    <row r="163" spans="1:17" outlineLevel="2">
      <c r="A163" s="7">
        <f t="shared" si="9"/>
        <v>158</v>
      </c>
      <c r="B163" s="7" t="s">
        <v>27</v>
      </c>
      <c r="C163" s="7" t="s">
        <v>79</v>
      </c>
      <c r="D163" s="13" t="s">
        <v>562</v>
      </c>
      <c r="E163" s="8" t="s">
        <v>563</v>
      </c>
      <c r="F163" s="203">
        <v>1517924.97</v>
      </c>
      <c r="G163" s="9">
        <v>-43752</v>
      </c>
      <c r="H163" s="10">
        <f t="shared" si="7"/>
        <v>1474172.97</v>
      </c>
      <c r="I163" s="9">
        <v>0</v>
      </c>
      <c r="K163" s="170">
        <f t="shared" si="8"/>
        <v>1474172.97</v>
      </c>
      <c r="L163" s="170"/>
      <c r="M163" s="170"/>
      <c r="N163" s="8"/>
      <c r="O163" s="7"/>
      <c r="Q163" s="11"/>
    </row>
    <row r="164" spans="1:17" outlineLevel="2">
      <c r="A164" s="7">
        <f t="shared" si="9"/>
        <v>159</v>
      </c>
      <c r="B164" s="7" t="s">
        <v>27</v>
      </c>
      <c r="C164" s="7" t="s">
        <v>79</v>
      </c>
      <c r="D164" s="13" t="s">
        <v>564</v>
      </c>
      <c r="E164" s="8" t="s">
        <v>565</v>
      </c>
      <c r="F164" s="203">
        <v>6180010.5999999996</v>
      </c>
      <c r="G164" s="9">
        <v>-326876.78999999998</v>
      </c>
      <c r="H164" s="10">
        <f t="shared" si="7"/>
        <v>5853133.8099999996</v>
      </c>
      <c r="I164" s="9">
        <v>0</v>
      </c>
      <c r="K164" s="170">
        <f t="shared" si="8"/>
        <v>5853133.8099999996</v>
      </c>
      <c r="L164" s="170"/>
      <c r="M164" s="170"/>
      <c r="N164" s="8"/>
      <c r="O164" s="7"/>
      <c r="Q164" s="11"/>
    </row>
    <row r="165" spans="1:17" outlineLevel="2">
      <c r="A165" s="7">
        <f t="shared" si="9"/>
        <v>160</v>
      </c>
      <c r="B165" s="7" t="s">
        <v>27</v>
      </c>
      <c r="C165" s="7" t="s">
        <v>79</v>
      </c>
      <c r="D165" s="13" t="s">
        <v>566</v>
      </c>
      <c r="E165" s="8" t="s">
        <v>567</v>
      </c>
      <c r="F165" s="203">
        <v>8524818.9399999995</v>
      </c>
      <c r="G165" s="9">
        <v>0</v>
      </c>
      <c r="H165" s="10">
        <f t="shared" si="7"/>
        <v>8524818.9399999995</v>
      </c>
      <c r="I165" s="9">
        <v>0</v>
      </c>
      <c r="K165" s="170">
        <f t="shared" si="8"/>
        <v>8524818.9399999995</v>
      </c>
      <c r="L165" s="170"/>
      <c r="M165" s="170"/>
      <c r="N165" s="8"/>
      <c r="O165" s="7"/>
      <c r="Q165" s="11"/>
    </row>
    <row r="166" spans="1:17" outlineLevel="2">
      <c r="A166" s="7">
        <f t="shared" si="9"/>
        <v>161</v>
      </c>
      <c r="B166" s="7" t="s">
        <v>27</v>
      </c>
      <c r="C166" s="7" t="s">
        <v>79</v>
      </c>
      <c r="D166" s="13" t="s">
        <v>568</v>
      </c>
      <c r="E166" s="8" t="s">
        <v>569</v>
      </c>
      <c r="F166" s="203">
        <v>6872496.5700000003</v>
      </c>
      <c r="G166" s="9">
        <v>-59777.35</v>
      </c>
      <c r="H166" s="10">
        <f t="shared" si="7"/>
        <v>6812719.2200000007</v>
      </c>
      <c r="I166" s="9">
        <v>0</v>
      </c>
      <c r="K166" s="170">
        <f t="shared" si="8"/>
        <v>6812719.2200000007</v>
      </c>
      <c r="L166" s="170"/>
      <c r="M166" s="170"/>
      <c r="N166" s="8"/>
      <c r="O166" s="7"/>
      <c r="Q166" s="11"/>
    </row>
    <row r="167" spans="1:17" outlineLevel="2">
      <c r="A167" s="7">
        <f t="shared" si="9"/>
        <v>162</v>
      </c>
      <c r="B167" s="7" t="s">
        <v>27</v>
      </c>
      <c r="C167" s="7" t="s">
        <v>79</v>
      </c>
      <c r="D167" s="13" t="s">
        <v>570</v>
      </c>
      <c r="E167" s="8" t="s">
        <v>571</v>
      </c>
      <c r="F167" s="203">
        <v>10832.21</v>
      </c>
      <c r="G167" s="9">
        <v>0</v>
      </c>
      <c r="H167" s="10">
        <f t="shared" si="7"/>
        <v>10832.21</v>
      </c>
      <c r="I167" s="9">
        <v>0</v>
      </c>
      <c r="K167" s="170">
        <f t="shared" si="8"/>
        <v>10832.21</v>
      </c>
      <c r="L167" s="170"/>
      <c r="M167" s="170"/>
      <c r="N167" s="8"/>
      <c r="O167" s="7"/>
      <c r="Q167" s="11"/>
    </row>
    <row r="168" spans="1:17" outlineLevel="2">
      <c r="A168" s="7">
        <f t="shared" si="9"/>
        <v>163</v>
      </c>
      <c r="B168" s="7" t="s">
        <v>27</v>
      </c>
      <c r="C168" s="7" t="s">
        <v>79</v>
      </c>
      <c r="D168" s="13" t="s">
        <v>572</v>
      </c>
      <c r="E168" s="8" t="s">
        <v>573</v>
      </c>
      <c r="F168" s="203">
        <v>3925050.18</v>
      </c>
      <c r="G168" s="9">
        <v>-143716.45000000001</v>
      </c>
      <c r="H168" s="10">
        <f t="shared" si="7"/>
        <v>3781333.73</v>
      </c>
      <c r="I168" s="9">
        <v>0</v>
      </c>
      <c r="K168" s="170">
        <f t="shared" si="8"/>
        <v>3781333.73</v>
      </c>
      <c r="L168" s="170"/>
      <c r="M168" s="170"/>
      <c r="N168" s="8"/>
      <c r="O168" s="7"/>
      <c r="Q168" s="11"/>
    </row>
    <row r="169" spans="1:17" outlineLevel="2">
      <c r="A169" s="7">
        <f t="shared" si="9"/>
        <v>164</v>
      </c>
      <c r="B169" s="7" t="s">
        <v>27</v>
      </c>
      <c r="C169" s="7" t="s">
        <v>79</v>
      </c>
      <c r="D169" s="13" t="s">
        <v>574</v>
      </c>
      <c r="E169" s="8" t="s">
        <v>575</v>
      </c>
      <c r="F169" s="203">
        <v>13557476.24</v>
      </c>
      <c r="G169" s="9">
        <v>-786535.83</v>
      </c>
      <c r="H169" s="10">
        <f t="shared" si="7"/>
        <v>12770940.41</v>
      </c>
      <c r="I169" s="9">
        <v>0</v>
      </c>
      <c r="K169" s="170">
        <f t="shared" si="8"/>
        <v>12770940.41</v>
      </c>
      <c r="L169" s="170"/>
      <c r="M169" s="170"/>
      <c r="Q169" s="11"/>
    </row>
    <row r="170" spans="1:17" outlineLevel="2">
      <c r="A170" s="7">
        <f t="shared" si="9"/>
        <v>165</v>
      </c>
      <c r="B170" s="7" t="s">
        <v>27</v>
      </c>
      <c r="C170" s="7" t="s">
        <v>79</v>
      </c>
      <c r="D170" s="13" t="s">
        <v>576</v>
      </c>
      <c r="E170" s="8" t="s">
        <v>577</v>
      </c>
      <c r="F170" s="203">
        <v>25604830.550000001</v>
      </c>
      <c r="G170" s="9">
        <v>-1112294</v>
      </c>
      <c r="H170" s="10">
        <f t="shared" si="7"/>
        <v>24492536.550000001</v>
      </c>
      <c r="I170" s="9">
        <v>0</v>
      </c>
      <c r="K170" s="170">
        <f t="shared" si="8"/>
        <v>24492536.550000001</v>
      </c>
      <c r="L170" s="170"/>
      <c r="M170" s="170"/>
      <c r="N170" s="8"/>
      <c r="O170" s="7"/>
      <c r="Q170" s="11"/>
    </row>
    <row r="171" spans="1:17" outlineLevel="2">
      <c r="A171" s="7">
        <f t="shared" si="9"/>
        <v>166</v>
      </c>
      <c r="B171" s="7" t="s">
        <v>27</v>
      </c>
      <c r="C171" s="7" t="s">
        <v>79</v>
      </c>
      <c r="D171" s="13" t="s">
        <v>578</v>
      </c>
      <c r="E171" s="8" t="s">
        <v>579</v>
      </c>
      <c r="F171" s="203">
        <v>7118009.3099999996</v>
      </c>
      <c r="G171" s="9">
        <v>-1181101.42</v>
      </c>
      <c r="H171" s="10">
        <f t="shared" si="7"/>
        <v>5936907.8899999997</v>
      </c>
      <c r="I171" s="9">
        <v>0</v>
      </c>
      <c r="K171" s="170">
        <f t="shared" si="8"/>
        <v>5936907.8899999997</v>
      </c>
      <c r="L171" s="170"/>
      <c r="M171" s="170"/>
      <c r="N171" s="8"/>
      <c r="O171" s="7"/>
      <c r="Q171" s="11"/>
    </row>
    <row r="172" spans="1:17" outlineLevel="2">
      <c r="A172" s="7">
        <f t="shared" si="9"/>
        <v>167</v>
      </c>
      <c r="B172" s="7" t="s">
        <v>27</v>
      </c>
      <c r="C172" s="7" t="s">
        <v>79</v>
      </c>
      <c r="D172" s="13" t="s">
        <v>580</v>
      </c>
      <c r="E172" s="8" t="s">
        <v>581</v>
      </c>
      <c r="F172" s="203">
        <v>3946074.33</v>
      </c>
      <c r="G172" s="9">
        <v>-1642332.21</v>
      </c>
      <c r="H172" s="10">
        <f t="shared" si="7"/>
        <v>2303742.12</v>
      </c>
      <c r="I172" s="9">
        <v>0</v>
      </c>
      <c r="K172" s="170">
        <f t="shared" si="8"/>
        <v>2303742.12</v>
      </c>
      <c r="L172" s="170"/>
      <c r="M172" s="170"/>
      <c r="N172" s="8"/>
      <c r="O172" s="7"/>
      <c r="Q172" s="11"/>
    </row>
    <row r="173" spans="1:17" outlineLevel="2">
      <c r="A173" s="7">
        <f t="shared" si="9"/>
        <v>168</v>
      </c>
      <c r="B173" s="7" t="s">
        <v>27</v>
      </c>
      <c r="C173" s="7" t="s">
        <v>79</v>
      </c>
      <c r="D173" s="13" t="s">
        <v>582</v>
      </c>
      <c r="E173" s="8" t="s">
        <v>583</v>
      </c>
      <c r="F173" s="203">
        <v>3934101.14</v>
      </c>
      <c r="G173" s="9">
        <v>-158721.51</v>
      </c>
      <c r="H173" s="10">
        <f t="shared" si="7"/>
        <v>3775379.63</v>
      </c>
      <c r="I173" s="9">
        <v>0</v>
      </c>
      <c r="K173" s="170">
        <f t="shared" si="8"/>
        <v>3775379.63</v>
      </c>
      <c r="L173" s="170"/>
      <c r="M173" s="170"/>
      <c r="N173" s="8"/>
      <c r="O173" s="7"/>
      <c r="Q173" s="11"/>
    </row>
    <row r="174" spans="1:17" outlineLevel="2">
      <c r="A174" s="7">
        <f t="shared" si="9"/>
        <v>169</v>
      </c>
      <c r="B174" s="7" t="s">
        <v>27</v>
      </c>
      <c r="C174" s="7" t="s">
        <v>79</v>
      </c>
      <c r="D174" s="13" t="s">
        <v>584</v>
      </c>
      <c r="E174" s="8" t="s">
        <v>585</v>
      </c>
      <c r="F174" s="203">
        <v>11108747.65</v>
      </c>
      <c r="G174" s="9">
        <v>0</v>
      </c>
      <c r="H174" s="10">
        <f t="shared" si="7"/>
        <v>11108747.65</v>
      </c>
      <c r="I174" s="9">
        <v>0</v>
      </c>
      <c r="K174" s="170">
        <f t="shared" si="8"/>
        <v>11108747.65</v>
      </c>
      <c r="L174" s="170"/>
      <c r="M174" s="170"/>
      <c r="N174" s="8"/>
      <c r="O174" s="7"/>
      <c r="Q174" s="11"/>
    </row>
    <row r="175" spans="1:17" outlineLevel="2">
      <c r="A175" s="7">
        <f t="shared" si="9"/>
        <v>170</v>
      </c>
      <c r="B175" s="7" t="s">
        <v>27</v>
      </c>
      <c r="C175" s="7" t="s">
        <v>79</v>
      </c>
      <c r="D175" s="13" t="s">
        <v>586</v>
      </c>
      <c r="E175" s="8" t="s">
        <v>587</v>
      </c>
      <c r="F175" s="203">
        <v>29969.23</v>
      </c>
      <c r="G175" s="9">
        <v>0</v>
      </c>
      <c r="H175" s="10">
        <f t="shared" si="7"/>
        <v>29969.23</v>
      </c>
      <c r="I175" s="9">
        <v>0</v>
      </c>
      <c r="K175" s="170">
        <f t="shared" si="8"/>
        <v>29969.23</v>
      </c>
      <c r="L175" s="170"/>
      <c r="M175" s="170"/>
      <c r="N175" s="8"/>
      <c r="O175" s="7"/>
      <c r="Q175" s="11"/>
    </row>
    <row r="176" spans="1:17" outlineLevel="2">
      <c r="A176" s="7">
        <f t="shared" si="9"/>
        <v>171</v>
      </c>
      <c r="B176" s="7" t="s">
        <v>27</v>
      </c>
      <c r="C176" s="7" t="s">
        <v>79</v>
      </c>
      <c r="D176" s="13" t="s">
        <v>588</v>
      </c>
      <c r="E176" s="8" t="s">
        <v>589</v>
      </c>
      <c r="F176" s="203">
        <v>41335.040000000001</v>
      </c>
      <c r="G176" s="9">
        <v>0</v>
      </c>
      <c r="H176" s="10">
        <f t="shared" si="7"/>
        <v>41335.040000000001</v>
      </c>
      <c r="I176" s="9">
        <v>0</v>
      </c>
      <c r="K176" s="170">
        <f t="shared" si="8"/>
        <v>41335.040000000001</v>
      </c>
      <c r="L176" s="170"/>
      <c r="M176" s="170"/>
      <c r="O176" s="7"/>
      <c r="Q176" s="11"/>
    </row>
    <row r="177" spans="1:17" outlineLevel="2">
      <c r="A177" s="7">
        <f t="shared" si="9"/>
        <v>172</v>
      </c>
      <c r="B177" s="7" t="s">
        <v>27</v>
      </c>
      <c r="C177" s="7" t="s">
        <v>79</v>
      </c>
      <c r="D177" s="13" t="s">
        <v>590</v>
      </c>
      <c r="E177" s="8" t="s">
        <v>591</v>
      </c>
      <c r="F177" s="203">
        <v>6531404.9400000004</v>
      </c>
      <c r="G177" s="9">
        <v>-836290</v>
      </c>
      <c r="H177" s="10">
        <f t="shared" ref="H177:H231" si="10">F177+G177</f>
        <v>5695114.9400000004</v>
      </c>
      <c r="I177" s="9">
        <v>0</v>
      </c>
      <c r="K177" s="170">
        <f t="shared" ref="K177:K231" si="11">SUM(H177:J177)</f>
        <v>5695114.9400000004</v>
      </c>
      <c r="L177" s="170"/>
      <c r="M177" s="170"/>
      <c r="N177" s="8"/>
      <c r="O177" s="7"/>
      <c r="Q177" s="11"/>
    </row>
    <row r="178" spans="1:17" outlineLevel="2">
      <c r="A178" s="7">
        <f t="shared" si="9"/>
        <v>173</v>
      </c>
      <c r="B178" s="7" t="s">
        <v>27</v>
      </c>
      <c r="C178" s="7" t="s">
        <v>79</v>
      </c>
      <c r="D178" s="13" t="s">
        <v>592</v>
      </c>
      <c r="E178" s="8" t="s">
        <v>593</v>
      </c>
      <c r="F178" s="203">
        <v>9648450.7699999996</v>
      </c>
      <c r="G178" s="9">
        <v>-343742</v>
      </c>
      <c r="H178" s="10">
        <f t="shared" si="10"/>
        <v>9304708.7699999996</v>
      </c>
      <c r="I178" s="9">
        <v>0</v>
      </c>
      <c r="K178" s="170">
        <f t="shared" si="11"/>
        <v>9304708.7699999996</v>
      </c>
      <c r="L178" s="170"/>
      <c r="M178" s="170"/>
      <c r="N178" s="8"/>
      <c r="O178" s="7"/>
      <c r="Q178" s="11"/>
    </row>
    <row r="179" spans="1:17" outlineLevel="2">
      <c r="A179" s="7">
        <f t="shared" si="9"/>
        <v>174</v>
      </c>
      <c r="B179" s="7" t="s">
        <v>27</v>
      </c>
      <c r="C179" s="7" t="s">
        <v>79</v>
      </c>
      <c r="D179" s="13" t="s">
        <v>594</v>
      </c>
      <c r="E179" s="8" t="s">
        <v>595</v>
      </c>
      <c r="F179" s="203">
        <v>1333800.8</v>
      </c>
      <c r="G179" s="9">
        <v>-154097</v>
      </c>
      <c r="H179" s="10">
        <f t="shared" si="10"/>
        <v>1179703.8</v>
      </c>
      <c r="I179" s="9">
        <v>0</v>
      </c>
      <c r="K179" s="170">
        <f t="shared" si="11"/>
        <v>1179703.8</v>
      </c>
      <c r="L179" s="170"/>
      <c r="M179" s="170"/>
      <c r="O179" s="7"/>
      <c r="Q179" s="11"/>
    </row>
    <row r="180" spans="1:17" outlineLevel="2">
      <c r="A180" s="7">
        <f t="shared" si="9"/>
        <v>175</v>
      </c>
      <c r="B180" s="7" t="s">
        <v>27</v>
      </c>
      <c r="C180" s="7" t="s">
        <v>79</v>
      </c>
      <c r="D180" s="13" t="s">
        <v>596</v>
      </c>
      <c r="E180" s="8" t="s">
        <v>597</v>
      </c>
      <c r="F180" s="203">
        <v>7904070.5800000001</v>
      </c>
      <c r="G180" s="9">
        <v>0</v>
      </c>
      <c r="H180" s="10">
        <f t="shared" si="10"/>
        <v>7904070.5800000001</v>
      </c>
      <c r="I180" s="9">
        <v>0</v>
      </c>
      <c r="K180" s="170">
        <f t="shared" si="11"/>
        <v>7904070.5800000001</v>
      </c>
      <c r="L180" s="170"/>
      <c r="M180" s="170"/>
      <c r="O180" s="7"/>
      <c r="Q180" s="11"/>
    </row>
    <row r="181" spans="1:17" outlineLevel="2">
      <c r="A181" s="7">
        <f t="shared" si="9"/>
        <v>176</v>
      </c>
      <c r="B181" s="7" t="s">
        <v>27</v>
      </c>
      <c r="C181" s="7" t="s">
        <v>79</v>
      </c>
      <c r="D181" s="13" t="s">
        <v>598</v>
      </c>
      <c r="E181" s="8" t="s">
        <v>599</v>
      </c>
      <c r="F181" s="203">
        <v>1318129.4099999999</v>
      </c>
      <c r="G181" s="9">
        <v>0</v>
      </c>
      <c r="H181" s="10">
        <f t="shared" si="10"/>
        <v>1318129.4099999999</v>
      </c>
      <c r="I181" s="9">
        <v>0</v>
      </c>
      <c r="K181" s="170">
        <f t="shared" si="11"/>
        <v>1318129.4099999999</v>
      </c>
      <c r="L181" s="170"/>
      <c r="M181" s="170"/>
      <c r="O181" s="7"/>
      <c r="Q181" s="11"/>
    </row>
    <row r="182" spans="1:17" outlineLevel="2">
      <c r="A182" s="7">
        <f t="shared" si="9"/>
        <v>177</v>
      </c>
      <c r="B182" s="7" t="s">
        <v>27</v>
      </c>
      <c r="C182" s="7" t="s">
        <v>79</v>
      </c>
      <c r="D182" s="13" t="s">
        <v>600</v>
      </c>
      <c r="E182" s="8" t="s">
        <v>601</v>
      </c>
      <c r="F182" s="203">
        <v>5381273.4699999997</v>
      </c>
      <c r="G182" s="9">
        <v>0</v>
      </c>
      <c r="H182" s="10">
        <f t="shared" si="10"/>
        <v>5381273.4699999997</v>
      </c>
      <c r="I182" s="9">
        <v>0</v>
      </c>
      <c r="K182" s="170">
        <f t="shared" si="11"/>
        <v>5381273.4699999997</v>
      </c>
      <c r="L182" s="170"/>
      <c r="M182" s="170"/>
      <c r="O182" s="7"/>
      <c r="Q182" s="11"/>
    </row>
    <row r="183" spans="1:17" outlineLevel="2">
      <c r="A183" s="7">
        <f t="shared" si="9"/>
        <v>178</v>
      </c>
      <c r="B183" s="7" t="s">
        <v>27</v>
      </c>
      <c r="C183" s="7" t="s">
        <v>79</v>
      </c>
      <c r="D183" s="13" t="s">
        <v>602</v>
      </c>
      <c r="E183" s="8" t="s">
        <v>603</v>
      </c>
      <c r="F183" s="203">
        <v>3531440.82</v>
      </c>
      <c r="G183" s="9">
        <v>-586992</v>
      </c>
      <c r="H183" s="10">
        <f t="shared" si="10"/>
        <v>2944448.82</v>
      </c>
      <c r="I183" s="9">
        <v>0</v>
      </c>
      <c r="K183" s="170">
        <f t="shared" si="11"/>
        <v>2944448.82</v>
      </c>
      <c r="L183" s="170"/>
      <c r="M183" s="170"/>
      <c r="N183" s="8"/>
      <c r="O183" s="7"/>
      <c r="Q183" s="11"/>
    </row>
    <row r="184" spans="1:17" outlineLevel="2">
      <c r="A184" s="7">
        <f t="shared" si="9"/>
        <v>179</v>
      </c>
      <c r="B184" s="7" t="s">
        <v>27</v>
      </c>
      <c r="C184" s="7" t="s">
        <v>79</v>
      </c>
      <c r="D184" s="13" t="s">
        <v>604</v>
      </c>
      <c r="E184" s="8" t="s">
        <v>605</v>
      </c>
      <c r="F184" s="203">
        <v>7979019.6900000004</v>
      </c>
      <c r="G184" s="9">
        <v>-1095435.3600000001</v>
      </c>
      <c r="H184" s="10">
        <f t="shared" si="10"/>
        <v>6883584.3300000001</v>
      </c>
      <c r="I184" s="9">
        <v>0</v>
      </c>
      <c r="K184" s="170">
        <f t="shared" si="11"/>
        <v>6883584.3300000001</v>
      </c>
      <c r="L184" s="170"/>
      <c r="M184" s="170"/>
      <c r="O184" s="7"/>
      <c r="Q184" s="11"/>
    </row>
    <row r="185" spans="1:17" outlineLevel="2">
      <c r="A185" s="7">
        <f t="shared" si="9"/>
        <v>180</v>
      </c>
      <c r="B185" s="7" t="s">
        <v>27</v>
      </c>
      <c r="C185" s="7" t="s">
        <v>79</v>
      </c>
      <c r="D185" s="13" t="s">
        <v>606</v>
      </c>
      <c r="E185" s="8" t="s">
        <v>607</v>
      </c>
      <c r="F185" s="203">
        <v>5517622.7000000002</v>
      </c>
      <c r="G185" s="9">
        <v>-195317.53</v>
      </c>
      <c r="H185" s="10">
        <f t="shared" si="10"/>
        <v>5322305.17</v>
      </c>
      <c r="I185" s="9">
        <v>0</v>
      </c>
      <c r="K185" s="170">
        <f t="shared" si="11"/>
        <v>5322305.17</v>
      </c>
      <c r="L185" s="170"/>
      <c r="M185" s="170"/>
      <c r="N185" s="8"/>
      <c r="O185" s="7"/>
      <c r="Q185" s="11"/>
    </row>
    <row r="186" spans="1:17" outlineLevel="2">
      <c r="A186" s="7">
        <f t="shared" si="9"/>
        <v>181</v>
      </c>
      <c r="B186" s="7" t="s">
        <v>27</v>
      </c>
      <c r="C186" s="7" t="s">
        <v>79</v>
      </c>
      <c r="D186" s="13" t="s">
        <v>608</v>
      </c>
      <c r="E186" s="8" t="s">
        <v>609</v>
      </c>
      <c r="F186" s="203">
        <v>72367.83</v>
      </c>
      <c r="G186" s="9">
        <v>-72367.83</v>
      </c>
      <c r="H186" s="10">
        <f t="shared" si="10"/>
        <v>0</v>
      </c>
      <c r="I186" s="9">
        <v>0</v>
      </c>
      <c r="K186" s="170">
        <f t="shared" si="11"/>
        <v>0</v>
      </c>
      <c r="L186" s="170"/>
      <c r="M186" s="170"/>
      <c r="N186" s="8"/>
      <c r="O186" s="7"/>
      <c r="Q186" s="11"/>
    </row>
    <row r="187" spans="1:17" outlineLevel="2">
      <c r="A187" s="7">
        <f t="shared" si="9"/>
        <v>182</v>
      </c>
      <c r="B187" s="7" t="s">
        <v>27</v>
      </c>
      <c r="C187" s="7" t="s">
        <v>79</v>
      </c>
      <c r="D187" s="13" t="s">
        <v>610</v>
      </c>
      <c r="E187" s="8" t="s">
        <v>611</v>
      </c>
      <c r="F187" s="203">
        <v>1944816.97</v>
      </c>
      <c r="G187" s="9">
        <v>-33744</v>
      </c>
      <c r="H187" s="10">
        <f t="shared" si="10"/>
        <v>1911072.97</v>
      </c>
      <c r="I187" s="9">
        <v>0</v>
      </c>
      <c r="K187" s="170">
        <f t="shared" si="11"/>
        <v>1911072.97</v>
      </c>
      <c r="L187" s="170"/>
      <c r="M187" s="170"/>
      <c r="N187" s="8"/>
      <c r="O187" s="7"/>
      <c r="Q187" s="11"/>
    </row>
    <row r="188" spans="1:17" ht="13.5" customHeight="1" outlineLevel="2">
      <c r="A188" s="7">
        <f t="shared" si="9"/>
        <v>183</v>
      </c>
      <c r="B188" s="7" t="s">
        <v>27</v>
      </c>
      <c r="C188" s="7" t="s">
        <v>79</v>
      </c>
      <c r="D188" s="13" t="s">
        <v>612</v>
      </c>
      <c r="E188" s="8" t="s">
        <v>613</v>
      </c>
      <c r="F188" s="203">
        <v>18359552.66</v>
      </c>
      <c r="G188" s="9">
        <v>0</v>
      </c>
      <c r="H188" s="10">
        <f t="shared" si="10"/>
        <v>18359552.66</v>
      </c>
      <c r="I188" s="9">
        <v>0</v>
      </c>
      <c r="K188" s="170">
        <f t="shared" si="11"/>
        <v>18359552.66</v>
      </c>
      <c r="L188" s="170"/>
      <c r="M188" s="170"/>
      <c r="O188" s="7"/>
      <c r="Q188" s="11"/>
    </row>
    <row r="189" spans="1:17" outlineLevel="2">
      <c r="A189" s="7">
        <f t="shared" si="9"/>
        <v>184</v>
      </c>
      <c r="B189" s="7" t="s">
        <v>27</v>
      </c>
      <c r="C189" s="7" t="s">
        <v>79</v>
      </c>
      <c r="D189" s="13" t="s">
        <v>614</v>
      </c>
      <c r="E189" s="8" t="s">
        <v>615</v>
      </c>
      <c r="F189" s="203">
        <v>4160684.48</v>
      </c>
      <c r="G189" s="9">
        <v>-287496.89</v>
      </c>
      <c r="H189" s="10">
        <f t="shared" si="10"/>
        <v>3873187.59</v>
      </c>
      <c r="I189" s="9">
        <v>0</v>
      </c>
      <c r="K189" s="170">
        <f t="shared" si="11"/>
        <v>3873187.59</v>
      </c>
      <c r="L189" s="170"/>
      <c r="M189" s="170"/>
      <c r="N189" s="8"/>
      <c r="O189" s="7"/>
      <c r="Q189" s="11"/>
    </row>
    <row r="190" spans="1:17" outlineLevel="2">
      <c r="A190" s="7">
        <f t="shared" si="9"/>
        <v>185</v>
      </c>
      <c r="B190" s="7" t="s">
        <v>27</v>
      </c>
      <c r="C190" s="7" t="s">
        <v>79</v>
      </c>
      <c r="D190" s="13" t="s">
        <v>616</v>
      </c>
      <c r="E190" s="8" t="s">
        <v>617</v>
      </c>
      <c r="F190" s="203">
        <v>3797914.69</v>
      </c>
      <c r="G190" s="9">
        <v>-71356</v>
      </c>
      <c r="H190" s="10">
        <f t="shared" si="10"/>
        <v>3726558.69</v>
      </c>
      <c r="I190" s="9">
        <v>0</v>
      </c>
      <c r="K190" s="170">
        <f t="shared" si="11"/>
        <v>3726558.69</v>
      </c>
      <c r="L190" s="170"/>
      <c r="M190" s="170"/>
      <c r="N190" s="8"/>
      <c r="O190" s="7"/>
      <c r="Q190" s="11"/>
    </row>
    <row r="191" spans="1:17" outlineLevel="2">
      <c r="A191" s="7">
        <f t="shared" si="9"/>
        <v>186</v>
      </c>
      <c r="B191" s="7" t="s">
        <v>27</v>
      </c>
      <c r="C191" s="7" t="s">
        <v>79</v>
      </c>
      <c r="D191" s="13" t="s">
        <v>618</v>
      </c>
      <c r="E191" s="8" t="s">
        <v>619</v>
      </c>
      <c r="F191" s="203">
        <v>180660.37</v>
      </c>
      <c r="G191" s="9">
        <v>0</v>
      </c>
      <c r="H191" s="10">
        <f t="shared" si="10"/>
        <v>180660.37</v>
      </c>
      <c r="I191" s="9">
        <v>0</v>
      </c>
      <c r="K191" s="170">
        <f t="shared" si="11"/>
        <v>180660.37</v>
      </c>
      <c r="L191" s="170"/>
      <c r="M191" s="170"/>
      <c r="N191" s="8"/>
      <c r="O191" s="7"/>
      <c r="Q191" s="11"/>
    </row>
    <row r="192" spans="1:17" outlineLevel="2">
      <c r="A192" s="7">
        <f t="shared" si="9"/>
        <v>187</v>
      </c>
      <c r="B192" s="7" t="s">
        <v>27</v>
      </c>
      <c r="C192" s="7" t="s">
        <v>79</v>
      </c>
      <c r="D192" s="13" t="s">
        <v>620</v>
      </c>
      <c r="E192" s="8" t="s">
        <v>621</v>
      </c>
      <c r="F192" s="203">
        <v>890606.75</v>
      </c>
      <c r="G192" s="9">
        <v>-108484.95</v>
      </c>
      <c r="H192" s="10">
        <f t="shared" si="10"/>
        <v>782121.8</v>
      </c>
      <c r="I192" s="9">
        <v>0</v>
      </c>
      <c r="K192" s="170">
        <f t="shared" si="11"/>
        <v>782121.8</v>
      </c>
      <c r="L192" s="170"/>
      <c r="M192" s="170"/>
      <c r="N192" s="8"/>
      <c r="O192" s="7"/>
      <c r="Q192" s="11"/>
    </row>
    <row r="193" spans="1:17" outlineLevel="2">
      <c r="A193" s="7">
        <f t="shared" si="9"/>
        <v>188</v>
      </c>
      <c r="B193" s="7" t="s">
        <v>27</v>
      </c>
      <c r="C193" s="7" t="s">
        <v>79</v>
      </c>
      <c r="D193" s="13" t="s">
        <v>622</v>
      </c>
      <c r="E193" s="8" t="s">
        <v>623</v>
      </c>
      <c r="F193" s="203">
        <v>2034652.24</v>
      </c>
      <c r="G193" s="9">
        <v>-209290</v>
      </c>
      <c r="H193" s="10">
        <f t="shared" si="10"/>
        <v>1825362.24</v>
      </c>
      <c r="I193" s="9">
        <v>0</v>
      </c>
      <c r="K193" s="170">
        <f t="shared" si="11"/>
        <v>1825362.24</v>
      </c>
      <c r="L193" s="170"/>
      <c r="M193" s="170"/>
      <c r="N193" s="8"/>
      <c r="O193" s="7"/>
      <c r="Q193" s="11"/>
    </row>
    <row r="194" spans="1:17" outlineLevel="2">
      <c r="A194" s="7">
        <f t="shared" si="9"/>
        <v>189</v>
      </c>
      <c r="B194" s="7" t="s">
        <v>27</v>
      </c>
      <c r="C194" s="7" t="s">
        <v>79</v>
      </c>
      <c r="D194" s="13" t="s">
        <v>624</v>
      </c>
      <c r="E194" s="8" t="s">
        <v>625</v>
      </c>
      <c r="F194" s="203">
        <v>4220540.96</v>
      </c>
      <c r="G194" s="9">
        <v>-699890</v>
      </c>
      <c r="H194" s="10">
        <f t="shared" si="10"/>
        <v>3520650.96</v>
      </c>
      <c r="I194" s="9">
        <v>0</v>
      </c>
      <c r="K194" s="170">
        <f t="shared" si="11"/>
        <v>3520650.96</v>
      </c>
      <c r="L194" s="170"/>
      <c r="M194" s="170"/>
      <c r="N194" s="8"/>
      <c r="O194" s="7"/>
      <c r="Q194" s="11"/>
    </row>
    <row r="195" spans="1:17" outlineLevel="2">
      <c r="A195" s="7">
        <f t="shared" si="9"/>
        <v>190</v>
      </c>
      <c r="B195" s="7" t="s">
        <v>27</v>
      </c>
      <c r="C195" s="7" t="s">
        <v>79</v>
      </c>
      <c r="D195" s="13" t="s">
        <v>626</v>
      </c>
      <c r="E195" s="8" t="s">
        <v>627</v>
      </c>
      <c r="F195" s="203">
        <v>992414.68</v>
      </c>
      <c r="G195" s="9">
        <v>-160601.15</v>
      </c>
      <c r="H195" s="10">
        <f t="shared" si="10"/>
        <v>831813.53</v>
      </c>
      <c r="I195" s="9">
        <v>0</v>
      </c>
      <c r="K195" s="170">
        <f t="shared" si="11"/>
        <v>831813.53</v>
      </c>
      <c r="L195" s="170"/>
      <c r="M195" s="170"/>
      <c r="N195" s="8"/>
      <c r="O195" s="7"/>
      <c r="Q195" s="11"/>
    </row>
    <row r="196" spans="1:17" outlineLevel="2">
      <c r="A196" s="7">
        <f t="shared" si="9"/>
        <v>191</v>
      </c>
      <c r="B196" s="7" t="s">
        <v>27</v>
      </c>
      <c r="C196" s="7" t="s">
        <v>79</v>
      </c>
      <c r="D196" s="13" t="s">
        <v>628</v>
      </c>
      <c r="E196" s="8" t="s">
        <v>629</v>
      </c>
      <c r="F196" s="203">
        <f>5739050.59</f>
        <v>5739050.5899999999</v>
      </c>
      <c r="G196" s="9">
        <v>-630014.97</v>
      </c>
      <c r="H196" s="10">
        <f t="shared" si="10"/>
        <v>5109035.62</v>
      </c>
      <c r="I196" s="9">
        <v>0</v>
      </c>
      <c r="K196" s="170">
        <f t="shared" si="11"/>
        <v>5109035.62</v>
      </c>
      <c r="L196" s="170"/>
      <c r="M196" s="170"/>
      <c r="N196" s="8"/>
      <c r="O196" s="7"/>
      <c r="Q196" s="11"/>
    </row>
    <row r="197" spans="1:17" outlineLevel="2">
      <c r="A197" s="7">
        <f t="shared" si="9"/>
        <v>192</v>
      </c>
      <c r="B197" s="7" t="s">
        <v>27</v>
      </c>
      <c r="C197" s="7" t="s">
        <v>79</v>
      </c>
      <c r="D197" s="13" t="s">
        <v>630</v>
      </c>
      <c r="E197" s="8" t="s">
        <v>631</v>
      </c>
      <c r="F197" s="203">
        <v>1733527.61</v>
      </c>
      <c r="G197" s="9">
        <v>-1733527.61</v>
      </c>
      <c r="H197" s="10">
        <f t="shared" si="10"/>
        <v>0</v>
      </c>
      <c r="I197" s="9">
        <v>0</v>
      </c>
      <c r="K197" s="170">
        <f t="shared" si="11"/>
        <v>0</v>
      </c>
      <c r="L197" s="170"/>
      <c r="M197" s="170"/>
      <c r="O197" s="7"/>
      <c r="Q197" s="11"/>
    </row>
    <row r="198" spans="1:17" outlineLevel="2">
      <c r="A198" s="7">
        <f t="shared" si="9"/>
        <v>193</v>
      </c>
      <c r="B198" s="7" t="s">
        <v>27</v>
      </c>
      <c r="C198" s="7" t="s">
        <v>79</v>
      </c>
      <c r="D198" s="13" t="s">
        <v>632</v>
      </c>
      <c r="E198" s="8" t="s">
        <v>633</v>
      </c>
      <c r="F198" s="203">
        <v>8375650.7999999998</v>
      </c>
      <c r="G198" s="9">
        <v>0</v>
      </c>
      <c r="H198" s="10">
        <f t="shared" si="10"/>
        <v>8375650.7999999998</v>
      </c>
      <c r="J198" s="9">
        <f>-8375651</f>
        <v>-8375651</v>
      </c>
      <c r="K198" s="170">
        <f t="shared" si="11"/>
        <v>-0.20000000018626451</v>
      </c>
      <c r="L198" s="170"/>
      <c r="M198" s="170"/>
      <c r="O198" s="7"/>
      <c r="Q198" s="11"/>
    </row>
    <row r="199" spans="1:17" outlineLevel="2">
      <c r="A199" s="7">
        <f t="shared" si="9"/>
        <v>194</v>
      </c>
      <c r="B199" s="7" t="s">
        <v>27</v>
      </c>
      <c r="C199" s="7" t="s">
        <v>79</v>
      </c>
      <c r="D199" s="13" t="s">
        <v>634</v>
      </c>
      <c r="E199" s="8" t="s">
        <v>635</v>
      </c>
      <c r="F199" s="203">
        <v>623512.97</v>
      </c>
      <c r="G199" s="9">
        <v>0</v>
      </c>
      <c r="H199" s="10">
        <f t="shared" si="10"/>
        <v>623512.97</v>
      </c>
      <c r="I199" s="9">
        <v>0</v>
      </c>
      <c r="K199" s="170">
        <f t="shared" si="11"/>
        <v>623512.97</v>
      </c>
      <c r="L199" s="170"/>
      <c r="M199" s="170"/>
      <c r="O199" s="7"/>
      <c r="Q199" s="11"/>
    </row>
    <row r="200" spans="1:17" outlineLevel="2">
      <c r="A200" s="7">
        <f t="shared" si="9"/>
        <v>195</v>
      </c>
      <c r="B200" s="7" t="s">
        <v>27</v>
      </c>
      <c r="C200" s="7" t="s">
        <v>79</v>
      </c>
      <c r="D200" s="13" t="s">
        <v>636</v>
      </c>
      <c r="E200" s="8" t="s">
        <v>637</v>
      </c>
      <c r="F200" s="203">
        <v>8764448.2799999993</v>
      </c>
      <c r="G200" s="9">
        <v>-1538024.12</v>
      </c>
      <c r="H200" s="10">
        <f>F200+G200</f>
        <v>7226424.1599999992</v>
      </c>
      <c r="I200" s="9">
        <v>0</v>
      </c>
      <c r="K200" s="170">
        <f>SUM(H200:J200)</f>
        <v>7226424.1599999992</v>
      </c>
      <c r="L200" s="170"/>
      <c r="M200" s="170"/>
      <c r="N200" s="8"/>
      <c r="O200" s="7"/>
      <c r="Q200" s="11"/>
    </row>
    <row r="201" spans="1:17" outlineLevel="2">
      <c r="A201" s="7">
        <f t="shared" ref="A201:A264" si="12">A200+1</f>
        <v>196</v>
      </c>
      <c r="B201" s="7" t="s">
        <v>27</v>
      </c>
      <c r="C201" s="7" t="s">
        <v>79</v>
      </c>
      <c r="D201" s="13" t="s">
        <v>638</v>
      </c>
      <c r="E201" s="8" t="s">
        <v>639</v>
      </c>
      <c r="F201" s="203">
        <v>74402.89</v>
      </c>
      <c r="G201" s="9">
        <v>0</v>
      </c>
      <c r="H201" s="10">
        <f>F201+G201</f>
        <v>74402.89</v>
      </c>
      <c r="I201" s="9">
        <v>0</v>
      </c>
      <c r="K201" s="170">
        <f>SUM(H201:J201)</f>
        <v>74402.89</v>
      </c>
      <c r="L201" s="170"/>
      <c r="M201" s="170"/>
      <c r="O201" s="7"/>
      <c r="Q201" s="11"/>
    </row>
    <row r="202" spans="1:17" outlineLevel="2">
      <c r="A202" s="7">
        <f t="shared" si="12"/>
        <v>197</v>
      </c>
      <c r="B202" s="7" t="s">
        <v>27</v>
      </c>
      <c r="C202" s="7" t="s">
        <v>79</v>
      </c>
      <c r="D202" s="13" t="s">
        <v>640</v>
      </c>
      <c r="E202" s="8" t="s">
        <v>641</v>
      </c>
      <c r="F202" s="203">
        <v>22102.23</v>
      </c>
      <c r="G202" s="9">
        <v>0</v>
      </c>
      <c r="H202" s="10">
        <f t="shared" si="10"/>
        <v>22102.23</v>
      </c>
      <c r="I202" s="9">
        <v>0</v>
      </c>
      <c r="K202" s="170">
        <f t="shared" si="11"/>
        <v>22102.23</v>
      </c>
      <c r="L202" s="170"/>
      <c r="M202" s="170"/>
      <c r="N202" s="8"/>
      <c r="O202" s="7"/>
      <c r="Q202" s="11"/>
    </row>
    <row r="203" spans="1:17" outlineLevel="2">
      <c r="A203" s="7">
        <f t="shared" si="12"/>
        <v>198</v>
      </c>
      <c r="B203" s="7" t="s">
        <v>27</v>
      </c>
      <c r="C203" s="7" t="s">
        <v>79</v>
      </c>
      <c r="D203" s="13" t="s">
        <v>642</v>
      </c>
      <c r="E203" s="8" t="s">
        <v>643</v>
      </c>
      <c r="F203" s="203">
        <v>13002875.039999999</v>
      </c>
      <c r="G203" s="9">
        <v>0</v>
      </c>
      <c r="H203" s="10">
        <f t="shared" si="10"/>
        <v>13002875.039999999</v>
      </c>
      <c r="I203" s="9">
        <v>0</v>
      </c>
      <c r="K203" s="170">
        <f t="shared" si="11"/>
        <v>13002875.039999999</v>
      </c>
      <c r="L203" s="170"/>
      <c r="M203" s="170"/>
      <c r="O203" s="7"/>
      <c r="Q203" s="11"/>
    </row>
    <row r="204" spans="1:17" outlineLevel="2">
      <c r="A204" s="7">
        <f t="shared" si="12"/>
        <v>199</v>
      </c>
      <c r="B204" s="7" t="s">
        <v>27</v>
      </c>
      <c r="C204" s="7" t="s">
        <v>79</v>
      </c>
      <c r="D204" s="13" t="s">
        <v>644</v>
      </c>
      <c r="E204" s="8" t="s">
        <v>645</v>
      </c>
      <c r="F204" s="203">
        <v>15965764.93</v>
      </c>
      <c r="G204" s="9">
        <v>0</v>
      </c>
      <c r="H204" s="10">
        <f t="shared" si="10"/>
        <v>15965764.93</v>
      </c>
      <c r="I204" s="9">
        <v>0</v>
      </c>
      <c r="K204" s="170">
        <f t="shared" si="11"/>
        <v>15965764.93</v>
      </c>
      <c r="L204" s="170"/>
      <c r="M204" s="170"/>
      <c r="O204" s="7"/>
      <c r="Q204" s="11"/>
    </row>
    <row r="205" spans="1:17" outlineLevel="2">
      <c r="A205" s="7">
        <f t="shared" si="12"/>
        <v>200</v>
      </c>
      <c r="B205" s="7" t="s">
        <v>27</v>
      </c>
      <c r="C205" s="7" t="s">
        <v>79</v>
      </c>
      <c r="D205" s="13" t="s">
        <v>646</v>
      </c>
      <c r="E205" s="8" t="s">
        <v>647</v>
      </c>
      <c r="F205" s="203">
        <v>15080471.949999999</v>
      </c>
      <c r="G205" s="9">
        <v>-516513.16</v>
      </c>
      <c r="H205" s="10">
        <f t="shared" si="10"/>
        <v>14563958.789999999</v>
      </c>
      <c r="I205" s="9">
        <v>0</v>
      </c>
      <c r="K205" s="170">
        <f t="shared" si="11"/>
        <v>14563958.789999999</v>
      </c>
      <c r="L205" s="170"/>
      <c r="M205" s="170"/>
      <c r="N205" s="8"/>
      <c r="O205" s="7"/>
      <c r="Q205" s="11"/>
    </row>
    <row r="206" spans="1:17" outlineLevel="2">
      <c r="A206" s="7">
        <f t="shared" si="12"/>
        <v>201</v>
      </c>
      <c r="B206" s="7" t="s">
        <v>27</v>
      </c>
      <c r="C206" s="7" t="s">
        <v>79</v>
      </c>
      <c r="D206" s="13" t="s">
        <v>648</v>
      </c>
      <c r="E206" s="8" t="s">
        <v>649</v>
      </c>
      <c r="F206" s="28">
        <v>8022741.1900000004</v>
      </c>
      <c r="G206" s="9">
        <v>-254683.47</v>
      </c>
      <c r="H206" s="10">
        <f t="shared" si="10"/>
        <v>7768057.7200000007</v>
      </c>
      <c r="I206" s="9">
        <v>0</v>
      </c>
      <c r="K206" s="170">
        <f t="shared" si="11"/>
        <v>7768057.7200000007</v>
      </c>
      <c r="L206" s="170"/>
      <c r="M206" s="170"/>
      <c r="O206" s="7"/>
      <c r="Q206" s="11"/>
    </row>
    <row r="207" spans="1:17" outlineLevel="2">
      <c r="A207" s="7">
        <f t="shared" si="12"/>
        <v>202</v>
      </c>
      <c r="B207" s="7" t="s">
        <v>27</v>
      </c>
      <c r="C207" s="7" t="s">
        <v>79</v>
      </c>
      <c r="D207" s="13" t="s">
        <v>650</v>
      </c>
      <c r="E207" s="8" t="s">
        <v>651</v>
      </c>
      <c r="F207" s="28">
        <v>49735.05</v>
      </c>
      <c r="G207" s="9">
        <v>0</v>
      </c>
      <c r="H207" s="10">
        <f t="shared" si="10"/>
        <v>49735.05</v>
      </c>
      <c r="I207" s="9">
        <v>0</v>
      </c>
      <c r="K207" s="170">
        <f t="shared" si="11"/>
        <v>49735.05</v>
      </c>
      <c r="L207" s="170"/>
      <c r="M207" s="170"/>
      <c r="O207" s="7"/>
      <c r="Q207" s="11"/>
    </row>
    <row r="208" spans="1:17" outlineLevel="2">
      <c r="A208" s="7">
        <f t="shared" si="12"/>
        <v>203</v>
      </c>
      <c r="B208" s="7" t="s">
        <v>27</v>
      </c>
      <c r="C208" s="7" t="s">
        <v>79</v>
      </c>
      <c r="D208" s="13" t="s">
        <v>652</v>
      </c>
      <c r="E208" s="8" t="s">
        <v>653</v>
      </c>
      <c r="F208" s="28">
        <v>93606.07</v>
      </c>
      <c r="G208" s="9">
        <v>0</v>
      </c>
      <c r="H208" s="10">
        <f t="shared" si="10"/>
        <v>93606.07</v>
      </c>
      <c r="I208" s="9">
        <v>0</v>
      </c>
      <c r="K208" s="170">
        <f t="shared" si="11"/>
        <v>93606.07</v>
      </c>
      <c r="L208" s="170"/>
      <c r="M208" s="170"/>
      <c r="O208" s="7"/>
      <c r="Q208" s="11"/>
    </row>
    <row r="209" spans="1:17" outlineLevel="2">
      <c r="A209" s="7">
        <f t="shared" si="12"/>
        <v>204</v>
      </c>
      <c r="B209" s="7" t="s">
        <v>27</v>
      </c>
      <c r="C209" s="7" t="s">
        <v>79</v>
      </c>
      <c r="D209" s="13" t="s">
        <v>654</v>
      </c>
      <c r="E209" s="8" t="s">
        <v>655</v>
      </c>
      <c r="F209" s="203">
        <v>25796.11</v>
      </c>
      <c r="G209" s="9">
        <v>0</v>
      </c>
      <c r="H209" s="10">
        <f t="shared" si="10"/>
        <v>25796.11</v>
      </c>
      <c r="I209" s="9">
        <v>0</v>
      </c>
      <c r="K209" s="170">
        <f t="shared" si="11"/>
        <v>25796.11</v>
      </c>
      <c r="L209" s="170"/>
      <c r="M209" s="170"/>
      <c r="O209" s="7"/>
      <c r="Q209" s="11"/>
    </row>
    <row r="210" spans="1:17" outlineLevel="2">
      <c r="A210" s="7">
        <f t="shared" si="12"/>
        <v>205</v>
      </c>
      <c r="B210" s="7" t="s">
        <v>27</v>
      </c>
      <c r="C210" s="7" t="s">
        <v>79</v>
      </c>
      <c r="D210" s="13" t="s">
        <v>656</v>
      </c>
      <c r="E210" s="8" t="s">
        <v>657</v>
      </c>
      <c r="F210" s="203">
        <v>3386697.27</v>
      </c>
      <c r="G210" s="9">
        <v>-334512.53999999998</v>
      </c>
      <c r="H210" s="10">
        <f t="shared" si="10"/>
        <v>3052184.73</v>
      </c>
      <c r="I210" s="9">
        <v>0</v>
      </c>
      <c r="K210" s="170">
        <f t="shared" si="11"/>
        <v>3052184.73</v>
      </c>
      <c r="L210" s="170"/>
      <c r="M210" s="170"/>
      <c r="O210" s="7"/>
      <c r="Q210" s="11"/>
    </row>
    <row r="211" spans="1:17" outlineLevel="2">
      <c r="A211" s="7">
        <f t="shared" si="12"/>
        <v>206</v>
      </c>
      <c r="B211" s="7" t="s">
        <v>27</v>
      </c>
      <c r="C211" s="7" t="s">
        <v>79</v>
      </c>
      <c r="D211" s="13" t="s">
        <v>658</v>
      </c>
      <c r="E211" s="8" t="s">
        <v>659</v>
      </c>
      <c r="F211" s="203">
        <v>661496.97</v>
      </c>
      <c r="G211" s="9">
        <v>-103120.76</v>
      </c>
      <c r="H211" s="10">
        <f t="shared" si="10"/>
        <v>558376.21</v>
      </c>
      <c r="K211" s="170">
        <f t="shared" si="11"/>
        <v>558376.21</v>
      </c>
      <c r="L211" s="170"/>
      <c r="M211" s="170"/>
      <c r="O211" s="7"/>
      <c r="Q211" s="11"/>
    </row>
    <row r="212" spans="1:17" outlineLevel="2">
      <c r="A212" s="7">
        <f t="shared" si="12"/>
        <v>207</v>
      </c>
      <c r="B212" s="7" t="s">
        <v>27</v>
      </c>
      <c r="C212" s="7" t="s">
        <v>79</v>
      </c>
      <c r="D212" s="13" t="s">
        <v>660</v>
      </c>
      <c r="E212" s="8" t="s">
        <v>661</v>
      </c>
      <c r="F212" s="203">
        <v>5204792.82</v>
      </c>
      <c r="G212" s="9">
        <v>0</v>
      </c>
      <c r="H212" s="10">
        <f t="shared" si="10"/>
        <v>5204792.82</v>
      </c>
      <c r="I212" s="9">
        <v>0</v>
      </c>
      <c r="K212" s="170">
        <f t="shared" si="11"/>
        <v>5204792.82</v>
      </c>
      <c r="L212" s="170"/>
      <c r="M212" s="170"/>
      <c r="O212" s="7"/>
      <c r="Q212" s="11"/>
    </row>
    <row r="213" spans="1:17" outlineLevel="2">
      <c r="A213" s="7">
        <f t="shared" si="12"/>
        <v>208</v>
      </c>
      <c r="B213" s="7" t="s">
        <v>27</v>
      </c>
      <c r="C213" s="7" t="s">
        <v>79</v>
      </c>
      <c r="D213" s="13" t="s">
        <v>662</v>
      </c>
      <c r="E213" s="8" t="s">
        <v>663</v>
      </c>
      <c r="F213" s="203">
        <v>1190631.28</v>
      </c>
      <c r="G213" s="9">
        <v>-125594.13</v>
      </c>
      <c r="H213" s="10">
        <f t="shared" si="10"/>
        <v>1065037.1499999999</v>
      </c>
      <c r="I213" s="9">
        <v>0</v>
      </c>
      <c r="K213" s="170">
        <f t="shared" si="11"/>
        <v>1065037.1499999999</v>
      </c>
      <c r="L213" s="170"/>
      <c r="M213" s="170"/>
      <c r="N213" s="8"/>
      <c r="O213" s="7"/>
      <c r="Q213" s="11"/>
    </row>
    <row r="214" spans="1:17" outlineLevel="2">
      <c r="A214" s="7">
        <f t="shared" si="12"/>
        <v>209</v>
      </c>
      <c r="B214" s="7" t="s">
        <v>27</v>
      </c>
      <c r="C214" s="7" t="s">
        <v>79</v>
      </c>
      <c r="D214" s="13" t="s">
        <v>664</v>
      </c>
      <c r="E214" s="8" t="s">
        <v>665</v>
      </c>
      <c r="F214" s="203">
        <v>12816176.859999999</v>
      </c>
      <c r="G214" s="9">
        <v>0</v>
      </c>
      <c r="H214" s="10">
        <f t="shared" si="10"/>
        <v>12816176.859999999</v>
      </c>
      <c r="I214" s="9">
        <v>0</v>
      </c>
      <c r="K214" s="170">
        <f t="shared" si="11"/>
        <v>12816176.859999999</v>
      </c>
      <c r="L214" s="170"/>
      <c r="M214" s="170"/>
      <c r="O214" s="7"/>
      <c r="Q214" s="11"/>
    </row>
    <row r="215" spans="1:17" outlineLevel="2">
      <c r="A215" s="7">
        <f t="shared" si="12"/>
        <v>210</v>
      </c>
      <c r="B215" s="7" t="s">
        <v>27</v>
      </c>
      <c r="C215" s="7" t="s">
        <v>79</v>
      </c>
      <c r="D215" s="13" t="s">
        <v>666</v>
      </c>
      <c r="E215" s="8" t="s">
        <v>667</v>
      </c>
      <c r="F215" s="203">
        <v>12228699.77</v>
      </c>
      <c r="G215" s="9">
        <v>0</v>
      </c>
      <c r="H215" s="10">
        <f t="shared" si="10"/>
        <v>12228699.77</v>
      </c>
      <c r="I215" s="9">
        <v>0</v>
      </c>
      <c r="K215" s="170">
        <f t="shared" si="11"/>
        <v>12228699.77</v>
      </c>
      <c r="L215" s="170"/>
      <c r="M215" s="170"/>
      <c r="O215" s="7"/>
      <c r="Q215" s="11"/>
    </row>
    <row r="216" spans="1:17" outlineLevel="2">
      <c r="A216" s="7">
        <f t="shared" si="12"/>
        <v>211</v>
      </c>
      <c r="B216" s="7" t="s">
        <v>27</v>
      </c>
      <c r="C216" s="7" t="s">
        <v>79</v>
      </c>
      <c r="D216" s="13" t="s">
        <v>668</v>
      </c>
      <c r="E216" s="8" t="s">
        <v>669</v>
      </c>
      <c r="F216" s="203">
        <v>6991078.3300000001</v>
      </c>
      <c r="G216" s="9">
        <v>-176541.41</v>
      </c>
      <c r="H216" s="10">
        <f t="shared" si="10"/>
        <v>6814536.9199999999</v>
      </c>
      <c r="I216" s="9">
        <v>0</v>
      </c>
      <c r="K216" s="170">
        <f t="shared" si="11"/>
        <v>6814536.9199999999</v>
      </c>
      <c r="L216" s="170"/>
      <c r="M216" s="170"/>
      <c r="N216" s="8"/>
      <c r="O216" s="7"/>
      <c r="Q216" s="11"/>
    </row>
    <row r="217" spans="1:17" outlineLevel="2">
      <c r="A217" s="7">
        <f t="shared" si="12"/>
        <v>212</v>
      </c>
      <c r="B217" s="7" t="s">
        <v>27</v>
      </c>
      <c r="C217" s="7" t="s">
        <v>79</v>
      </c>
      <c r="D217" s="13" t="s">
        <v>670</v>
      </c>
      <c r="E217" s="8" t="s">
        <v>671</v>
      </c>
      <c r="F217" s="203">
        <v>260323.59</v>
      </c>
      <c r="G217" s="9">
        <v>0</v>
      </c>
      <c r="H217" s="10">
        <f t="shared" si="10"/>
        <v>260323.59</v>
      </c>
      <c r="I217" s="9">
        <v>0</v>
      </c>
      <c r="K217" s="170">
        <f t="shared" si="11"/>
        <v>260323.59</v>
      </c>
      <c r="L217" s="170"/>
      <c r="M217" s="170"/>
      <c r="O217" s="7"/>
      <c r="Q217" s="11"/>
    </row>
    <row r="218" spans="1:17" outlineLevel="2">
      <c r="A218" s="7">
        <f t="shared" si="12"/>
        <v>213</v>
      </c>
      <c r="B218" s="7" t="s">
        <v>27</v>
      </c>
      <c r="C218" s="7" t="s">
        <v>79</v>
      </c>
      <c r="D218" s="13" t="s">
        <v>672</v>
      </c>
      <c r="E218" s="8" t="s">
        <v>673</v>
      </c>
      <c r="F218" s="203">
        <v>3220641.33</v>
      </c>
      <c r="G218" s="9">
        <v>0</v>
      </c>
      <c r="H218" s="10">
        <f t="shared" si="10"/>
        <v>3220641.33</v>
      </c>
      <c r="I218" s="9">
        <v>0</v>
      </c>
      <c r="K218" s="170">
        <f t="shared" si="11"/>
        <v>3220641.33</v>
      </c>
      <c r="L218" s="170"/>
      <c r="M218" s="170"/>
      <c r="O218" s="7"/>
      <c r="Q218" s="11"/>
    </row>
    <row r="219" spans="1:17" outlineLevel="2">
      <c r="A219" s="7">
        <f t="shared" si="12"/>
        <v>214</v>
      </c>
      <c r="B219" s="7" t="s">
        <v>27</v>
      </c>
      <c r="C219" s="7" t="s">
        <v>79</v>
      </c>
      <c r="D219" s="13" t="s">
        <v>674</v>
      </c>
      <c r="E219" s="8" t="s">
        <v>675</v>
      </c>
      <c r="F219" s="203">
        <v>1575443.18</v>
      </c>
      <c r="G219" s="9">
        <v>-654299</v>
      </c>
      <c r="H219" s="10">
        <f t="shared" si="10"/>
        <v>921144.17999999993</v>
      </c>
      <c r="I219" s="9">
        <v>0</v>
      </c>
      <c r="K219" s="170">
        <f t="shared" si="11"/>
        <v>921144.17999999993</v>
      </c>
      <c r="L219" s="170"/>
      <c r="M219" s="170"/>
      <c r="N219" s="8"/>
      <c r="O219" s="7"/>
      <c r="Q219" s="11"/>
    </row>
    <row r="220" spans="1:17" outlineLevel="2">
      <c r="A220" s="7">
        <f t="shared" si="12"/>
        <v>215</v>
      </c>
      <c r="B220" s="7" t="s">
        <v>27</v>
      </c>
      <c r="C220" s="7" t="s">
        <v>79</v>
      </c>
      <c r="D220" s="13" t="s">
        <v>676</v>
      </c>
      <c r="E220" s="8" t="s">
        <v>677</v>
      </c>
      <c r="F220" s="203">
        <v>25378.92</v>
      </c>
      <c r="G220" s="9">
        <v>0</v>
      </c>
      <c r="H220" s="10">
        <f t="shared" si="10"/>
        <v>25378.92</v>
      </c>
      <c r="I220" s="9">
        <v>0</v>
      </c>
      <c r="K220" s="170">
        <f t="shared" si="11"/>
        <v>25378.92</v>
      </c>
      <c r="L220" s="170"/>
      <c r="M220" s="170"/>
      <c r="N220" s="8"/>
      <c r="O220" s="7"/>
      <c r="Q220" s="11"/>
    </row>
    <row r="221" spans="1:17" outlineLevel="2">
      <c r="A221" s="7">
        <f t="shared" si="12"/>
        <v>216</v>
      </c>
      <c r="B221" s="7" t="s">
        <v>27</v>
      </c>
      <c r="C221" s="7" t="s">
        <v>79</v>
      </c>
      <c r="D221" s="13" t="s">
        <v>678</v>
      </c>
      <c r="E221" s="8" t="s">
        <v>679</v>
      </c>
      <c r="F221" s="203">
        <v>3484543.82</v>
      </c>
      <c r="G221" s="9">
        <v>-45361.56</v>
      </c>
      <c r="H221" s="10">
        <f t="shared" si="10"/>
        <v>3439182.26</v>
      </c>
      <c r="I221" s="9">
        <v>0</v>
      </c>
      <c r="K221" s="170">
        <f t="shared" si="11"/>
        <v>3439182.26</v>
      </c>
      <c r="L221" s="170"/>
      <c r="M221" s="170"/>
      <c r="N221" s="8"/>
      <c r="O221" s="7"/>
      <c r="Q221" s="11"/>
    </row>
    <row r="222" spans="1:17" outlineLevel="2">
      <c r="A222" s="7">
        <f t="shared" si="12"/>
        <v>217</v>
      </c>
      <c r="B222" s="7" t="s">
        <v>27</v>
      </c>
      <c r="C222" s="7" t="s">
        <v>79</v>
      </c>
      <c r="D222" s="13" t="s">
        <v>680</v>
      </c>
      <c r="E222" s="8" t="s">
        <v>681</v>
      </c>
      <c r="F222" s="203">
        <v>1996819.37</v>
      </c>
      <c r="G222" s="205">
        <v>-942415</v>
      </c>
      <c r="H222" s="10">
        <f t="shared" si="10"/>
        <v>1054404.3700000001</v>
      </c>
      <c r="I222" s="9">
        <v>0</v>
      </c>
      <c r="K222" s="170">
        <f t="shared" si="11"/>
        <v>1054404.3700000001</v>
      </c>
      <c r="L222" s="170"/>
      <c r="M222" s="170"/>
      <c r="N222" s="8"/>
      <c r="O222" s="7"/>
      <c r="Q222" s="11"/>
    </row>
    <row r="223" spans="1:17" outlineLevel="2">
      <c r="A223" s="7">
        <f t="shared" si="12"/>
        <v>218</v>
      </c>
      <c r="B223" s="7" t="s">
        <v>27</v>
      </c>
      <c r="C223" s="7" t="s">
        <v>79</v>
      </c>
      <c r="D223" s="13" t="s">
        <v>682</v>
      </c>
      <c r="E223" s="8" t="s">
        <v>683</v>
      </c>
      <c r="F223" s="203">
        <v>3223562.77</v>
      </c>
      <c r="G223" s="9">
        <v>0</v>
      </c>
      <c r="H223" s="10">
        <f t="shared" si="10"/>
        <v>3223562.77</v>
      </c>
      <c r="I223" s="9">
        <v>0</v>
      </c>
      <c r="K223" s="170">
        <f t="shared" si="11"/>
        <v>3223562.77</v>
      </c>
      <c r="L223" s="170"/>
      <c r="M223" s="170"/>
      <c r="O223" s="7"/>
      <c r="Q223" s="11"/>
    </row>
    <row r="224" spans="1:17" outlineLevel="2">
      <c r="A224" s="7">
        <f t="shared" si="12"/>
        <v>219</v>
      </c>
      <c r="B224" s="7" t="s">
        <v>27</v>
      </c>
      <c r="C224" s="7" t="s">
        <v>79</v>
      </c>
      <c r="D224" s="13" t="s">
        <v>684</v>
      </c>
      <c r="E224" s="8" t="s">
        <v>685</v>
      </c>
      <c r="F224" s="203">
        <v>12077021.52</v>
      </c>
      <c r="G224" s="9">
        <v>0</v>
      </c>
      <c r="H224" s="10">
        <f t="shared" si="10"/>
        <v>12077021.52</v>
      </c>
      <c r="I224" s="9">
        <v>0</v>
      </c>
      <c r="K224" s="170">
        <f t="shared" si="11"/>
        <v>12077021.52</v>
      </c>
      <c r="L224" s="170"/>
      <c r="M224" s="170"/>
      <c r="O224" s="7"/>
      <c r="Q224" s="11"/>
    </row>
    <row r="225" spans="1:17" outlineLevel="2">
      <c r="A225" s="7">
        <f t="shared" si="12"/>
        <v>220</v>
      </c>
      <c r="B225" s="7" t="s">
        <v>27</v>
      </c>
      <c r="C225" s="7" t="s">
        <v>79</v>
      </c>
      <c r="D225" s="13" t="s">
        <v>686</v>
      </c>
      <c r="E225" s="8" t="s">
        <v>687</v>
      </c>
      <c r="F225" s="203">
        <v>18629337.329999998</v>
      </c>
      <c r="G225" s="9">
        <v>0</v>
      </c>
      <c r="H225" s="10">
        <f t="shared" si="10"/>
        <v>18629337.329999998</v>
      </c>
      <c r="I225" s="9">
        <v>0</v>
      </c>
      <c r="K225" s="170">
        <f t="shared" si="11"/>
        <v>18629337.329999998</v>
      </c>
      <c r="L225" s="170"/>
      <c r="M225" s="170"/>
      <c r="N225" s="8"/>
      <c r="O225" s="7"/>
      <c r="Q225" s="11"/>
    </row>
    <row r="226" spans="1:17" outlineLevel="2">
      <c r="A226" s="7">
        <f t="shared" si="12"/>
        <v>221</v>
      </c>
      <c r="B226" s="7" t="s">
        <v>27</v>
      </c>
      <c r="C226" s="7" t="s">
        <v>79</v>
      </c>
      <c r="D226" s="13" t="s">
        <v>688</v>
      </c>
      <c r="E226" s="8" t="s">
        <v>689</v>
      </c>
      <c r="F226" s="203">
        <v>7637764.3799999999</v>
      </c>
      <c r="G226" s="9">
        <v>-108365.37</v>
      </c>
      <c r="H226" s="10">
        <f t="shared" si="10"/>
        <v>7529399.0099999998</v>
      </c>
      <c r="I226" s="9">
        <v>0</v>
      </c>
      <c r="K226" s="170">
        <f t="shared" si="11"/>
        <v>7529399.0099999998</v>
      </c>
      <c r="L226" s="170"/>
      <c r="M226" s="170"/>
      <c r="N226" s="8"/>
      <c r="O226" s="7"/>
      <c r="Q226" s="11"/>
    </row>
    <row r="227" spans="1:17" outlineLevel="2">
      <c r="A227" s="7">
        <f t="shared" si="12"/>
        <v>222</v>
      </c>
      <c r="B227" s="7" t="s">
        <v>27</v>
      </c>
      <c r="C227" s="7" t="s">
        <v>79</v>
      </c>
      <c r="D227" s="13" t="s">
        <v>690</v>
      </c>
      <c r="E227" s="8" t="s">
        <v>691</v>
      </c>
      <c r="F227" s="203">
        <v>5141440.25</v>
      </c>
      <c r="G227" s="9">
        <v>-181849</v>
      </c>
      <c r="H227" s="10">
        <f t="shared" si="10"/>
        <v>4959591.25</v>
      </c>
      <c r="I227" s="9">
        <v>0</v>
      </c>
      <c r="K227" s="170">
        <f t="shared" si="11"/>
        <v>4959591.25</v>
      </c>
      <c r="L227" s="170"/>
      <c r="M227" s="170"/>
      <c r="N227" s="8"/>
      <c r="O227" s="7"/>
      <c r="Q227" s="11"/>
    </row>
    <row r="228" spans="1:17" outlineLevel="2">
      <c r="A228" s="7">
        <f t="shared" si="12"/>
        <v>223</v>
      </c>
      <c r="B228" s="7" t="s">
        <v>27</v>
      </c>
      <c r="C228" s="7" t="s">
        <v>79</v>
      </c>
      <c r="D228" s="13" t="s">
        <v>692</v>
      </c>
      <c r="E228" s="8" t="s">
        <v>693</v>
      </c>
      <c r="F228" s="203">
        <v>12340200.26</v>
      </c>
      <c r="G228" s="9">
        <v>0</v>
      </c>
      <c r="H228" s="10">
        <f t="shared" si="10"/>
        <v>12340200.26</v>
      </c>
      <c r="I228" s="9">
        <v>0</v>
      </c>
      <c r="K228" s="170">
        <f t="shared" si="11"/>
        <v>12340200.26</v>
      </c>
      <c r="L228" s="170"/>
      <c r="M228" s="170"/>
      <c r="O228" s="7"/>
      <c r="Q228" s="11"/>
    </row>
    <row r="229" spans="1:17" outlineLevel="2">
      <c r="A229" s="7">
        <f t="shared" si="12"/>
        <v>224</v>
      </c>
      <c r="B229" s="7" t="s">
        <v>27</v>
      </c>
      <c r="C229" s="7" t="s">
        <v>79</v>
      </c>
      <c r="D229" s="13" t="s">
        <v>694</v>
      </c>
      <c r="E229" s="8" t="s">
        <v>695</v>
      </c>
      <c r="F229" s="203">
        <v>818761.1</v>
      </c>
      <c r="G229" s="9">
        <v>-250593.49</v>
      </c>
      <c r="H229" s="10">
        <f t="shared" si="10"/>
        <v>568167.61</v>
      </c>
      <c r="I229" s="9">
        <v>0</v>
      </c>
      <c r="K229" s="170">
        <f t="shared" si="11"/>
        <v>568167.61</v>
      </c>
      <c r="L229" s="170"/>
      <c r="M229" s="170"/>
      <c r="N229" s="8"/>
      <c r="O229" s="7"/>
      <c r="Q229" s="11"/>
    </row>
    <row r="230" spans="1:17" outlineLevel="2">
      <c r="A230" s="7">
        <f t="shared" si="12"/>
        <v>225</v>
      </c>
      <c r="B230" s="7" t="s">
        <v>27</v>
      </c>
      <c r="C230" s="7" t="s">
        <v>79</v>
      </c>
      <c r="D230" s="13" t="s">
        <v>696</v>
      </c>
      <c r="E230" s="8" t="s">
        <v>697</v>
      </c>
      <c r="F230" s="203">
        <v>15629036.98</v>
      </c>
      <c r="G230" s="9">
        <v>0</v>
      </c>
      <c r="H230" s="10">
        <f t="shared" si="10"/>
        <v>15629036.98</v>
      </c>
      <c r="I230" s="9">
        <v>0</v>
      </c>
      <c r="K230" s="170">
        <f t="shared" si="11"/>
        <v>15629036.98</v>
      </c>
      <c r="L230" s="170"/>
      <c r="M230" s="170"/>
      <c r="O230" s="7"/>
      <c r="Q230" s="11"/>
    </row>
    <row r="231" spans="1:17" outlineLevel="2">
      <c r="A231" s="7">
        <f t="shared" si="12"/>
        <v>226</v>
      </c>
      <c r="B231" s="7" t="s">
        <v>27</v>
      </c>
      <c r="C231" s="7" t="s">
        <v>79</v>
      </c>
      <c r="D231" s="13" t="s">
        <v>698</v>
      </c>
      <c r="E231" s="8" t="s">
        <v>699</v>
      </c>
      <c r="F231" s="203">
        <v>8420699.9299999997</v>
      </c>
      <c r="G231" s="9">
        <v>-97320</v>
      </c>
      <c r="H231" s="10">
        <f t="shared" si="10"/>
        <v>8323379.9299999997</v>
      </c>
      <c r="I231" s="9">
        <v>0</v>
      </c>
      <c r="J231" s="9">
        <v>-403</v>
      </c>
      <c r="K231" s="170">
        <f t="shared" si="11"/>
        <v>8322976.9299999997</v>
      </c>
      <c r="L231" s="170"/>
      <c r="M231" s="170"/>
      <c r="O231" s="7"/>
      <c r="Q231" s="11"/>
    </row>
    <row r="232" spans="1:17" outlineLevel="2">
      <c r="A232" s="7">
        <f t="shared" si="12"/>
        <v>227</v>
      </c>
      <c r="B232" s="7" t="s">
        <v>27</v>
      </c>
      <c r="C232" s="7" t="s">
        <v>79</v>
      </c>
      <c r="D232" s="13" t="s">
        <v>700</v>
      </c>
      <c r="E232" s="8" t="s">
        <v>701</v>
      </c>
      <c r="F232" s="203">
        <v>3289729.45</v>
      </c>
      <c r="G232" s="9">
        <v>-243116.9</v>
      </c>
      <c r="H232" s="10">
        <f t="shared" ref="H232:H291" si="13">F232+G232</f>
        <v>3046612.5500000003</v>
      </c>
      <c r="I232" s="9">
        <v>0</v>
      </c>
      <c r="K232" s="170">
        <f t="shared" ref="K232:K291" si="14">SUM(H232:J232)</f>
        <v>3046612.5500000003</v>
      </c>
      <c r="L232" s="170"/>
      <c r="M232" s="170"/>
      <c r="N232" s="8"/>
      <c r="O232" s="7"/>
      <c r="Q232" s="11"/>
    </row>
    <row r="233" spans="1:17" outlineLevel="2">
      <c r="A233" s="7">
        <f t="shared" si="12"/>
        <v>228</v>
      </c>
      <c r="B233" s="7" t="s">
        <v>27</v>
      </c>
      <c r="C233" s="7" t="s">
        <v>79</v>
      </c>
      <c r="D233" s="13" t="s">
        <v>702</v>
      </c>
      <c r="E233" s="8" t="s">
        <v>703</v>
      </c>
      <c r="F233" s="203">
        <v>183222.22</v>
      </c>
      <c r="G233" s="9">
        <v>0</v>
      </c>
      <c r="H233" s="10">
        <f t="shared" si="13"/>
        <v>183222.22</v>
      </c>
      <c r="I233" s="9">
        <v>0</v>
      </c>
      <c r="K233" s="170">
        <f t="shared" si="14"/>
        <v>183222.22</v>
      </c>
      <c r="L233" s="170"/>
      <c r="M233" s="170"/>
      <c r="N233" s="8"/>
      <c r="O233" s="7"/>
      <c r="Q233" s="11"/>
    </row>
    <row r="234" spans="1:17" outlineLevel="2">
      <c r="A234" s="7">
        <f t="shared" si="12"/>
        <v>229</v>
      </c>
      <c r="B234" s="7" t="s">
        <v>27</v>
      </c>
      <c r="C234" s="7" t="s">
        <v>79</v>
      </c>
      <c r="D234" s="13" t="s">
        <v>704</v>
      </c>
      <c r="E234" s="8" t="s">
        <v>705</v>
      </c>
      <c r="F234" s="203">
        <v>7471674.29</v>
      </c>
      <c r="G234" s="9">
        <v>-1346899.36</v>
      </c>
      <c r="H234" s="10">
        <f t="shared" si="13"/>
        <v>6124774.9299999997</v>
      </c>
      <c r="I234" s="9">
        <v>0</v>
      </c>
      <c r="K234" s="170">
        <f t="shared" si="14"/>
        <v>6124774.9299999997</v>
      </c>
      <c r="L234" s="170"/>
      <c r="M234" s="170"/>
      <c r="N234" s="8"/>
      <c r="O234" s="7"/>
      <c r="Q234" s="11"/>
    </row>
    <row r="235" spans="1:17" outlineLevel="2">
      <c r="A235" s="7">
        <f t="shared" si="12"/>
        <v>230</v>
      </c>
      <c r="B235" s="7" t="s">
        <v>27</v>
      </c>
      <c r="C235" s="7" t="s">
        <v>79</v>
      </c>
      <c r="D235" s="13" t="s">
        <v>706</v>
      </c>
      <c r="E235" s="8" t="s">
        <v>707</v>
      </c>
      <c r="F235" s="203">
        <v>2875981.99</v>
      </c>
      <c r="G235" s="9">
        <v>-1579680.04</v>
      </c>
      <c r="H235" s="10">
        <f t="shared" si="13"/>
        <v>1296301.9500000002</v>
      </c>
      <c r="I235" s="9">
        <v>0</v>
      </c>
      <c r="K235" s="170">
        <f t="shared" si="14"/>
        <v>1296301.9500000002</v>
      </c>
      <c r="L235" s="170"/>
      <c r="M235" s="170"/>
      <c r="N235" s="8"/>
      <c r="O235" s="7"/>
      <c r="Q235" s="11"/>
    </row>
    <row r="236" spans="1:17" outlineLevel="2">
      <c r="A236" s="7">
        <f t="shared" si="12"/>
        <v>231</v>
      </c>
      <c r="B236" s="7" t="s">
        <v>27</v>
      </c>
      <c r="C236" s="7" t="s">
        <v>79</v>
      </c>
      <c r="D236" s="13" t="s">
        <v>708</v>
      </c>
      <c r="E236" s="8" t="s">
        <v>709</v>
      </c>
      <c r="F236" s="203">
        <v>76395.83</v>
      </c>
      <c r="G236" s="9">
        <v>0</v>
      </c>
      <c r="H236" s="10">
        <f t="shared" si="13"/>
        <v>76395.83</v>
      </c>
      <c r="I236" s="9">
        <v>0</v>
      </c>
      <c r="K236" s="170">
        <f t="shared" si="14"/>
        <v>76395.83</v>
      </c>
      <c r="L236" s="170"/>
      <c r="M236" s="170"/>
      <c r="N236" s="8"/>
      <c r="O236" s="7"/>
      <c r="Q236" s="11"/>
    </row>
    <row r="237" spans="1:17" outlineLevel="2">
      <c r="A237" s="7">
        <f t="shared" si="12"/>
        <v>232</v>
      </c>
      <c r="B237" s="7" t="s">
        <v>27</v>
      </c>
      <c r="C237" s="7" t="s">
        <v>79</v>
      </c>
      <c r="D237" s="13" t="s">
        <v>710</v>
      </c>
      <c r="E237" s="8" t="s">
        <v>711</v>
      </c>
      <c r="F237" s="203">
        <v>2935</v>
      </c>
      <c r="G237" s="9">
        <v>0</v>
      </c>
      <c r="H237" s="10">
        <f t="shared" si="13"/>
        <v>2935</v>
      </c>
      <c r="I237" s="9">
        <v>0</v>
      </c>
      <c r="K237" s="170">
        <f t="shared" si="14"/>
        <v>2935</v>
      </c>
      <c r="L237" s="170"/>
      <c r="M237" s="170"/>
      <c r="N237" s="8"/>
      <c r="O237" s="7"/>
      <c r="Q237" s="11"/>
    </row>
    <row r="238" spans="1:17" s="4" customFormat="1" ht="13.5" outlineLevel="1" thickBot="1">
      <c r="A238" s="7">
        <f t="shared" si="12"/>
        <v>233</v>
      </c>
      <c r="B238" s="3" t="s">
        <v>27</v>
      </c>
      <c r="C238" s="14" t="s">
        <v>712</v>
      </c>
      <c r="D238" s="15"/>
      <c r="E238" s="16" t="s">
        <v>713</v>
      </c>
      <c r="F238" s="206">
        <f t="shared" ref="F238:K238" si="15">SUM(F112:F237)</f>
        <v>711396822.18000054</v>
      </c>
      <c r="G238" s="206">
        <f t="shared" si="15"/>
        <v>-38480955.609999999</v>
      </c>
      <c r="H238" s="206">
        <f t="shared" si="15"/>
        <v>672915866.57000029</v>
      </c>
      <c r="I238" s="140">
        <f t="shared" si="15"/>
        <v>0</v>
      </c>
      <c r="J238" s="140">
        <f t="shared" si="15"/>
        <v>-8376054</v>
      </c>
      <c r="K238" s="140">
        <f t="shared" si="15"/>
        <v>664539812.57000017</v>
      </c>
      <c r="L238" s="171"/>
      <c r="M238" s="171"/>
      <c r="N238" s="17"/>
      <c r="O238" s="3"/>
      <c r="P238" s="3"/>
      <c r="Q238" s="5"/>
    </row>
    <row r="239" spans="1:17" ht="13.5" outlineLevel="2" thickTop="1">
      <c r="A239" s="7">
        <f t="shared" si="12"/>
        <v>234</v>
      </c>
      <c r="B239" s="7" t="s">
        <v>27</v>
      </c>
      <c r="C239" s="7" t="s">
        <v>714</v>
      </c>
      <c r="D239" s="13" t="s">
        <v>715</v>
      </c>
      <c r="E239" s="8" t="s">
        <v>716</v>
      </c>
      <c r="F239" s="203">
        <v>3488667.41</v>
      </c>
      <c r="G239" s="9">
        <v>0</v>
      </c>
      <c r="H239" s="10">
        <f t="shared" si="13"/>
        <v>3488667.41</v>
      </c>
      <c r="I239" s="9">
        <v>0</v>
      </c>
      <c r="K239" s="170">
        <f t="shared" si="14"/>
        <v>3488667.41</v>
      </c>
      <c r="L239" s="170"/>
      <c r="M239" s="170"/>
      <c r="O239" s="7"/>
      <c r="Q239" s="11"/>
    </row>
    <row r="240" spans="1:17" outlineLevel="2">
      <c r="A240" s="7">
        <f t="shared" si="12"/>
        <v>235</v>
      </c>
      <c r="B240" s="7" t="s">
        <v>27</v>
      </c>
      <c r="C240" s="7" t="s">
        <v>714</v>
      </c>
      <c r="D240" s="13" t="s">
        <v>717</v>
      </c>
      <c r="E240" s="8" t="s">
        <v>718</v>
      </c>
      <c r="F240" s="203">
        <v>13518890.67</v>
      </c>
      <c r="G240" s="9">
        <v>0</v>
      </c>
      <c r="H240" s="10">
        <f t="shared" si="13"/>
        <v>13518890.67</v>
      </c>
      <c r="I240" s="9">
        <v>0</v>
      </c>
      <c r="K240" s="170">
        <f t="shared" si="14"/>
        <v>13518890.67</v>
      </c>
      <c r="L240" s="170"/>
      <c r="M240" s="170"/>
      <c r="O240" s="7"/>
      <c r="Q240" s="11"/>
    </row>
    <row r="241" spans="1:17" outlineLevel="2">
      <c r="A241" s="7">
        <f t="shared" si="12"/>
        <v>236</v>
      </c>
      <c r="B241" s="7" t="s">
        <v>27</v>
      </c>
      <c r="C241" s="7" t="s">
        <v>714</v>
      </c>
      <c r="D241" s="13" t="s">
        <v>719</v>
      </c>
      <c r="E241" s="8" t="s">
        <v>720</v>
      </c>
      <c r="F241" s="203">
        <v>6853288.5700000003</v>
      </c>
      <c r="G241" s="9">
        <v>0</v>
      </c>
      <c r="H241" s="10">
        <f t="shared" si="13"/>
        <v>6853288.5700000003</v>
      </c>
      <c r="I241" s="9">
        <v>0</v>
      </c>
      <c r="K241" s="170">
        <f t="shared" si="14"/>
        <v>6853288.5700000003</v>
      </c>
      <c r="L241" s="170"/>
      <c r="M241" s="170"/>
      <c r="O241" s="7"/>
      <c r="Q241" s="11"/>
    </row>
    <row r="242" spans="1:17" outlineLevel="2">
      <c r="A242" s="7">
        <f t="shared" si="12"/>
        <v>237</v>
      </c>
      <c r="B242" s="7" t="s">
        <v>27</v>
      </c>
      <c r="C242" s="7" t="s">
        <v>714</v>
      </c>
      <c r="D242" s="13" t="s">
        <v>721</v>
      </c>
      <c r="E242" s="8" t="s">
        <v>722</v>
      </c>
      <c r="F242" s="203">
        <v>3852063.84</v>
      </c>
      <c r="G242" s="9">
        <v>0</v>
      </c>
      <c r="H242" s="10">
        <f t="shared" si="13"/>
        <v>3852063.84</v>
      </c>
      <c r="I242" s="9">
        <v>0</v>
      </c>
      <c r="K242" s="170">
        <f t="shared" si="14"/>
        <v>3852063.84</v>
      </c>
      <c r="L242" s="170"/>
      <c r="M242" s="170"/>
      <c r="O242" s="7"/>
      <c r="Q242" s="11"/>
    </row>
    <row r="243" spans="1:17" outlineLevel="2">
      <c r="A243" s="7">
        <f t="shared" si="12"/>
        <v>238</v>
      </c>
      <c r="B243" s="7" t="s">
        <v>27</v>
      </c>
      <c r="C243" s="7" t="s">
        <v>714</v>
      </c>
      <c r="D243" s="13" t="s">
        <v>723</v>
      </c>
      <c r="E243" s="8" t="s">
        <v>724</v>
      </c>
      <c r="F243" s="203">
        <v>2203120.67</v>
      </c>
      <c r="G243" s="9">
        <v>0</v>
      </c>
      <c r="H243" s="10">
        <f t="shared" si="13"/>
        <v>2203120.67</v>
      </c>
      <c r="I243" s="9">
        <v>0</v>
      </c>
      <c r="K243" s="170">
        <f t="shared" si="14"/>
        <v>2203120.67</v>
      </c>
      <c r="L243" s="170"/>
      <c r="M243" s="170"/>
      <c r="O243" s="7"/>
      <c r="Q243" s="11"/>
    </row>
    <row r="244" spans="1:17" outlineLevel="2">
      <c r="A244" s="7">
        <f t="shared" si="12"/>
        <v>239</v>
      </c>
      <c r="B244" s="7" t="s">
        <v>27</v>
      </c>
      <c r="C244" s="7" t="s">
        <v>714</v>
      </c>
      <c r="D244" s="13" t="s">
        <v>725</v>
      </c>
      <c r="E244" s="8" t="s">
        <v>726</v>
      </c>
      <c r="F244" s="203">
        <v>584445.11</v>
      </c>
      <c r="G244" s="9">
        <v>0</v>
      </c>
      <c r="H244" s="10">
        <f t="shared" si="13"/>
        <v>584445.11</v>
      </c>
      <c r="I244" s="9">
        <v>0</v>
      </c>
      <c r="K244" s="170">
        <f t="shared" si="14"/>
        <v>584445.11</v>
      </c>
      <c r="L244" s="170"/>
      <c r="M244" s="170"/>
      <c r="O244" s="7"/>
      <c r="Q244" s="11"/>
    </row>
    <row r="245" spans="1:17" outlineLevel="2">
      <c r="A245" s="7">
        <f t="shared" si="12"/>
        <v>240</v>
      </c>
      <c r="B245" s="7" t="s">
        <v>727</v>
      </c>
      <c r="C245" s="7" t="s">
        <v>714</v>
      </c>
      <c r="D245" s="13" t="s">
        <v>728</v>
      </c>
      <c r="E245" s="8" t="s">
        <v>729</v>
      </c>
      <c r="F245" s="203">
        <f>8407258.68*0.5</f>
        <v>4203629.34</v>
      </c>
      <c r="G245" s="9">
        <v>0</v>
      </c>
      <c r="H245" s="10">
        <f t="shared" si="13"/>
        <v>4203629.34</v>
      </c>
      <c r="I245" s="9">
        <v>0</v>
      </c>
      <c r="K245" s="170">
        <f t="shared" si="14"/>
        <v>4203629.34</v>
      </c>
      <c r="L245" s="170"/>
      <c r="M245" s="170"/>
      <c r="O245" s="7"/>
      <c r="Q245" s="11"/>
    </row>
    <row r="246" spans="1:17" outlineLevel="2">
      <c r="A246" s="7">
        <f t="shared" si="12"/>
        <v>241</v>
      </c>
      <c r="B246" s="7" t="s">
        <v>27</v>
      </c>
      <c r="C246" s="7" t="s">
        <v>714</v>
      </c>
      <c r="D246" s="13" t="s">
        <v>730</v>
      </c>
      <c r="E246" s="8" t="s">
        <v>731</v>
      </c>
      <c r="F246" s="203">
        <v>2209622.59</v>
      </c>
      <c r="G246" s="9">
        <v>0</v>
      </c>
      <c r="H246" s="10">
        <f t="shared" si="13"/>
        <v>2209622.59</v>
      </c>
      <c r="I246" s="9">
        <v>0</v>
      </c>
      <c r="K246" s="170">
        <f t="shared" si="14"/>
        <v>2209622.59</v>
      </c>
      <c r="L246" s="170"/>
      <c r="M246" s="170"/>
      <c r="O246" s="7"/>
      <c r="Q246" s="11"/>
    </row>
    <row r="247" spans="1:17" outlineLevel="2">
      <c r="A247" s="7">
        <f t="shared" si="12"/>
        <v>242</v>
      </c>
      <c r="B247" s="7" t="s">
        <v>27</v>
      </c>
      <c r="C247" s="7" t="s">
        <v>714</v>
      </c>
      <c r="D247" s="13" t="s">
        <v>732</v>
      </c>
      <c r="E247" s="8" t="s">
        <v>733</v>
      </c>
      <c r="F247" s="203">
        <v>3003551.48</v>
      </c>
      <c r="G247" s="9">
        <v>0</v>
      </c>
      <c r="H247" s="10">
        <f t="shared" si="13"/>
        <v>3003551.48</v>
      </c>
      <c r="I247" s="9">
        <v>0</v>
      </c>
      <c r="K247" s="170">
        <f t="shared" si="14"/>
        <v>3003551.48</v>
      </c>
      <c r="L247" s="170"/>
      <c r="M247" s="170"/>
      <c r="O247" s="7"/>
      <c r="Q247" s="11"/>
    </row>
    <row r="248" spans="1:17" outlineLevel="2">
      <c r="A248" s="7">
        <f t="shared" si="12"/>
        <v>243</v>
      </c>
      <c r="B248" s="7" t="s">
        <v>27</v>
      </c>
      <c r="C248" s="7" t="s">
        <v>714</v>
      </c>
      <c r="D248" s="13" t="s">
        <v>734</v>
      </c>
      <c r="E248" s="8" t="s">
        <v>735</v>
      </c>
      <c r="F248" s="203">
        <v>3874657.35</v>
      </c>
      <c r="G248" s="9">
        <v>0</v>
      </c>
      <c r="H248" s="10">
        <f t="shared" si="13"/>
        <v>3874657.35</v>
      </c>
      <c r="I248" s="9">
        <v>0</v>
      </c>
      <c r="K248" s="170">
        <f t="shared" si="14"/>
        <v>3874657.35</v>
      </c>
      <c r="L248" s="170"/>
      <c r="M248" s="170"/>
      <c r="O248" s="7"/>
      <c r="Q248" s="11"/>
    </row>
    <row r="249" spans="1:17" outlineLevel="2">
      <c r="A249" s="7">
        <f t="shared" si="12"/>
        <v>244</v>
      </c>
      <c r="B249" s="7" t="s">
        <v>27</v>
      </c>
      <c r="C249" s="7" t="s">
        <v>714</v>
      </c>
      <c r="D249" s="13" t="s">
        <v>736</v>
      </c>
      <c r="E249" s="8" t="s">
        <v>737</v>
      </c>
      <c r="F249" s="203">
        <v>96884.41</v>
      </c>
      <c r="G249" s="9">
        <v>0</v>
      </c>
      <c r="H249" s="10">
        <f t="shared" si="13"/>
        <v>96884.41</v>
      </c>
      <c r="I249" s="9">
        <v>0</v>
      </c>
      <c r="K249" s="170">
        <f t="shared" si="14"/>
        <v>96884.41</v>
      </c>
      <c r="L249" s="170"/>
      <c r="M249" s="170"/>
      <c r="O249" s="7"/>
      <c r="Q249" s="11"/>
    </row>
    <row r="250" spans="1:17" outlineLevel="2">
      <c r="A250" s="7">
        <f t="shared" si="12"/>
        <v>245</v>
      </c>
      <c r="B250" s="7" t="s">
        <v>27</v>
      </c>
      <c r="C250" s="7" t="s">
        <v>714</v>
      </c>
      <c r="D250" s="13" t="s">
        <v>738</v>
      </c>
      <c r="E250" s="8" t="s">
        <v>739</v>
      </c>
      <c r="F250" s="203">
        <v>1667485.39</v>
      </c>
      <c r="G250" s="9">
        <v>0</v>
      </c>
      <c r="H250" s="10">
        <f t="shared" si="13"/>
        <v>1667485.39</v>
      </c>
      <c r="I250" s="9">
        <v>0</v>
      </c>
      <c r="K250" s="170">
        <f t="shared" si="14"/>
        <v>1667485.39</v>
      </c>
      <c r="L250" s="170"/>
      <c r="M250" s="170"/>
      <c r="O250" s="7"/>
      <c r="Q250" s="11"/>
    </row>
    <row r="251" spans="1:17" outlineLevel="2">
      <c r="A251" s="7">
        <f t="shared" si="12"/>
        <v>246</v>
      </c>
      <c r="B251" s="7" t="s">
        <v>27</v>
      </c>
      <c r="C251" s="7" t="s">
        <v>714</v>
      </c>
      <c r="D251" s="13" t="s">
        <v>740</v>
      </c>
      <c r="E251" s="8" t="s">
        <v>741</v>
      </c>
      <c r="F251" s="203">
        <v>1053841.07</v>
      </c>
      <c r="G251" s="9">
        <v>0</v>
      </c>
      <c r="H251" s="10">
        <f t="shared" si="13"/>
        <v>1053841.07</v>
      </c>
      <c r="I251" s="9">
        <v>0</v>
      </c>
      <c r="K251" s="170">
        <f t="shared" si="14"/>
        <v>1053841.07</v>
      </c>
      <c r="L251" s="170"/>
      <c r="M251" s="170"/>
      <c r="O251" s="7"/>
      <c r="Q251" s="11"/>
    </row>
    <row r="252" spans="1:17" outlineLevel="2">
      <c r="A252" s="7">
        <f t="shared" si="12"/>
        <v>247</v>
      </c>
      <c r="B252" s="7" t="s">
        <v>27</v>
      </c>
      <c r="C252" s="7" t="s">
        <v>714</v>
      </c>
      <c r="D252" s="13" t="s">
        <v>742</v>
      </c>
      <c r="E252" s="8" t="s">
        <v>743</v>
      </c>
      <c r="F252" s="203">
        <v>2221966.7200000002</v>
      </c>
      <c r="G252" s="9">
        <v>0</v>
      </c>
      <c r="H252" s="10">
        <f t="shared" si="13"/>
        <v>2221966.7200000002</v>
      </c>
      <c r="I252" s="9">
        <v>0</v>
      </c>
      <c r="K252" s="170">
        <f t="shared" si="14"/>
        <v>2221966.7200000002</v>
      </c>
      <c r="L252" s="170"/>
      <c r="M252" s="170"/>
      <c r="O252" s="7"/>
      <c r="Q252" s="11"/>
    </row>
    <row r="253" spans="1:17" outlineLevel="2">
      <c r="A253" s="7">
        <f t="shared" si="12"/>
        <v>248</v>
      </c>
      <c r="B253" s="7" t="s">
        <v>27</v>
      </c>
      <c r="C253" s="7" t="s">
        <v>714</v>
      </c>
      <c r="D253" s="13" t="s">
        <v>744</v>
      </c>
      <c r="E253" s="8" t="s">
        <v>745</v>
      </c>
      <c r="F253" s="28">
        <v>1285818.92</v>
      </c>
      <c r="G253" s="9">
        <v>0</v>
      </c>
      <c r="H253" s="10">
        <f t="shared" si="13"/>
        <v>1285818.92</v>
      </c>
      <c r="I253" s="9">
        <v>0</v>
      </c>
      <c r="K253" s="170">
        <f t="shared" si="14"/>
        <v>1285818.92</v>
      </c>
      <c r="L253" s="170"/>
      <c r="M253" s="170"/>
      <c r="O253" s="7"/>
      <c r="Q253" s="11"/>
    </row>
    <row r="254" spans="1:17" ht="12.75" customHeight="1" outlineLevel="2">
      <c r="A254" s="7">
        <f t="shared" si="12"/>
        <v>249</v>
      </c>
      <c r="B254" s="7" t="s">
        <v>27</v>
      </c>
      <c r="C254" s="7" t="s">
        <v>714</v>
      </c>
      <c r="D254" s="457" t="s">
        <v>746</v>
      </c>
      <c r="E254" s="8" t="s">
        <v>747</v>
      </c>
      <c r="F254" s="28">
        <v>7115527.4800000004</v>
      </c>
      <c r="G254" s="9">
        <v>0</v>
      </c>
      <c r="H254" s="10">
        <f t="shared" si="13"/>
        <v>7115527.4800000004</v>
      </c>
      <c r="I254" s="9">
        <v>0</v>
      </c>
      <c r="K254" s="170">
        <f t="shared" si="14"/>
        <v>7115527.4800000004</v>
      </c>
      <c r="L254" s="170"/>
      <c r="M254" s="170"/>
      <c r="N254" s="8"/>
      <c r="O254" s="7"/>
      <c r="Q254" s="11"/>
    </row>
    <row r="255" spans="1:17" outlineLevel="2">
      <c r="A255" s="7">
        <f t="shared" si="12"/>
        <v>250</v>
      </c>
      <c r="B255" s="7" t="s">
        <v>27</v>
      </c>
      <c r="C255" s="7" t="s">
        <v>714</v>
      </c>
      <c r="D255" s="13" t="s">
        <v>748</v>
      </c>
      <c r="E255" s="8" t="s">
        <v>749</v>
      </c>
      <c r="F255" s="28">
        <v>4740500.03</v>
      </c>
      <c r="G255" s="9">
        <v>0</v>
      </c>
      <c r="H255" s="10">
        <f t="shared" si="13"/>
        <v>4740500.03</v>
      </c>
      <c r="I255" s="9">
        <v>0</v>
      </c>
      <c r="K255" s="170">
        <f t="shared" si="14"/>
        <v>4740500.03</v>
      </c>
      <c r="L255" s="170"/>
      <c r="M255" s="170"/>
      <c r="N255" s="457"/>
      <c r="O255" s="7"/>
    </row>
    <row r="256" spans="1:17" outlineLevel="2">
      <c r="A256" s="7">
        <f t="shared" si="12"/>
        <v>251</v>
      </c>
      <c r="B256" s="7" t="s">
        <v>27</v>
      </c>
      <c r="C256" s="7" t="s">
        <v>714</v>
      </c>
      <c r="D256" s="13" t="s">
        <v>750</v>
      </c>
      <c r="E256" s="8" t="s">
        <v>751</v>
      </c>
      <c r="F256" s="28">
        <v>7452150.5499999998</v>
      </c>
      <c r="G256" s="9">
        <v>0</v>
      </c>
      <c r="H256" s="10">
        <f t="shared" si="13"/>
        <v>7452150.5499999998</v>
      </c>
      <c r="I256" s="9">
        <v>0</v>
      </c>
      <c r="K256" s="170">
        <f t="shared" si="14"/>
        <v>7452150.5499999998</v>
      </c>
      <c r="L256" s="170"/>
      <c r="M256" s="170"/>
      <c r="O256" s="7"/>
      <c r="Q256" s="11"/>
    </row>
    <row r="257" spans="1:17" s="4" customFormat="1" ht="13.5" outlineLevel="1" thickBot="1">
      <c r="A257" s="7">
        <f t="shared" si="12"/>
        <v>252</v>
      </c>
      <c r="B257" s="3" t="s">
        <v>27</v>
      </c>
      <c r="C257" s="14" t="s">
        <v>752</v>
      </c>
      <c r="D257" s="15"/>
      <c r="E257" s="16" t="s">
        <v>753</v>
      </c>
      <c r="F257" s="26">
        <f t="shared" ref="F257:K257" si="16">SUM(F239:F256)</f>
        <v>69426111.599999994</v>
      </c>
      <c r="G257" s="26">
        <f t="shared" si="16"/>
        <v>0</v>
      </c>
      <c r="H257" s="26">
        <f t="shared" si="16"/>
        <v>69426111.599999994</v>
      </c>
      <c r="I257" s="139">
        <f t="shared" si="16"/>
        <v>0</v>
      </c>
      <c r="J257" s="139">
        <f t="shared" si="16"/>
        <v>0</v>
      </c>
      <c r="K257" s="139">
        <f t="shared" si="16"/>
        <v>69426111.599999994</v>
      </c>
      <c r="L257" s="171"/>
      <c r="M257" s="171"/>
      <c r="N257" s="17"/>
      <c r="O257" s="3"/>
      <c r="P257" s="3"/>
      <c r="Q257" s="5"/>
    </row>
    <row r="258" spans="1:17" ht="13.5" outlineLevel="2" thickTop="1">
      <c r="A258" s="7">
        <f t="shared" si="12"/>
        <v>253</v>
      </c>
      <c r="B258" s="7" t="s">
        <v>27</v>
      </c>
      <c r="C258" s="7" t="s">
        <v>83</v>
      </c>
      <c r="D258" s="13" t="s">
        <v>754</v>
      </c>
      <c r="E258" s="1" t="s">
        <v>755</v>
      </c>
      <c r="F258" s="28">
        <v>7134157.2999999998</v>
      </c>
      <c r="G258" s="9">
        <v>0</v>
      </c>
      <c r="H258" s="10">
        <f t="shared" si="13"/>
        <v>7134157.2999999998</v>
      </c>
      <c r="I258" s="9">
        <v>0</v>
      </c>
      <c r="J258" s="9">
        <f>'WS5-FacDetail'!J18</f>
        <v>0</v>
      </c>
      <c r="K258" s="170">
        <f t="shared" si="14"/>
        <v>7134157.2999999998</v>
      </c>
      <c r="L258" s="170"/>
      <c r="M258" s="170"/>
      <c r="N258" s="655" t="s">
        <v>756</v>
      </c>
      <c r="O258" s="7"/>
    </row>
    <row r="259" spans="1:17" ht="12.75" customHeight="1" outlineLevel="2">
      <c r="A259" s="7">
        <f t="shared" si="12"/>
        <v>254</v>
      </c>
      <c r="B259" s="7" t="s">
        <v>27</v>
      </c>
      <c r="C259" s="7" t="s">
        <v>83</v>
      </c>
      <c r="D259" s="13" t="s">
        <v>757</v>
      </c>
      <c r="E259" s="8" t="s">
        <v>758</v>
      </c>
      <c r="F259" s="28">
        <v>1785957.71</v>
      </c>
      <c r="G259" s="9">
        <v>0</v>
      </c>
      <c r="H259" s="10">
        <f t="shared" si="13"/>
        <v>1785957.71</v>
      </c>
      <c r="I259" s="9">
        <f>'WS5-FacDetail'!J19</f>
        <v>-355271.20799000026</v>
      </c>
      <c r="K259" s="170">
        <f>SUM(H259:J259)</f>
        <v>1430686.5020099997</v>
      </c>
      <c r="L259" s="170"/>
      <c r="M259" s="170"/>
      <c r="N259" s="656"/>
      <c r="O259" s="7"/>
      <c r="Q259" s="11"/>
    </row>
    <row r="260" spans="1:17" outlineLevel="2">
      <c r="A260" s="7">
        <f t="shared" si="12"/>
        <v>255</v>
      </c>
      <c r="B260" s="7" t="s">
        <v>27</v>
      </c>
      <c r="C260" s="7" t="s">
        <v>83</v>
      </c>
      <c r="D260" s="13" t="s">
        <v>759</v>
      </c>
      <c r="E260" s="8" t="s">
        <v>760</v>
      </c>
      <c r="F260" s="28">
        <v>12261115.82</v>
      </c>
      <c r="G260" s="9">
        <v>0</v>
      </c>
      <c r="H260" s="10">
        <f t="shared" si="13"/>
        <v>12261115.82</v>
      </c>
      <c r="I260" s="9">
        <f>'WS5-FacDetail'!J20</f>
        <v>-1588854.0393500011</v>
      </c>
      <c r="K260" s="170">
        <f t="shared" si="14"/>
        <v>10672261.780649999</v>
      </c>
      <c r="L260" s="170"/>
      <c r="M260" s="170"/>
      <c r="N260" s="656"/>
      <c r="O260" s="7"/>
      <c r="Q260" s="11"/>
    </row>
    <row r="261" spans="1:17" s="4" customFormat="1" ht="13.5" outlineLevel="1" thickBot="1">
      <c r="A261" s="7">
        <f t="shared" si="12"/>
        <v>256</v>
      </c>
      <c r="B261" s="3" t="s">
        <v>27</v>
      </c>
      <c r="C261" s="14" t="s">
        <v>761</v>
      </c>
      <c r="D261" s="15"/>
      <c r="E261" s="16" t="s">
        <v>762</v>
      </c>
      <c r="F261" s="26">
        <f t="shared" ref="F261:K261" si="17">SUM(F258:F260)</f>
        <v>21181230.829999998</v>
      </c>
      <c r="G261" s="26">
        <f t="shared" si="17"/>
        <v>0</v>
      </c>
      <c r="H261" s="26">
        <f t="shared" si="17"/>
        <v>21181230.829999998</v>
      </c>
      <c r="I261" s="139">
        <f t="shared" si="17"/>
        <v>-1944125.2473400014</v>
      </c>
      <c r="J261" s="139">
        <f t="shared" si="17"/>
        <v>0</v>
      </c>
      <c r="K261" s="139">
        <f t="shared" si="17"/>
        <v>19237105.582659997</v>
      </c>
      <c r="L261" s="171"/>
      <c r="M261" s="171"/>
      <c r="N261" s="20"/>
      <c r="O261" s="3"/>
      <c r="P261" s="3"/>
      <c r="Q261" s="5"/>
    </row>
    <row r="262" spans="1:17" ht="13.5" outlineLevel="2" thickTop="1">
      <c r="A262" s="7">
        <f t="shared" si="12"/>
        <v>257</v>
      </c>
      <c r="B262" s="7" t="s">
        <v>27</v>
      </c>
      <c r="C262" s="7" t="s">
        <v>763</v>
      </c>
      <c r="D262" s="13" t="s">
        <v>764</v>
      </c>
      <c r="E262" s="8" t="s">
        <v>765</v>
      </c>
      <c r="F262" s="28">
        <v>69740.75</v>
      </c>
      <c r="G262" s="9">
        <v>0</v>
      </c>
      <c r="H262" s="10">
        <f t="shared" si="13"/>
        <v>69740.75</v>
      </c>
      <c r="I262" s="9">
        <v>0</v>
      </c>
      <c r="K262" s="170">
        <f>SUM(H262:J262)</f>
        <v>69740.75</v>
      </c>
      <c r="L262" s="170"/>
      <c r="M262" s="170"/>
      <c r="O262" s="7"/>
      <c r="Q262" s="11"/>
    </row>
    <row r="263" spans="1:17" outlineLevel="2">
      <c r="A263" s="7">
        <f t="shared" si="12"/>
        <v>258</v>
      </c>
      <c r="B263" s="7" t="s">
        <v>27</v>
      </c>
      <c r="C263" s="7" t="s">
        <v>763</v>
      </c>
      <c r="D263" s="13" t="s">
        <v>766</v>
      </c>
      <c r="E263" s="8" t="s">
        <v>767</v>
      </c>
      <c r="F263" s="28">
        <v>218492.84</v>
      </c>
      <c r="G263" s="9">
        <v>0</v>
      </c>
      <c r="H263" s="10">
        <f t="shared" si="13"/>
        <v>218492.84</v>
      </c>
      <c r="I263" s="9">
        <v>0</v>
      </c>
      <c r="K263" s="170">
        <f t="shared" si="14"/>
        <v>218492.84</v>
      </c>
      <c r="L263" s="170"/>
      <c r="M263" s="170"/>
      <c r="O263" s="7"/>
      <c r="Q263" s="11"/>
    </row>
    <row r="264" spans="1:17" outlineLevel="2">
      <c r="A264" s="7">
        <f t="shared" si="12"/>
        <v>259</v>
      </c>
      <c r="B264" s="7" t="s">
        <v>27</v>
      </c>
      <c r="C264" s="7" t="s">
        <v>763</v>
      </c>
      <c r="D264" s="13" t="s">
        <v>768</v>
      </c>
      <c r="E264" s="8" t="s">
        <v>769</v>
      </c>
      <c r="F264" s="28">
        <v>526201.25</v>
      </c>
      <c r="G264" s="9">
        <v>0</v>
      </c>
      <c r="H264" s="10">
        <f t="shared" si="13"/>
        <v>526201.25</v>
      </c>
      <c r="I264" s="9">
        <v>0</v>
      </c>
      <c r="K264" s="170">
        <f t="shared" si="14"/>
        <v>526201.25</v>
      </c>
      <c r="L264" s="170"/>
      <c r="M264" s="170"/>
      <c r="O264" s="7"/>
      <c r="Q264" s="11"/>
    </row>
    <row r="265" spans="1:17" outlineLevel="2">
      <c r="A265" s="7">
        <f t="shared" ref="A265:A328" si="18">A264+1</f>
        <v>260</v>
      </c>
      <c r="B265" s="7" t="s">
        <v>27</v>
      </c>
      <c r="C265" s="7" t="s">
        <v>763</v>
      </c>
      <c r="D265" s="13" t="s">
        <v>770</v>
      </c>
      <c r="E265" s="8" t="s">
        <v>771</v>
      </c>
      <c r="F265" s="28">
        <v>170278</v>
      </c>
      <c r="G265" s="9">
        <v>0</v>
      </c>
      <c r="H265" s="10">
        <f t="shared" si="13"/>
        <v>170278</v>
      </c>
      <c r="I265" s="9">
        <v>0</v>
      </c>
      <c r="K265" s="170">
        <f t="shared" si="14"/>
        <v>170278</v>
      </c>
      <c r="L265" s="170"/>
      <c r="M265" s="170"/>
      <c r="O265" s="7"/>
      <c r="Q265" s="11"/>
    </row>
    <row r="266" spans="1:17" outlineLevel="2">
      <c r="A266" s="7">
        <f t="shared" si="18"/>
        <v>261</v>
      </c>
      <c r="B266" s="7" t="s">
        <v>27</v>
      </c>
      <c r="C266" s="7" t="s">
        <v>763</v>
      </c>
      <c r="D266" s="13" t="s">
        <v>772</v>
      </c>
      <c r="E266" s="8" t="s">
        <v>773</v>
      </c>
      <c r="F266" s="28">
        <v>35070.980000000003</v>
      </c>
      <c r="G266" s="9">
        <v>0</v>
      </c>
      <c r="H266" s="10">
        <f t="shared" si="13"/>
        <v>35070.980000000003</v>
      </c>
      <c r="I266" s="9">
        <v>0</v>
      </c>
      <c r="K266" s="170">
        <f t="shared" si="14"/>
        <v>35070.980000000003</v>
      </c>
      <c r="L266" s="170"/>
      <c r="M266" s="170"/>
      <c r="O266" s="7"/>
      <c r="Q266" s="11"/>
    </row>
    <row r="267" spans="1:17" outlineLevel="2">
      <c r="A267" s="7">
        <f t="shared" si="18"/>
        <v>262</v>
      </c>
      <c r="B267" s="7" t="s">
        <v>27</v>
      </c>
      <c r="C267" s="7" t="s">
        <v>763</v>
      </c>
      <c r="D267" s="13" t="s">
        <v>774</v>
      </c>
      <c r="E267" s="8" t="s">
        <v>775</v>
      </c>
      <c r="F267" s="28">
        <v>163694.91</v>
      </c>
      <c r="G267" s="9">
        <v>0</v>
      </c>
      <c r="H267" s="10">
        <f t="shared" si="13"/>
        <v>163694.91</v>
      </c>
      <c r="I267" s="9">
        <v>0</v>
      </c>
      <c r="K267" s="170">
        <f t="shared" si="14"/>
        <v>163694.91</v>
      </c>
      <c r="L267" s="170"/>
      <c r="M267" s="170"/>
      <c r="O267" s="7"/>
      <c r="Q267" s="11"/>
    </row>
    <row r="268" spans="1:17" outlineLevel="2">
      <c r="A268" s="7">
        <f t="shared" si="18"/>
        <v>263</v>
      </c>
      <c r="B268" s="7" t="s">
        <v>27</v>
      </c>
      <c r="C268" s="7" t="s">
        <v>763</v>
      </c>
      <c r="D268" s="13" t="s">
        <v>776</v>
      </c>
      <c r="E268" s="8" t="s">
        <v>777</v>
      </c>
      <c r="F268" s="28">
        <v>19074.86</v>
      </c>
      <c r="G268" s="9">
        <v>0</v>
      </c>
      <c r="H268" s="10">
        <f t="shared" si="13"/>
        <v>19074.86</v>
      </c>
      <c r="I268" s="9">
        <v>0</v>
      </c>
      <c r="K268" s="170">
        <f t="shared" si="14"/>
        <v>19074.86</v>
      </c>
      <c r="L268" s="170"/>
      <c r="M268" s="170"/>
      <c r="O268" s="7"/>
      <c r="Q268" s="11"/>
    </row>
    <row r="269" spans="1:17" outlineLevel="2">
      <c r="A269" s="7">
        <f t="shared" si="18"/>
        <v>264</v>
      </c>
      <c r="B269" s="7" t="s">
        <v>27</v>
      </c>
      <c r="C269" s="7" t="s">
        <v>763</v>
      </c>
      <c r="D269" s="13" t="s">
        <v>778</v>
      </c>
      <c r="E269" s="8" t="s">
        <v>779</v>
      </c>
      <c r="F269" s="28">
        <v>127143.62</v>
      </c>
      <c r="G269" s="9">
        <v>0</v>
      </c>
      <c r="H269" s="10">
        <f t="shared" si="13"/>
        <v>127143.62</v>
      </c>
      <c r="I269" s="9">
        <v>0</v>
      </c>
      <c r="K269" s="170">
        <f t="shared" si="14"/>
        <v>127143.62</v>
      </c>
      <c r="L269" s="170"/>
      <c r="M269" s="170"/>
      <c r="O269" s="7"/>
      <c r="Q269" s="11"/>
    </row>
    <row r="270" spans="1:17" outlineLevel="2">
      <c r="A270" s="7">
        <f t="shared" si="18"/>
        <v>265</v>
      </c>
      <c r="B270" s="7" t="s">
        <v>27</v>
      </c>
      <c r="C270" s="7" t="s">
        <v>763</v>
      </c>
      <c r="D270" s="13" t="s">
        <v>780</v>
      </c>
      <c r="E270" s="8" t="s">
        <v>781</v>
      </c>
      <c r="F270" s="28">
        <v>404166.08</v>
      </c>
      <c r="G270" s="9">
        <v>0</v>
      </c>
      <c r="H270" s="10">
        <f t="shared" si="13"/>
        <v>404166.08</v>
      </c>
      <c r="I270" s="9">
        <v>0</v>
      </c>
      <c r="K270" s="170">
        <f t="shared" si="14"/>
        <v>404166.08</v>
      </c>
      <c r="L270" s="170"/>
      <c r="M270" s="170"/>
      <c r="O270" s="7"/>
      <c r="Q270" s="11"/>
    </row>
    <row r="271" spans="1:17" outlineLevel="2">
      <c r="A271" s="7">
        <f t="shared" si="18"/>
        <v>266</v>
      </c>
      <c r="B271" s="7" t="s">
        <v>27</v>
      </c>
      <c r="C271" s="7" t="s">
        <v>763</v>
      </c>
      <c r="D271" s="13" t="s">
        <v>782</v>
      </c>
      <c r="E271" s="8" t="s">
        <v>783</v>
      </c>
      <c r="F271" s="28">
        <v>1474766.3</v>
      </c>
      <c r="G271" s="9">
        <v>-1474766.3</v>
      </c>
      <c r="H271" s="10">
        <f t="shared" si="13"/>
        <v>0</v>
      </c>
      <c r="K271" s="170">
        <f t="shared" si="14"/>
        <v>0</v>
      </c>
      <c r="L271" s="170"/>
      <c r="M271" s="170"/>
      <c r="O271" s="7"/>
      <c r="Q271" s="11"/>
    </row>
    <row r="272" spans="1:17" outlineLevel="2">
      <c r="A272" s="7">
        <f t="shared" si="18"/>
        <v>267</v>
      </c>
      <c r="B272" s="7" t="s">
        <v>27</v>
      </c>
      <c r="C272" s="7" t="s">
        <v>763</v>
      </c>
      <c r="D272" s="13" t="s">
        <v>784</v>
      </c>
      <c r="E272" s="8" t="s">
        <v>785</v>
      </c>
      <c r="F272" s="28">
        <v>192498.02</v>
      </c>
      <c r="G272" s="9">
        <v>-192498.02</v>
      </c>
      <c r="H272" s="10">
        <f t="shared" si="13"/>
        <v>0</v>
      </c>
      <c r="I272" s="9">
        <v>0</v>
      </c>
      <c r="K272" s="170">
        <f t="shared" si="14"/>
        <v>0</v>
      </c>
      <c r="L272" s="170"/>
      <c r="M272" s="170"/>
      <c r="O272" s="7"/>
      <c r="Q272" s="11"/>
    </row>
    <row r="273" spans="1:17" outlineLevel="2">
      <c r="A273" s="7">
        <f t="shared" si="18"/>
        <v>268</v>
      </c>
      <c r="B273" s="7" t="s">
        <v>27</v>
      </c>
      <c r="C273" s="7" t="s">
        <v>763</v>
      </c>
      <c r="D273" s="13" t="s">
        <v>786</v>
      </c>
      <c r="E273" s="8" t="s">
        <v>787</v>
      </c>
      <c r="F273" s="28">
        <f>2176589.12+57719.42+71118</f>
        <v>2305426.54</v>
      </c>
      <c r="G273" s="9">
        <v>0</v>
      </c>
      <c r="H273" s="10">
        <f t="shared" si="13"/>
        <v>2305426.54</v>
      </c>
      <c r="I273" s="9">
        <v>0</v>
      </c>
      <c r="K273" s="170">
        <f t="shared" si="14"/>
        <v>2305426.54</v>
      </c>
      <c r="L273" s="170"/>
      <c r="M273" s="170"/>
      <c r="O273" s="7"/>
      <c r="Q273" s="11"/>
    </row>
    <row r="274" spans="1:17" outlineLevel="2">
      <c r="A274" s="7">
        <f t="shared" si="18"/>
        <v>269</v>
      </c>
      <c r="B274" s="7" t="s">
        <v>27</v>
      </c>
      <c r="C274" s="7" t="s">
        <v>763</v>
      </c>
      <c r="D274" s="13" t="s">
        <v>788</v>
      </c>
      <c r="E274" s="8" t="s">
        <v>789</v>
      </c>
      <c r="F274" s="28">
        <v>179327.81</v>
      </c>
      <c r="G274" s="9">
        <v>0</v>
      </c>
      <c r="H274" s="10">
        <f t="shared" si="13"/>
        <v>179327.81</v>
      </c>
      <c r="I274" s="9">
        <v>0</v>
      </c>
      <c r="K274" s="170">
        <f t="shared" si="14"/>
        <v>179327.81</v>
      </c>
      <c r="L274" s="170"/>
      <c r="M274" s="170"/>
      <c r="O274" s="7"/>
      <c r="Q274" s="11"/>
    </row>
    <row r="275" spans="1:17" s="4" customFormat="1" ht="13.5" outlineLevel="1" thickBot="1">
      <c r="A275" s="7">
        <f t="shared" si="18"/>
        <v>270</v>
      </c>
      <c r="B275" s="3" t="s">
        <v>27</v>
      </c>
      <c r="C275" s="14" t="s">
        <v>790</v>
      </c>
      <c r="D275" s="15"/>
      <c r="E275" s="16" t="s">
        <v>791</v>
      </c>
      <c r="F275" s="26">
        <f t="shared" ref="F275:K275" si="19">SUM(F262:F274)</f>
        <v>5885881.96</v>
      </c>
      <c r="G275" s="26">
        <f t="shared" si="19"/>
        <v>-1667264.32</v>
      </c>
      <c r="H275" s="26">
        <f t="shared" si="19"/>
        <v>4218617.6399999997</v>
      </c>
      <c r="I275" s="139">
        <f t="shared" si="19"/>
        <v>0</v>
      </c>
      <c r="J275" s="139">
        <f t="shared" si="19"/>
        <v>0</v>
      </c>
      <c r="K275" s="139">
        <f t="shared" si="19"/>
        <v>4218617.6399999997</v>
      </c>
      <c r="L275" s="171"/>
      <c r="M275" s="171"/>
      <c r="N275" s="17"/>
      <c r="O275" s="3"/>
      <c r="P275" s="3"/>
      <c r="Q275" s="5"/>
    </row>
    <row r="276" spans="1:17" ht="13.5" outlineLevel="2" thickTop="1">
      <c r="A276" s="7">
        <f t="shared" si="18"/>
        <v>271</v>
      </c>
      <c r="B276" s="7" t="s">
        <v>27</v>
      </c>
      <c r="C276" s="7" t="s">
        <v>792</v>
      </c>
      <c r="D276" s="13" t="s">
        <v>793</v>
      </c>
      <c r="E276" s="8" t="s">
        <v>794</v>
      </c>
      <c r="F276" s="28">
        <v>81944</v>
      </c>
      <c r="G276" s="9">
        <v>0</v>
      </c>
      <c r="H276" s="10">
        <f t="shared" si="13"/>
        <v>81944</v>
      </c>
      <c r="I276" s="9">
        <v>-81944</v>
      </c>
      <c r="K276" s="170">
        <f t="shared" si="14"/>
        <v>0</v>
      </c>
      <c r="L276" s="170"/>
      <c r="M276" s="170"/>
      <c r="N276" s="8"/>
      <c r="O276" s="7"/>
      <c r="Q276" s="11"/>
    </row>
    <row r="277" spans="1:17" outlineLevel="2">
      <c r="A277" s="7">
        <f t="shared" si="18"/>
        <v>272</v>
      </c>
      <c r="B277" s="7" t="s">
        <v>27</v>
      </c>
      <c r="C277" s="7" t="s">
        <v>792</v>
      </c>
      <c r="D277" s="13" t="s">
        <v>795</v>
      </c>
      <c r="E277" s="8" t="s">
        <v>796</v>
      </c>
      <c r="F277" s="28">
        <v>124887.46</v>
      </c>
      <c r="G277" s="9">
        <v>0</v>
      </c>
      <c r="H277" s="10">
        <f t="shared" si="13"/>
        <v>124887.46</v>
      </c>
      <c r="I277" s="9">
        <v>-64611.39</v>
      </c>
      <c r="K277" s="170">
        <f t="shared" si="14"/>
        <v>60276.070000000007</v>
      </c>
      <c r="L277" s="170"/>
      <c r="M277" s="170"/>
      <c r="O277" s="7"/>
      <c r="Q277" s="11"/>
    </row>
    <row r="278" spans="1:17" outlineLevel="2">
      <c r="A278" s="7">
        <f t="shared" si="18"/>
        <v>273</v>
      </c>
      <c r="B278" s="7" t="s">
        <v>27</v>
      </c>
      <c r="C278" s="7" t="s">
        <v>792</v>
      </c>
      <c r="D278" s="13" t="s">
        <v>797</v>
      </c>
      <c r="E278" s="8" t="s">
        <v>798</v>
      </c>
      <c r="F278" s="28">
        <v>922163.82</v>
      </c>
      <c r="G278" s="9">
        <v>0</v>
      </c>
      <c r="H278" s="10">
        <f t="shared" si="13"/>
        <v>922163.82</v>
      </c>
      <c r="I278" s="9">
        <v>0</v>
      </c>
      <c r="K278" s="170">
        <f t="shared" si="14"/>
        <v>922163.82</v>
      </c>
      <c r="L278" s="170"/>
      <c r="M278" s="170"/>
      <c r="O278" s="7"/>
      <c r="Q278" s="11"/>
    </row>
    <row r="279" spans="1:17" outlineLevel="2">
      <c r="A279" s="7">
        <f t="shared" si="18"/>
        <v>274</v>
      </c>
      <c r="B279" s="7" t="s">
        <v>27</v>
      </c>
      <c r="C279" s="7" t="s">
        <v>792</v>
      </c>
      <c r="D279" s="13" t="s">
        <v>799</v>
      </c>
      <c r="E279" s="8" t="s">
        <v>800</v>
      </c>
      <c r="F279" s="28">
        <v>690735.13</v>
      </c>
      <c r="G279" s="9">
        <v>0</v>
      </c>
      <c r="H279" s="10">
        <f t="shared" si="13"/>
        <v>690735.13</v>
      </c>
      <c r="I279" s="9">
        <v>0</v>
      </c>
      <c r="K279" s="170">
        <f t="shared" si="14"/>
        <v>690735.13</v>
      </c>
      <c r="L279" s="170"/>
      <c r="M279" s="170"/>
      <c r="O279" s="7"/>
      <c r="Q279" s="11"/>
    </row>
    <row r="280" spans="1:17" s="4" customFormat="1" ht="13.5" outlineLevel="1" thickBot="1">
      <c r="A280" s="7">
        <f t="shared" si="18"/>
        <v>275</v>
      </c>
      <c r="B280" s="3" t="s">
        <v>27</v>
      </c>
      <c r="C280" s="14" t="s">
        <v>801</v>
      </c>
      <c r="D280" s="15"/>
      <c r="E280" s="16" t="s">
        <v>802</v>
      </c>
      <c r="F280" s="26">
        <f t="shared" ref="F280:K280" si="20">SUM(F276:F279)</f>
        <v>1819730.4100000001</v>
      </c>
      <c r="G280" s="26">
        <f t="shared" si="20"/>
        <v>0</v>
      </c>
      <c r="H280" s="26">
        <f t="shared" si="20"/>
        <v>1819730.4100000001</v>
      </c>
      <c r="I280" s="139">
        <f t="shared" si="20"/>
        <v>-146555.39000000001</v>
      </c>
      <c r="J280" s="139">
        <f t="shared" si="20"/>
        <v>0</v>
      </c>
      <c r="K280" s="139">
        <f t="shared" si="20"/>
        <v>1673175.02</v>
      </c>
      <c r="L280" s="171"/>
      <c r="M280" s="171"/>
      <c r="N280" s="17"/>
      <c r="O280" s="3"/>
      <c r="P280" s="3"/>
      <c r="Q280" s="5"/>
    </row>
    <row r="281" spans="1:17" ht="13.5" outlineLevel="2" thickTop="1">
      <c r="A281" s="7">
        <f t="shared" si="18"/>
        <v>276</v>
      </c>
      <c r="B281" s="7" t="s">
        <v>27</v>
      </c>
      <c r="C281" s="7" t="s">
        <v>803</v>
      </c>
      <c r="D281" s="13" t="s">
        <v>804</v>
      </c>
      <c r="E281" s="8" t="s">
        <v>805</v>
      </c>
      <c r="F281" s="28">
        <v>58085.85</v>
      </c>
      <c r="G281" s="9">
        <v>0</v>
      </c>
      <c r="H281" s="10">
        <f t="shared" si="13"/>
        <v>58085.85</v>
      </c>
      <c r="I281" s="9">
        <f>-(F281*$N$284)</f>
        <v>-18558.429075</v>
      </c>
      <c r="K281" s="170">
        <f t="shared" si="14"/>
        <v>39527.420924999999</v>
      </c>
      <c r="L281" s="170"/>
      <c r="M281" s="170"/>
      <c r="N281" s="655" t="s">
        <v>806</v>
      </c>
      <c r="O281" s="7"/>
    </row>
    <row r="282" spans="1:17" outlineLevel="2">
      <c r="A282" s="7">
        <f t="shared" si="18"/>
        <v>277</v>
      </c>
      <c r="B282" s="7" t="s">
        <v>27</v>
      </c>
      <c r="C282" s="7" t="s">
        <v>803</v>
      </c>
      <c r="D282" s="13" t="s">
        <v>807</v>
      </c>
      <c r="E282" s="8" t="s">
        <v>808</v>
      </c>
      <c r="F282" s="28">
        <v>297948.15000000002</v>
      </c>
      <c r="G282" s="9">
        <v>0</v>
      </c>
      <c r="H282" s="10">
        <f t="shared" si="13"/>
        <v>297948.15000000002</v>
      </c>
      <c r="I282" s="9">
        <f t="shared" ref="I282:I343" si="21">-(F282*$N$284)</f>
        <v>-95194.433925000005</v>
      </c>
      <c r="K282" s="170">
        <f t="shared" si="14"/>
        <v>202753.716075</v>
      </c>
      <c r="L282" s="170"/>
      <c r="M282" s="170"/>
      <c r="N282" s="656"/>
      <c r="O282" s="7"/>
    </row>
    <row r="283" spans="1:17" outlineLevel="2">
      <c r="A283" s="7">
        <f t="shared" si="18"/>
        <v>278</v>
      </c>
      <c r="B283" s="7" t="s">
        <v>27</v>
      </c>
      <c r="C283" s="7" t="s">
        <v>803</v>
      </c>
      <c r="D283" s="13" t="s">
        <v>809</v>
      </c>
      <c r="E283" s="8" t="s">
        <v>810</v>
      </c>
      <c r="F283" s="28">
        <v>409859.66</v>
      </c>
      <c r="G283" s="9">
        <v>0</v>
      </c>
      <c r="H283" s="10">
        <f t="shared" si="13"/>
        <v>409859.66</v>
      </c>
      <c r="I283" s="9">
        <f t="shared" si="21"/>
        <v>-130950.16137</v>
      </c>
      <c r="K283" s="170">
        <f t="shared" si="14"/>
        <v>278909.49862999999</v>
      </c>
      <c r="L283" s="170"/>
      <c r="M283" s="170"/>
      <c r="N283" s="656"/>
      <c r="O283" s="7"/>
    </row>
    <row r="284" spans="1:17" outlineLevel="2">
      <c r="A284" s="7">
        <f t="shared" si="18"/>
        <v>279</v>
      </c>
      <c r="B284" s="7" t="s">
        <v>27</v>
      </c>
      <c r="C284" s="7" t="s">
        <v>803</v>
      </c>
      <c r="D284" s="13" t="s">
        <v>811</v>
      </c>
      <c r="E284" s="8" t="s">
        <v>812</v>
      </c>
      <c r="F284" s="28">
        <v>99834.58</v>
      </c>
      <c r="G284" s="9">
        <v>0</v>
      </c>
      <c r="H284" s="10">
        <f t="shared" si="13"/>
        <v>99834.58</v>
      </c>
      <c r="I284" s="9">
        <f t="shared" si="21"/>
        <v>-31897.14831</v>
      </c>
      <c r="K284" s="170">
        <f t="shared" si="14"/>
        <v>67937.431689999998</v>
      </c>
      <c r="L284" s="170"/>
      <c r="M284" s="170"/>
      <c r="N284" s="21">
        <v>0.31950000000000001</v>
      </c>
      <c r="O284" s="7"/>
      <c r="Q284" s="11"/>
    </row>
    <row r="285" spans="1:17" outlineLevel="2">
      <c r="A285" s="7">
        <f t="shared" si="18"/>
        <v>280</v>
      </c>
      <c r="B285" s="7" t="s">
        <v>27</v>
      </c>
      <c r="C285" s="7" t="s">
        <v>803</v>
      </c>
      <c r="D285" s="13" t="s">
        <v>813</v>
      </c>
      <c r="E285" s="8" t="s">
        <v>814</v>
      </c>
      <c r="F285" s="28">
        <v>352403.74</v>
      </c>
      <c r="G285" s="9">
        <v>0</v>
      </c>
      <c r="H285" s="10">
        <f t="shared" si="13"/>
        <v>352403.74</v>
      </c>
      <c r="I285" s="9">
        <f t="shared" si="21"/>
        <v>-112592.99493</v>
      </c>
      <c r="K285" s="170">
        <f t="shared" si="14"/>
        <v>239810.74507</v>
      </c>
      <c r="L285" s="170"/>
      <c r="M285" s="170"/>
      <c r="O285" s="7"/>
      <c r="Q285" s="11"/>
    </row>
    <row r="286" spans="1:17" outlineLevel="2">
      <c r="A286" s="7">
        <f t="shared" si="18"/>
        <v>281</v>
      </c>
      <c r="B286" s="7" t="s">
        <v>27</v>
      </c>
      <c r="C286" s="7" t="s">
        <v>803</v>
      </c>
      <c r="D286" s="13" t="s">
        <v>815</v>
      </c>
      <c r="E286" s="8" t="s">
        <v>816</v>
      </c>
      <c r="F286" s="28">
        <v>443397.78</v>
      </c>
      <c r="G286" s="9">
        <v>0</v>
      </c>
      <c r="H286" s="10">
        <f t="shared" si="13"/>
        <v>443397.78</v>
      </c>
      <c r="I286" s="9">
        <f t="shared" si="21"/>
        <v>-141665.59071000002</v>
      </c>
      <c r="K286" s="170">
        <f t="shared" si="14"/>
        <v>301732.18929000001</v>
      </c>
      <c r="L286" s="170"/>
      <c r="M286" s="170"/>
      <c r="O286" s="7"/>
      <c r="Q286" s="11"/>
    </row>
    <row r="287" spans="1:17" outlineLevel="2">
      <c r="A287" s="7">
        <f t="shared" si="18"/>
        <v>282</v>
      </c>
      <c r="B287" s="7" t="s">
        <v>27</v>
      </c>
      <c r="C287" s="7" t="s">
        <v>803</v>
      </c>
      <c r="D287" s="13" t="s">
        <v>817</v>
      </c>
      <c r="E287" s="8" t="s">
        <v>818</v>
      </c>
      <c r="F287" s="28">
        <v>227039.99</v>
      </c>
      <c r="G287" s="9">
        <v>0</v>
      </c>
      <c r="H287" s="10">
        <f t="shared" si="13"/>
        <v>227039.99</v>
      </c>
      <c r="I287" s="9">
        <f t="shared" si="21"/>
        <v>-72539.276805000001</v>
      </c>
      <c r="K287" s="170">
        <f t="shared" si="14"/>
        <v>154500.71319499999</v>
      </c>
      <c r="L287" s="170"/>
      <c r="M287" s="170"/>
      <c r="O287" s="7"/>
      <c r="Q287" s="11"/>
    </row>
    <row r="288" spans="1:17" outlineLevel="2">
      <c r="A288" s="7">
        <f t="shared" si="18"/>
        <v>283</v>
      </c>
      <c r="B288" s="7" t="s">
        <v>27</v>
      </c>
      <c r="C288" s="7" t="s">
        <v>803</v>
      </c>
      <c r="D288" s="13" t="s">
        <v>819</v>
      </c>
      <c r="E288" s="8" t="s">
        <v>820</v>
      </c>
      <c r="F288" s="28">
        <v>10678.65</v>
      </c>
      <c r="G288" s="9">
        <v>0</v>
      </c>
      <c r="H288" s="10">
        <f t="shared" si="13"/>
        <v>10678.65</v>
      </c>
      <c r="I288" s="9">
        <f t="shared" si="21"/>
        <v>-3411.8286749999997</v>
      </c>
      <c r="K288" s="170">
        <f t="shared" si="14"/>
        <v>7266.8213249999999</v>
      </c>
      <c r="L288" s="170"/>
      <c r="M288" s="170"/>
      <c r="O288" s="7"/>
      <c r="Q288" s="11"/>
    </row>
    <row r="289" spans="1:17" outlineLevel="2">
      <c r="A289" s="7">
        <f t="shared" si="18"/>
        <v>284</v>
      </c>
      <c r="B289" s="7" t="s">
        <v>27</v>
      </c>
      <c r="C289" s="7" t="s">
        <v>803</v>
      </c>
      <c r="D289" s="13" t="s">
        <v>821</v>
      </c>
      <c r="E289" s="8" t="s">
        <v>822</v>
      </c>
      <c r="F289" s="28">
        <v>113361.84</v>
      </c>
      <c r="G289" s="9">
        <v>0</v>
      </c>
      <c r="H289" s="10">
        <f t="shared" si="13"/>
        <v>113361.84</v>
      </c>
      <c r="I289" s="9">
        <f t="shared" si="21"/>
        <v>-36219.107880000003</v>
      </c>
      <c r="K289" s="170">
        <f t="shared" si="14"/>
        <v>77142.732120000001</v>
      </c>
      <c r="L289" s="170"/>
      <c r="M289" s="170"/>
      <c r="O289" s="7"/>
      <c r="Q289" s="11"/>
    </row>
    <row r="290" spans="1:17" outlineLevel="2">
      <c r="A290" s="7">
        <f t="shared" si="18"/>
        <v>285</v>
      </c>
      <c r="B290" s="7" t="s">
        <v>27</v>
      </c>
      <c r="C290" s="7" t="s">
        <v>803</v>
      </c>
      <c r="D290" s="13" t="s">
        <v>823</v>
      </c>
      <c r="E290" s="8" t="s">
        <v>824</v>
      </c>
      <c r="F290" s="28">
        <v>517974.32</v>
      </c>
      <c r="G290" s="9">
        <v>0</v>
      </c>
      <c r="H290" s="10">
        <f t="shared" si="13"/>
        <v>517974.32</v>
      </c>
      <c r="I290" s="9">
        <f>-(F290*$N$284)</f>
        <v>-165492.79524000001</v>
      </c>
      <c r="K290" s="170">
        <f t="shared" si="14"/>
        <v>352481.52476</v>
      </c>
      <c r="L290" s="170"/>
      <c r="M290" s="170"/>
      <c r="O290" s="7"/>
      <c r="Q290" s="11"/>
    </row>
    <row r="291" spans="1:17" outlineLevel="2">
      <c r="A291" s="7">
        <f t="shared" si="18"/>
        <v>286</v>
      </c>
      <c r="B291" s="7" t="s">
        <v>27</v>
      </c>
      <c r="C291" s="7" t="s">
        <v>803</v>
      </c>
      <c r="D291" s="13" t="s">
        <v>825</v>
      </c>
      <c r="E291" s="8" t="s">
        <v>826</v>
      </c>
      <c r="F291" s="28">
        <v>44788.58</v>
      </c>
      <c r="H291" s="10">
        <f t="shared" si="13"/>
        <v>44788.58</v>
      </c>
      <c r="I291" s="9">
        <f>-(F291*$N$284)</f>
        <v>-14309.95131</v>
      </c>
      <c r="K291" s="170">
        <f t="shared" si="14"/>
        <v>30478.628690000001</v>
      </c>
      <c r="L291" s="170"/>
      <c r="M291" s="170"/>
      <c r="O291" s="7"/>
      <c r="Q291" s="11"/>
    </row>
    <row r="292" spans="1:17" outlineLevel="2">
      <c r="A292" s="7">
        <f t="shared" si="18"/>
        <v>287</v>
      </c>
      <c r="B292" s="7" t="s">
        <v>27</v>
      </c>
      <c r="C292" s="7" t="s">
        <v>803</v>
      </c>
      <c r="D292" s="13" t="s">
        <v>827</v>
      </c>
      <c r="E292" s="8" t="s">
        <v>828</v>
      </c>
      <c r="F292" s="28">
        <v>426667</v>
      </c>
      <c r="G292" s="9">
        <v>0</v>
      </c>
      <c r="H292" s="10">
        <f t="shared" ref="H292:H345" si="22">F292+G292</f>
        <v>426667</v>
      </c>
      <c r="I292" s="9">
        <f>-(F292*$N$284)</f>
        <v>-136320.10649999999</v>
      </c>
      <c r="K292" s="170">
        <f t="shared" ref="K292:K345" si="23">SUM(H292:J292)</f>
        <v>290346.89350000001</v>
      </c>
      <c r="L292" s="170"/>
      <c r="M292" s="170"/>
      <c r="O292" s="7"/>
      <c r="Q292" s="11"/>
    </row>
    <row r="293" spans="1:17" outlineLevel="2">
      <c r="A293" s="7">
        <f t="shared" si="18"/>
        <v>288</v>
      </c>
      <c r="B293" s="7" t="s">
        <v>27</v>
      </c>
      <c r="C293" s="7" t="s">
        <v>803</v>
      </c>
      <c r="D293" s="13" t="s">
        <v>829</v>
      </c>
      <c r="E293" s="8" t="s">
        <v>830</v>
      </c>
      <c r="F293" s="28">
        <v>232617.76</v>
      </c>
      <c r="G293" s="9">
        <v>0</v>
      </c>
      <c r="H293" s="10">
        <f t="shared" si="22"/>
        <v>232617.76</v>
      </c>
      <c r="I293" s="9">
        <f t="shared" si="21"/>
        <v>-74321.374320000003</v>
      </c>
      <c r="K293" s="170">
        <f t="shared" si="23"/>
        <v>158296.38568000001</v>
      </c>
      <c r="L293" s="170"/>
      <c r="M293" s="170"/>
      <c r="O293" s="7"/>
      <c r="Q293" s="11"/>
    </row>
    <row r="294" spans="1:17" outlineLevel="2">
      <c r="A294" s="7">
        <f t="shared" si="18"/>
        <v>289</v>
      </c>
      <c r="B294" s="7" t="s">
        <v>27</v>
      </c>
      <c r="C294" s="7" t="s">
        <v>803</v>
      </c>
      <c r="D294" s="13" t="s">
        <v>831</v>
      </c>
      <c r="E294" s="8" t="s">
        <v>832</v>
      </c>
      <c r="F294" s="28">
        <v>40530.03</v>
      </c>
      <c r="G294" s="9">
        <v>0</v>
      </c>
      <c r="H294" s="10">
        <f t="shared" si="22"/>
        <v>40530.03</v>
      </c>
      <c r="I294" s="9">
        <f>-(F294*$N$284)</f>
        <v>-12949.344585000001</v>
      </c>
      <c r="K294" s="170">
        <f t="shared" si="23"/>
        <v>27580.685415</v>
      </c>
      <c r="L294" s="170"/>
      <c r="M294" s="170"/>
      <c r="O294" s="7"/>
      <c r="Q294" s="11"/>
    </row>
    <row r="295" spans="1:17" outlineLevel="2">
      <c r="A295" s="7">
        <f t="shared" si="18"/>
        <v>290</v>
      </c>
      <c r="B295" s="7" t="s">
        <v>27</v>
      </c>
      <c r="C295" s="7" t="s">
        <v>803</v>
      </c>
      <c r="D295" s="13" t="s">
        <v>833</v>
      </c>
      <c r="E295" s="8" t="s">
        <v>834</v>
      </c>
      <c r="F295" s="28">
        <v>274625.58</v>
      </c>
      <c r="G295" s="9">
        <v>0</v>
      </c>
      <c r="H295" s="10">
        <f t="shared" si="22"/>
        <v>274625.58</v>
      </c>
      <c r="I295" s="9">
        <f>-(F295*$N$284)</f>
        <v>-87742.872810000001</v>
      </c>
      <c r="K295" s="170">
        <f t="shared" si="23"/>
        <v>186882.70719000002</v>
      </c>
      <c r="L295" s="170"/>
      <c r="M295" s="170"/>
      <c r="O295" s="7"/>
      <c r="Q295" s="11"/>
    </row>
    <row r="296" spans="1:17" outlineLevel="2">
      <c r="A296" s="7">
        <f t="shared" si="18"/>
        <v>291</v>
      </c>
      <c r="B296" s="7" t="s">
        <v>27</v>
      </c>
      <c r="C296" s="7" t="s">
        <v>803</v>
      </c>
      <c r="D296" s="13" t="s">
        <v>835</v>
      </c>
      <c r="E296" s="8" t="s">
        <v>836</v>
      </c>
      <c r="F296" s="28">
        <v>19704.27</v>
      </c>
      <c r="G296" s="9">
        <v>0</v>
      </c>
      <c r="H296" s="10">
        <f t="shared" si="22"/>
        <v>19704.27</v>
      </c>
      <c r="I296" s="9">
        <f>-(F296*$N$284)</f>
        <v>-6295.5142650000007</v>
      </c>
      <c r="K296" s="170">
        <f t="shared" si="23"/>
        <v>13408.755734999999</v>
      </c>
      <c r="L296" s="170"/>
      <c r="M296" s="170"/>
      <c r="O296" s="7"/>
      <c r="Q296" s="11"/>
    </row>
    <row r="297" spans="1:17" outlineLevel="2">
      <c r="A297" s="7">
        <f t="shared" si="18"/>
        <v>292</v>
      </c>
      <c r="B297" s="7" t="s">
        <v>27</v>
      </c>
      <c r="C297" s="7" t="s">
        <v>803</v>
      </c>
      <c r="D297" s="13" t="s">
        <v>837</v>
      </c>
      <c r="E297" s="8" t="s">
        <v>838</v>
      </c>
      <c r="F297" s="28">
        <v>92595.35</v>
      </c>
      <c r="G297" s="9">
        <v>0</v>
      </c>
      <c r="H297" s="10">
        <f t="shared" si="22"/>
        <v>92595.35</v>
      </c>
      <c r="I297" s="9">
        <f t="shared" si="21"/>
        <v>-29584.214325000001</v>
      </c>
      <c r="K297" s="170">
        <f t="shared" si="23"/>
        <v>63011.135675000005</v>
      </c>
      <c r="L297" s="170"/>
      <c r="M297" s="170"/>
      <c r="O297" s="7"/>
      <c r="Q297" s="11"/>
    </row>
    <row r="298" spans="1:17" outlineLevel="2">
      <c r="A298" s="7">
        <f t="shared" si="18"/>
        <v>293</v>
      </c>
      <c r="B298" s="7" t="s">
        <v>27</v>
      </c>
      <c r="C298" s="7" t="s">
        <v>803</v>
      </c>
      <c r="D298" s="13" t="s">
        <v>839</v>
      </c>
      <c r="E298" s="8" t="s">
        <v>840</v>
      </c>
      <c r="F298" s="28">
        <v>107342.37</v>
      </c>
      <c r="G298" s="9">
        <v>0</v>
      </c>
      <c r="H298" s="10">
        <f t="shared" si="22"/>
        <v>107342.37</v>
      </c>
      <c r="I298" s="9">
        <f>-(F298*$N$284)</f>
        <v>-34295.887215000002</v>
      </c>
      <c r="K298" s="170">
        <f t="shared" si="23"/>
        <v>73046.482785</v>
      </c>
      <c r="L298" s="170"/>
      <c r="M298" s="170"/>
      <c r="O298" s="7"/>
      <c r="Q298" s="11"/>
    </row>
    <row r="299" spans="1:17" outlineLevel="2">
      <c r="A299" s="7">
        <f t="shared" si="18"/>
        <v>294</v>
      </c>
      <c r="B299" s="7" t="s">
        <v>27</v>
      </c>
      <c r="C299" s="7" t="s">
        <v>803</v>
      </c>
      <c r="D299" s="13" t="s">
        <v>841</v>
      </c>
      <c r="E299" s="8" t="s">
        <v>842</v>
      </c>
      <c r="F299" s="28">
        <v>266781.90999999997</v>
      </c>
      <c r="G299" s="9">
        <v>0</v>
      </c>
      <c r="H299" s="10">
        <f t="shared" si="22"/>
        <v>266781.90999999997</v>
      </c>
      <c r="I299" s="9">
        <f t="shared" si="21"/>
        <v>-85236.820244999995</v>
      </c>
      <c r="K299" s="170">
        <f t="shared" si="23"/>
        <v>181545.08975499996</v>
      </c>
      <c r="L299" s="170"/>
      <c r="M299" s="170"/>
      <c r="O299" s="7"/>
      <c r="Q299" s="11"/>
    </row>
    <row r="300" spans="1:17" outlineLevel="2">
      <c r="A300" s="7">
        <f t="shared" si="18"/>
        <v>295</v>
      </c>
      <c r="B300" s="7" t="s">
        <v>27</v>
      </c>
      <c r="C300" s="7" t="s">
        <v>803</v>
      </c>
      <c r="D300" s="13" t="s">
        <v>843</v>
      </c>
      <c r="E300" s="8" t="s">
        <v>844</v>
      </c>
      <c r="F300" s="28">
        <v>703660.5</v>
      </c>
      <c r="G300" s="9">
        <v>0</v>
      </c>
      <c r="H300" s="10">
        <f t="shared" si="22"/>
        <v>703660.5</v>
      </c>
      <c r="I300" s="9">
        <f t="shared" si="21"/>
        <v>-224819.52975000002</v>
      </c>
      <c r="K300" s="170">
        <f t="shared" si="23"/>
        <v>478840.97025000001</v>
      </c>
      <c r="L300" s="170"/>
      <c r="M300" s="170"/>
      <c r="O300" s="7"/>
      <c r="Q300" s="11"/>
    </row>
    <row r="301" spans="1:17" ht="13.5" customHeight="1" outlineLevel="2">
      <c r="A301" s="7">
        <f t="shared" si="18"/>
        <v>296</v>
      </c>
      <c r="B301" s="7" t="s">
        <v>27</v>
      </c>
      <c r="C301" s="7" t="s">
        <v>803</v>
      </c>
      <c r="D301" s="13" t="s">
        <v>845</v>
      </c>
      <c r="E301" s="8" t="s">
        <v>846</v>
      </c>
      <c r="F301" s="28">
        <v>37033.769999999997</v>
      </c>
      <c r="G301" s="9">
        <v>0</v>
      </c>
      <c r="H301" s="10">
        <f t="shared" si="22"/>
        <v>37033.769999999997</v>
      </c>
      <c r="I301" s="9">
        <f t="shared" si="21"/>
        <v>-11832.289514999999</v>
      </c>
      <c r="K301" s="170">
        <f t="shared" si="23"/>
        <v>25201.480485</v>
      </c>
      <c r="L301" s="170"/>
      <c r="M301" s="170"/>
      <c r="O301" s="7"/>
      <c r="Q301" s="11"/>
    </row>
    <row r="302" spans="1:17" outlineLevel="2">
      <c r="A302" s="7">
        <f t="shared" si="18"/>
        <v>297</v>
      </c>
      <c r="B302" s="7" t="s">
        <v>27</v>
      </c>
      <c r="C302" s="7" t="s">
        <v>803</v>
      </c>
      <c r="D302" s="13" t="s">
        <v>847</v>
      </c>
      <c r="E302" s="8" t="s">
        <v>848</v>
      </c>
      <c r="F302" s="28">
        <v>771076.39</v>
      </c>
      <c r="G302" s="9">
        <v>0</v>
      </c>
      <c r="H302" s="10">
        <f t="shared" si="22"/>
        <v>771076.39</v>
      </c>
      <c r="I302" s="9">
        <f t="shared" si="21"/>
        <v>-246358.906605</v>
      </c>
      <c r="K302" s="170">
        <f t="shared" si="23"/>
        <v>524717.48339499999</v>
      </c>
      <c r="L302" s="170"/>
      <c r="M302" s="170"/>
      <c r="O302" s="7"/>
      <c r="Q302" s="11"/>
    </row>
    <row r="303" spans="1:17" outlineLevel="2">
      <c r="A303" s="7">
        <f t="shared" si="18"/>
        <v>298</v>
      </c>
      <c r="B303" s="7" t="s">
        <v>27</v>
      </c>
      <c r="C303" s="7" t="s">
        <v>803</v>
      </c>
      <c r="D303" s="13" t="s">
        <v>849</v>
      </c>
      <c r="E303" s="8" t="s">
        <v>850</v>
      </c>
      <c r="F303" s="28">
        <v>66872.3</v>
      </c>
      <c r="G303" s="9">
        <v>0</v>
      </c>
      <c r="H303" s="10">
        <f t="shared" si="22"/>
        <v>66872.3</v>
      </c>
      <c r="I303" s="9">
        <f t="shared" si="21"/>
        <v>-21365.699850000001</v>
      </c>
      <c r="K303" s="170">
        <f t="shared" si="23"/>
        <v>45506.600149999998</v>
      </c>
      <c r="L303" s="170"/>
      <c r="M303" s="170"/>
      <c r="O303" s="7"/>
      <c r="Q303" s="11"/>
    </row>
    <row r="304" spans="1:17" outlineLevel="2">
      <c r="A304" s="7">
        <f t="shared" si="18"/>
        <v>299</v>
      </c>
      <c r="B304" s="7" t="s">
        <v>27</v>
      </c>
      <c r="C304" s="7" t="s">
        <v>803</v>
      </c>
      <c r="D304" s="13" t="s">
        <v>851</v>
      </c>
      <c r="E304" s="8" t="s">
        <v>852</v>
      </c>
      <c r="F304" s="28">
        <v>105280.95</v>
      </c>
      <c r="G304" s="9">
        <v>0</v>
      </c>
      <c r="H304" s="10">
        <f t="shared" si="22"/>
        <v>105280.95</v>
      </c>
      <c r="I304" s="9">
        <f t="shared" si="21"/>
        <v>-33637.263525000002</v>
      </c>
      <c r="K304" s="170">
        <f t="shared" si="23"/>
        <v>71643.686474999995</v>
      </c>
      <c r="L304" s="170"/>
      <c r="M304" s="170"/>
      <c r="O304" s="7"/>
      <c r="Q304" s="11"/>
    </row>
    <row r="305" spans="1:17" outlineLevel="2">
      <c r="A305" s="7">
        <f t="shared" si="18"/>
        <v>300</v>
      </c>
      <c r="B305" s="7" t="s">
        <v>27</v>
      </c>
      <c r="C305" s="7" t="s">
        <v>803</v>
      </c>
      <c r="D305" s="13" t="s">
        <v>853</v>
      </c>
      <c r="E305" s="8" t="s">
        <v>854</v>
      </c>
      <c r="F305" s="28">
        <v>301355.36</v>
      </c>
      <c r="G305" s="9">
        <v>0</v>
      </c>
      <c r="H305" s="10">
        <f t="shared" si="22"/>
        <v>301355.36</v>
      </c>
      <c r="I305" s="9">
        <f t="shared" si="21"/>
        <v>-96283.037519999998</v>
      </c>
      <c r="K305" s="170">
        <f t="shared" si="23"/>
        <v>205072.32247999997</v>
      </c>
      <c r="L305" s="170"/>
      <c r="M305" s="170"/>
      <c r="O305" s="7"/>
      <c r="Q305" s="11"/>
    </row>
    <row r="306" spans="1:17" outlineLevel="2">
      <c r="A306" s="7">
        <f t="shared" si="18"/>
        <v>301</v>
      </c>
      <c r="B306" s="7" t="s">
        <v>27</v>
      </c>
      <c r="C306" s="7" t="s">
        <v>803</v>
      </c>
      <c r="D306" s="13" t="s">
        <v>855</v>
      </c>
      <c r="E306" s="8" t="s">
        <v>856</v>
      </c>
      <c r="F306" s="28">
        <v>64774.77</v>
      </c>
      <c r="G306" s="9">
        <v>0</v>
      </c>
      <c r="H306" s="10">
        <f t="shared" si="22"/>
        <v>64774.77</v>
      </c>
      <c r="I306" s="9">
        <f t="shared" si="21"/>
        <v>-20695.539014999998</v>
      </c>
      <c r="K306" s="170">
        <f t="shared" si="23"/>
        <v>44079.230985000002</v>
      </c>
      <c r="L306" s="170"/>
      <c r="M306" s="170"/>
      <c r="O306" s="7"/>
      <c r="Q306" s="11"/>
    </row>
    <row r="307" spans="1:17" outlineLevel="2">
      <c r="A307" s="7">
        <f t="shared" si="18"/>
        <v>302</v>
      </c>
      <c r="B307" s="7" t="s">
        <v>27</v>
      </c>
      <c r="C307" s="7" t="s">
        <v>803</v>
      </c>
      <c r="D307" s="13" t="s">
        <v>857</v>
      </c>
      <c r="E307" s="8" t="s">
        <v>858</v>
      </c>
      <c r="F307" s="28">
        <v>251028.92</v>
      </c>
      <c r="G307" s="9">
        <v>0</v>
      </c>
      <c r="H307" s="10">
        <f t="shared" si="22"/>
        <v>251028.92</v>
      </c>
      <c r="I307" s="9">
        <f>-(F307*$N$284)</f>
        <v>-80203.739939999999</v>
      </c>
      <c r="K307" s="170">
        <f t="shared" si="23"/>
        <v>170825.18006000001</v>
      </c>
      <c r="L307" s="170"/>
      <c r="M307" s="170"/>
      <c r="O307" s="7"/>
      <c r="Q307" s="11"/>
    </row>
    <row r="308" spans="1:17" outlineLevel="2">
      <c r="A308" s="7">
        <f t="shared" si="18"/>
        <v>303</v>
      </c>
      <c r="B308" s="7" t="s">
        <v>27</v>
      </c>
      <c r="C308" s="7" t="s">
        <v>803</v>
      </c>
      <c r="D308" s="13" t="s">
        <v>859</v>
      </c>
      <c r="E308" s="8" t="s">
        <v>860</v>
      </c>
      <c r="F308" s="28">
        <v>52564.95</v>
      </c>
      <c r="G308" s="9">
        <v>0</v>
      </c>
      <c r="H308" s="10">
        <f t="shared" si="22"/>
        <v>52564.95</v>
      </c>
      <c r="I308" s="9">
        <f t="shared" si="21"/>
        <v>-16794.501525</v>
      </c>
      <c r="K308" s="170">
        <f t="shared" si="23"/>
        <v>35770.448474999997</v>
      </c>
      <c r="L308" s="170"/>
      <c r="M308" s="170"/>
      <c r="O308" s="7"/>
      <c r="Q308" s="11"/>
    </row>
    <row r="309" spans="1:17" outlineLevel="2">
      <c r="A309" s="7">
        <f t="shared" si="18"/>
        <v>304</v>
      </c>
      <c r="B309" s="7" t="s">
        <v>27</v>
      </c>
      <c r="C309" s="7" t="s">
        <v>803</v>
      </c>
      <c r="D309" s="13" t="s">
        <v>861</v>
      </c>
      <c r="E309" s="8" t="s">
        <v>862</v>
      </c>
      <c r="F309" s="28">
        <v>1926</v>
      </c>
      <c r="G309" s="9">
        <v>0</v>
      </c>
      <c r="H309" s="10">
        <f t="shared" si="22"/>
        <v>1926</v>
      </c>
      <c r="I309" s="9">
        <f t="shared" si="21"/>
        <v>-615.35699999999997</v>
      </c>
      <c r="K309" s="170">
        <f t="shared" si="23"/>
        <v>1310.643</v>
      </c>
      <c r="L309" s="170"/>
      <c r="M309" s="170"/>
      <c r="O309" s="7"/>
      <c r="Q309" s="11"/>
    </row>
    <row r="310" spans="1:17" outlineLevel="2">
      <c r="A310" s="7">
        <f t="shared" si="18"/>
        <v>305</v>
      </c>
      <c r="B310" s="7" t="s">
        <v>27</v>
      </c>
      <c r="C310" s="7" t="s">
        <v>803</v>
      </c>
      <c r="D310" s="13" t="s">
        <v>863</v>
      </c>
      <c r="E310" s="8" t="s">
        <v>864</v>
      </c>
      <c r="F310" s="28">
        <v>49630.13</v>
      </c>
      <c r="G310" s="9">
        <v>0</v>
      </c>
      <c r="H310" s="10">
        <f t="shared" si="22"/>
        <v>49630.13</v>
      </c>
      <c r="I310" s="9">
        <f t="shared" si="21"/>
        <v>-15856.826535</v>
      </c>
      <c r="K310" s="170">
        <f t="shared" si="23"/>
        <v>33773.303464999997</v>
      </c>
      <c r="L310" s="170"/>
      <c r="M310" s="170"/>
      <c r="O310" s="7"/>
      <c r="Q310" s="11"/>
    </row>
    <row r="311" spans="1:17" outlineLevel="2">
      <c r="A311" s="7">
        <f t="shared" si="18"/>
        <v>306</v>
      </c>
      <c r="B311" s="7" t="s">
        <v>27</v>
      </c>
      <c r="C311" s="7" t="s">
        <v>803</v>
      </c>
      <c r="D311" s="13" t="s">
        <v>865</v>
      </c>
      <c r="E311" s="8" t="s">
        <v>866</v>
      </c>
      <c r="F311" s="28">
        <v>211206.48</v>
      </c>
      <c r="G311" s="9">
        <v>0</v>
      </c>
      <c r="H311" s="10">
        <f t="shared" si="22"/>
        <v>211206.48</v>
      </c>
      <c r="I311" s="9">
        <f t="shared" si="21"/>
        <v>-67480.470360000007</v>
      </c>
      <c r="K311" s="170">
        <f t="shared" si="23"/>
        <v>143726.00964</v>
      </c>
      <c r="L311" s="170"/>
      <c r="M311" s="170"/>
      <c r="O311" s="7"/>
      <c r="Q311" s="11"/>
    </row>
    <row r="312" spans="1:17" outlineLevel="2">
      <c r="A312" s="7">
        <f t="shared" si="18"/>
        <v>307</v>
      </c>
      <c r="B312" s="7" t="s">
        <v>27</v>
      </c>
      <c r="C312" s="7" t="s">
        <v>803</v>
      </c>
      <c r="D312" s="13" t="s">
        <v>867</v>
      </c>
      <c r="E312" s="8" t="s">
        <v>868</v>
      </c>
      <c r="F312" s="28">
        <v>63659.87</v>
      </c>
      <c r="G312" s="9">
        <v>0</v>
      </c>
      <c r="H312" s="10">
        <f t="shared" si="22"/>
        <v>63659.87</v>
      </c>
      <c r="I312" s="9">
        <f t="shared" si="21"/>
        <v>-20339.328465000002</v>
      </c>
      <c r="K312" s="170">
        <f t="shared" si="23"/>
        <v>43320.541534999997</v>
      </c>
      <c r="L312" s="170"/>
      <c r="M312" s="170"/>
      <c r="O312" s="7"/>
      <c r="Q312" s="11"/>
    </row>
    <row r="313" spans="1:17" outlineLevel="2">
      <c r="A313" s="7">
        <f t="shared" si="18"/>
        <v>308</v>
      </c>
      <c r="B313" s="7" t="s">
        <v>27</v>
      </c>
      <c r="C313" s="7" t="s">
        <v>803</v>
      </c>
      <c r="D313" s="13" t="s">
        <v>869</v>
      </c>
      <c r="E313" s="8" t="s">
        <v>870</v>
      </c>
      <c r="F313" s="28">
        <v>349741.52</v>
      </c>
      <c r="G313" s="9">
        <v>0</v>
      </c>
      <c r="H313" s="10">
        <f t="shared" si="22"/>
        <v>349741.52</v>
      </c>
      <c r="I313" s="9">
        <f t="shared" si="21"/>
        <v>-111742.41564000001</v>
      </c>
      <c r="K313" s="170">
        <f t="shared" si="23"/>
        <v>237999.10436</v>
      </c>
      <c r="L313" s="170"/>
      <c r="M313" s="170"/>
      <c r="O313" s="7"/>
      <c r="Q313" s="11"/>
    </row>
    <row r="314" spans="1:17" outlineLevel="2">
      <c r="A314" s="7">
        <f t="shared" si="18"/>
        <v>309</v>
      </c>
      <c r="B314" s="7" t="s">
        <v>27</v>
      </c>
      <c r="C314" s="7" t="s">
        <v>803</v>
      </c>
      <c r="D314" s="13" t="s">
        <v>871</v>
      </c>
      <c r="E314" s="8" t="s">
        <v>872</v>
      </c>
      <c r="F314" s="28">
        <v>577021.82999999996</v>
      </c>
      <c r="G314" s="9">
        <v>0</v>
      </c>
      <c r="H314" s="10">
        <f t="shared" si="22"/>
        <v>577021.82999999996</v>
      </c>
      <c r="I314" s="9">
        <f t="shared" si="21"/>
        <v>-184358.47468499999</v>
      </c>
      <c r="K314" s="170">
        <f t="shared" si="23"/>
        <v>392663.35531499994</v>
      </c>
      <c r="L314" s="170"/>
      <c r="M314" s="170"/>
      <c r="O314" s="7"/>
      <c r="Q314" s="11"/>
    </row>
    <row r="315" spans="1:17" outlineLevel="2">
      <c r="A315" s="7">
        <f t="shared" si="18"/>
        <v>310</v>
      </c>
      <c r="B315" s="7" t="s">
        <v>27</v>
      </c>
      <c r="C315" s="7" t="s">
        <v>803</v>
      </c>
      <c r="D315" s="13" t="s">
        <v>873</v>
      </c>
      <c r="E315" s="8" t="s">
        <v>874</v>
      </c>
      <c r="F315" s="28">
        <v>399031.96</v>
      </c>
      <c r="G315" s="9">
        <v>0</v>
      </c>
      <c r="H315" s="10">
        <f t="shared" si="22"/>
        <v>399031.96</v>
      </c>
      <c r="I315" s="9">
        <f t="shared" si="21"/>
        <v>-127490.71122000001</v>
      </c>
      <c r="K315" s="170">
        <f t="shared" si="23"/>
        <v>271541.24878000002</v>
      </c>
      <c r="L315" s="170"/>
      <c r="M315" s="170"/>
      <c r="O315" s="7"/>
      <c r="Q315" s="11"/>
    </row>
    <row r="316" spans="1:17" outlineLevel="2">
      <c r="A316" s="7">
        <f t="shared" si="18"/>
        <v>311</v>
      </c>
      <c r="B316" s="7" t="s">
        <v>27</v>
      </c>
      <c r="C316" s="7" t="s">
        <v>803</v>
      </c>
      <c r="D316" s="13" t="s">
        <v>875</v>
      </c>
      <c r="E316" s="8" t="s">
        <v>876</v>
      </c>
      <c r="F316" s="28">
        <v>79113.22</v>
      </c>
      <c r="G316" s="9">
        <v>0</v>
      </c>
      <c r="H316" s="10">
        <f t="shared" si="22"/>
        <v>79113.22</v>
      </c>
      <c r="I316" s="9">
        <f t="shared" si="21"/>
        <v>-25276.673790000001</v>
      </c>
      <c r="K316" s="170">
        <f t="shared" si="23"/>
        <v>53836.54621</v>
      </c>
      <c r="L316" s="170"/>
      <c r="M316" s="170"/>
      <c r="O316" s="7"/>
      <c r="Q316" s="11"/>
    </row>
    <row r="317" spans="1:17" outlineLevel="2">
      <c r="A317" s="7">
        <f t="shared" si="18"/>
        <v>312</v>
      </c>
      <c r="B317" s="7" t="s">
        <v>27</v>
      </c>
      <c r="C317" s="7" t="s">
        <v>803</v>
      </c>
      <c r="D317" s="13" t="s">
        <v>877</v>
      </c>
      <c r="E317" s="8" t="s">
        <v>878</v>
      </c>
      <c r="F317" s="28">
        <v>1821.43</v>
      </c>
      <c r="G317" s="9">
        <v>0</v>
      </c>
      <c r="H317" s="10">
        <f t="shared" si="22"/>
        <v>1821.43</v>
      </c>
      <c r="I317" s="9">
        <f t="shared" si="21"/>
        <v>-581.94688500000007</v>
      </c>
      <c r="K317" s="170">
        <f t="shared" si="23"/>
        <v>1239.483115</v>
      </c>
      <c r="L317" s="170"/>
      <c r="M317" s="170"/>
      <c r="O317" s="7"/>
      <c r="Q317" s="11"/>
    </row>
    <row r="318" spans="1:17" outlineLevel="2">
      <c r="A318" s="7">
        <f t="shared" si="18"/>
        <v>313</v>
      </c>
      <c r="B318" s="7" t="s">
        <v>27</v>
      </c>
      <c r="C318" s="7" t="s">
        <v>803</v>
      </c>
      <c r="D318" s="13" t="s">
        <v>879</v>
      </c>
      <c r="E318" s="8" t="s">
        <v>880</v>
      </c>
      <c r="F318" s="28">
        <v>209856.93</v>
      </c>
      <c r="G318" s="9">
        <v>0</v>
      </c>
      <c r="H318" s="10">
        <f t="shared" si="22"/>
        <v>209856.93</v>
      </c>
      <c r="I318" s="9">
        <f t="shared" si="21"/>
        <v>-67049.289134999999</v>
      </c>
      <c r="K318" s="170">
        <f t="shared" si="23"/>
        <v>142807.64086499999</v>
      </c>
      <c r="L318" s="170"/>
      <c r="M318" s="170"/>
      <c r="O318" s="7"/>
      <c r="Q318" s="11"/>
    </row>
    <row r="319" spans="1:17" outlineLevel="2">
      <c r="A319" s="7">
        <f t="shared" si="18"/>
        <v>314</v>
      </c>
      <c r="B319" s="7" t="s">
        <v>27</v>
      </c>
      <c r="C319" s="7" t="s">
        <v>803</v>
      </c>
      <c r="D319" s="13" t="s">
        <v>881</v>
      </c>
      <c r="E319" s="8" t="s">
        <v>882</v>
      </c>
      <c r="F319" s="28">
        <v>240323.88</v>
      </c>
      <c r="G319" s="9">
        <v>0</v>
      </c>
      <c r="H319" s="10">
        <f t="shared" si="22"/>
        <v>240323.88</v>
      </c>
      <c r="I319" s="9">
        <f>-(F319*$N$284)</f>
        <v>-76783.479659999997</v>
      </c>
      <c r="K319" s="170">
        <f t="shared" si="23"/>
        <v>163540.40033999999</v>
      </c>
      <c r="L319" s="170"/>
      <c r="M319" s="170"/>
      <c r="O319" s="7"/>
      <c r="Q319" s="11"/>
    </row>
    <row r="320" spans="1:17" outlineLevel="2">
      <c r="A320" s="7">
        <f t="shared" si="18"/>
        <v>315</v>
      </c>
      <c r="B320" s="7" t="s">
        <v>27</v>
      </c>
      <c r="C320" s="7" t="s">
        <v>803</v>
      </c>
      <c r="D320" s="13" t="s">
        <v>883</v>
      </c>
      <c r="E320" s="8" t="s">
        <v>884</v>
      </c>
      <c r="F320" s="28">
        <v>318946.86</v>
      </c>
      <c r="G320" s="9">
        <v>0</v>
      </c>
      <c r="H320" s="10">
        <f t="shared" si="22"/>
        <v>318946.86</v>
      </c>
      <c r="I320" s="9">
        <f t="shared" si="21"/>
        <v>-101903.52176999999</v>
      </c>
      <c r="K320" s="170">
        <f t="shared" si="23"/>
        <v>217043.33822999999</v>
      </c>
      <c r="L320" s="170"/>
      <c r="M320" s="170"/>
      <c r="O320" s="7"/>
      <c r="Q320" s="11"/>
    </row>
    <row r="321" spans="1:17" outlineLevel="2">
      <c r="A321" s="7">
        <f t="shared" si="18"/>
        <v>316</v>
      </c>
      <c r="B321" s="7" t="s">
        <v>27</v>
      </c>
      <c r="C321" s="7" t="s">
        <v>803</v>
      </c>
      <c r="D321" s="13" t="s">
        <v>885</v>
      </c>
      <c r="E321" s="8" t="s">
        <v>886</v>
      </c>
      <c r="F321" s="28">
        <v>830244</v>
      </c>
      <c r="G321" s="9">
        <v>0</v>
      </c>
      <c r="H321" s="10">
        <f t="shared" si="22"/>
        <v>830244</v>
      </c>
      <c r="I321" s="9">
        <f t="shared" si="21"/>
        <v>-265262.95799999998</v>
      </c>
      <c r="K321" s="170">
        <f t="shared" si="23"/>
        <v>564981.04200000002</v>
      </c>
      <c r="L321" s="170"/>
      <c r="M321" s="170"/>
      <c r="O321" s="7"/>
      <c r="Q321" s="11"/>
    </row>
    <row r="322" spans="1:17" outlineLevel="2">
      <c r="A322" s="7">
        <f t="shared" si="18"/>
        <v>317</v>
      </c>
      <c r="B322" s="7" t="s">
        <v>27</v>
      </c>
      <c r="C322" s="7" t="s">
        <v>803</v>
      </c>
      <c r="D322" s="13" t="s">
        <v>887</v>
      </c>
      <c r="E322" s="8" t="s">
        <v>888</v>
      </c>
      <c r="F322" s="28">
        <v>220206.21</v>
      </c>
      <c r="G322" s="9">
        <v>0</v>
      </c>
      <c r="H322" s="10">
        <f t="shared" si="22"/>
        <v>220206.21</v>
      </c>
      <c r="I322" s="9">
        <f t="shared" si="21"/>
        <v>-70355.884095000001</v>
      </c>
      <c r="K322" s="170">
        <f t="shared" si="23"/>
        <v>149850.32590499998</v>
      </c>
      <c r="L322" s="170"/>
      <c r="M322" s="170"/>
      <c r="O322" s="7"/>
      <c r="Q322" s="11"/>
    </row>
    <row r="323" spans="1:17" outlineLevel="2">
      <c r="A323" s="7">
        <f t="shared" si="18"/>
        <v>318</v>
      </c>
      <c r="B323" s="7" t="s">
        <v>27</v>
      </c>
      <c r="C323" s="7" t="s">
        <v>803</v>
      </c>
      <c r="D323" s="13" t="s">
        <v>889</v>
      </c>
      <c r="E323" s="8" t="s">
        <v>890</v>
      </c>
      <c r="F323" s="28">
        <v>99569.22</v>
      </c>
      <c r="G323" s="9">
        <v>0</v>
      </c>
      <c r="H323" s="10">
        <f t="shared" si="22"/>
        <v>99569.22</v>
      </c>
      <c r="I323" s="9">
        <f t="shared" si="21"/>
        <v>-31812.36579</v>
      </c>
      <c r="K323" s="170">
        <f t="shared" si="23"/>
        <v>67756.854210000005</v>
      </c>
      <c r="L323" s="170"/>
      <c r="M323" s="170"/>
      <c r="O323" s="7"/>
      <c r="Q323" s="11"/>
    </row>
    <row r="324" spans="1:17" outlineLevel="2">
      <c r="A324" s="7">
        <f t="shared" si="18"/>
        <v>319</v>
      </c>
      <c r="B324" s="7" t="s">
        <v>27</v>
      </c>
      <c r="C324" s="7" t="s">
        <v>803</v>
      </c>
      <c r="D324" s="13" t="s">
        <v>891</v>
      </c>
      <c r="E324" s="8" t="s">
        <v>892</v>
      </c>
      <c r="F324" s="28">
        <v>2527</v>
      </c>
      <c r="G324" s="9">
        <v>0</v>
      </c>
      <c r="H324" s="10">
        <f t="shared" si="22"/>
        <v>2527</v>
      </c>
      <c r="I324" s="9">
        <f t="shared" si="21"/>
        <v>-807.37649999999996</v>
      </c>
      <c r="K324" s="170">
        <f t="shared" si="23"/>
        <v>1719.6235000000001</v>
      </c>
      <c r="L324" s="170"/>
      <c r="M324" s="170"/>
      <c r="O324" s="7"/>
      <c r="Q324" s="11"/>
    </row>
    <row r="325" spans="1:17" outlineLevel="2">
      <c r="A325" s="7">
        <f t="shared" si="18"/>
        <v>320</v>
      </c>
      <c r="B325" s="7" t="s">
        <v>27</v>
      </c>
      <c r="C325" s="7" t="s">
        <v>803</v>
      </c>
      <c r="D325" s="13" t="s">
        <v>893</v>
      </c>
      <c r="E325" s="8" t="s">
        <v>894</v>
      </c>
      <c r="F325" s="28">
        <v>101254.41</v>
      </c>
      <c r="G325" s="9">
        <v>0</v>
      </c>
      <c r="H325" s="10">
        <f t="shared" si="22"/>
        <v>101254.41</v>
      </c>
      <c r="I325" s="9">
        <f t="shared" si="21"/>
        <v>-32350.783995000002</v>
      </c>
      <c r="K325" s="170">
        <f t="shared" si="23"/>
        <v>68903.626004999998</v>
      </c>
      <c r="L325" s="170"/>
      <c r="M325" s="170"/>
      <c r="O325" s="7"/>
      <c r="Q325" s="11"/>
    </row>
    <row r="326" spans="1:17" outlineLevel="2">
      <c r="A326" s="7">
        <f t="shared" si="18"/>
        <v>321</v>
      </c>
      <c r="B326" s="7" t="s">
        <v>27</v>
      </c>
      <c r="C326" s="7" t="s">
        <v>803</v>
      </c>
      <c r="D326" s="13" t="s">
        <v>895</v>
      </c>
      <c r="E326" s="8" t="s">
        <v>896</v>
      </c>
      <c r="F326" s="28">
        <v>206549.66</v>
      </c>
      <c r="G326" s="9">
        <v>0</v>
      </c>
      <c r="H326" s="10">
        <f t="shared" si="22"/>
        <v>206549.66</v>
      </c>
      <c r="I326" s="9">
        <f t="shared" si="21"/>
        <v>-65992.616370000003</v>
      </c>
      <c r="K326" s="170">
        <f t="shared" si="23"/>
        <v>140557.04363</v>
      </c>
      <c r="L326" s="170"/>
      <c r="M326" s="170"/>
      <c r="O326" s="7"/>
      <c r="Q326" s="11"/>
    </row>
    <row r="327" spans="1:17" outlineLevel="2">
      <c r="A327" s="7">
        <f t="shared" si="18"/>
        <v>322</v>
      </c>
      <c r="B327" s="7" t="s">
        <v>27</v>
      </c>
      <c r="C327" s="7" t="s">
        <v>803</v>
      </c>
      <c r="D327" s="13" t="s">
        <v>897</v>
      </c>
      <c r="E327" s="8" t="s">
        <v>898</v>
      </c>
      <c r="F327" s="28">
        <v>328816.27</v>
      </c>
      <c r="G327" s="9">
        <v>0</v>
      </c>
      <c r="H327" s="10">
        <f t="shared" si="22"/>
        <v>328816.27</v>
      </c>
      <c r="I327" s="9">
        <f t="shared" si="21"/>
        <v>-105056.798265</v>
      </c>
      <c r="K327" s="170">
        <f t="shared" si="23"/>
        <v>223759.47173500003</v>
      </c>
      <c r="L327" s="170"/>
      <c r="M327" s="170"/>
      <c r="O327" s="7"/>
      <c r="Q327" s="11"/>
    </row>
    <row r="328" spans="1:17" outlineLevel="2">
      <c r="A328" s="7">
        <f t="shared" si="18"/>
        <v>323</v>
      </c>
      <c r="B328" s="7" t="s">
        <v>27</v>
      </c>
      <c r="C328" s="7" t="s">
        <v>803</v>
      </c>
      <c r="D328" s="13" t="s">
        <v>899</v>
      </c>
      <c r="E328" s="8" t="s">
        <v>900</v>
      </c>
      <c r="F328" s="28">
        <v>154375.47</v>
      </c>
      <c r="H328" s="10">
        <f t="shared" si="22"/>
        <v>154375.47</v>
      </c>
      <c r="I328" s="9">
        <f t="shared" si="21"/>
        <v>-49322.962664999999</v>
      </c>
      <c r="K328" s="170">
        <f t="shared" si="23"/>
        <v>105052.507335</v>
      </c>
      <c r="L328" s="170"/>
      <c r="M328" s="170"/>
      <c r="O328" s="7"/>
      <c r="Q328" s="11"/>
    </row>
    <row r="329" spans="1:17" outlineLevel="2">
      <c r="A329" s="7">
        <f t="shared" ref="A329:A392" si="24">A328+1</f>
        <v>324</v>
      </c>
      <c r="B329" s="7" t="s">
        <v>27</v>
      </c>
      <c r="C329" s="7" t="s">
        <v>803</v>
      </c>
      <c r="D329" s="13" t="s">
        <v>901</v>
      </c>
      <c r="E329" s="8" t="s">
        <v>902</v>
      </c>
      <c r="F329" s="28">
        <v>536646.14</v>
      </c>
      <c r="G329" s="9">
        <v>0</v>
      </c>
      <c r="H329" s="10">
        <f t="shared" si="22"/>
        <v>536646.14</v>
      </c>
      <c r="I329" s="9">
        <f>-(F329*$N$284)</f>
        <v>-171458.44173000002</v>
      </c>
      <c r="K329" s="170">
        <f t="shared" si="23"/>
        <v>365187.69826999999</v>
      </c>
      <c r="L329" s="170"/>
      <c r="M329" s="170"/>
      <c r="O329" s="7"/>
      <c r="Q329" s="11"/>
    </row>
    <row r="330" spans="1:17" outlineLevel="2">
      <c r="A330" s="7">
        <f t="shared" si="24"/>
        <v>325</v>
      </c>
      <c r="B330" s="7" t="s">
        <v>27</v>
      </c>
      <c r="C330" s="7" t="s">
        <v>803</v>
      </c>
      <c r="D330" s="13" t="s">
        <v>903</v>
      </c>
      <c r="E330" s="8" t="s">
        <v>904</v>
      </c>
      <c r="F330" s="28">
        <v>68763.06</v>
      </c>
      <c r="G330" s="9">
        <v>0</v>
      </c>
      <c r="H330" s="10">
        <f t="shared" si="22"/>
        <v>68763.06</v>
      </c>
      <c r="I330" s="9">
        <f t="shared" si="21"/>
        <v>-21969.79767</v>
      </c>
      <c r="K330" s="170">
        <f t="shared" si="23"/>
        <v>46793.262329999998</v>
      </c>
      <c r="L330" s="170"/>
      <c r="M330" s="170"/>
      <c r="O330" s="7"/>
      <c r="Q330" s="11"/>
    </row>
    <row r="331" spans="1:17" outlineLevel="2">
      <c r="A331" s="7">
        <f t="shared" si="24"/>
        <v>326</v>
      </c>
      <c r="B331" s="7" t="s">
        <v>27</v>
      </c>
      <c r="C331" s="7" t="s">
        <v>803</v>
      </c>
      <c r="D331" s="13" t="s">
        <v>905</v>
      </c>
      <c r="E331" s="8" t="s">
        <v>906</v>
      </c>
      <c r="F331" s="28">
        <v>70574.899999999994</v>
      </c>
      <c r="G331" s="9">
        <v>0</v>
      </c>
      <c r="H331" s="10">
        <f t="shared" si="22"/>
        <v>70574.899999999994</v>
      </c>
      <c r="I331" s="9">
        <f t="shared" si="21"/>
        <v>-22548.680549999997</v>
      </c>
      <c r="K331" s="170">
        <f t="shared" si="23"/>
        <v>48026.219449999997</v>
      </c>
      <c r="L331" s="170"/>
      <c r="M331" s="170"/>
      <c r="O331" s="7"/>
      <c r="Q331" s="11"/>
    </row>
    <row r="332" spans="1:17" outlineLevel="2">
      <c r="A332" s="7">
        <f t="shared" si="24"/>
        <v>327</v>
      </c>
      <c r="B332" s="7" t="s">
        <v>27</v>
      </c>
      <c r="C332" s="7" t="s">
        <v>803</v>
      </c>
      <c r="D332" s="13" t="s">
        <v>907</v>
      </c>
      <c r="E332" s="8" t="s">
        <v>908</v>
      </c>
      <c r="F332" s="28">
        <v>97511.52</v>
      </c>
      <c r="G332" s="9">
        <v>0</v>
      </c>
      <c r="H332" s="10">
        <f t="shared" si="22"/>
        <v>97511.52</v>
      </c>
      <c r="I332" s="9">
        <f t="shared" si="21"/>
        <v>-31154.930640000002</v>
      </c>
      <c r="K332" s="170">
        <f t="shared" si="23"/>
        <v>66356.589359999998</v>
      </c>
      <c r="L332" s="170"/>
      <c r="M332" s="170"/>
      <c r="O332" s="7"/>
      <c r="Q332" s="11"/>
    </row>
    <row r="333" spans="1:17" outlineLevel="2">
      <c r="A333" s="7">
        <f t="shared" si="24"/>
        <v>328</v>
      </c>
      <c r="B333" s="7" t="s">
        <v>27</v>
      </c>
      <c r="C333" s="7" t="s">
        <v>803</v>
      </c>
      <c r="D333" s="13" t="s">
        <v>909</v>
      </c>
      <c r="E333" s="8" t="s">
        <v>910</v>
      </c>
      <c r="F333" s="28">
        <v>507498.02</v>
      </c>
      <c r="G333" s="9">
        <v>0</v>
      </c>
      <c r="H333" s="10">
        <f t="shared" si="22"/>
        <v>507498.02</v>
      </c>
      <c r="I333" s="9">
        <f t="shared" si="21"/>
        <v>-162145.61739</v>
      </c>
      <c r="K333" s="170">
        <f t="shared" si="23"/>
        <v>345352.40260999999</v>
      </c>
      <c r="L333" s="170"/>
      <c r="M333" s="170"/>
      <c r="O333" s="7"/>
      <c r="Q333" s="11"/>
    </row>
    <row r="334" spans="1:17" outlineLevel="2">
      <c r="A334" s="7">
        <f t="shared" si="24"/>
        <v>329</v>
      </c>
      <c r="B334" s="7" t="s">
        <v>27</v>
      </c>
      <c r="C334" s="7" t="s">
        <v>803</v>
      </c>
      <c r="D334" s="13" t="s">
        <v>911</v>
      </c>
      <c r="E334" s="8" t="s">
        <v>912</v>
      </c>
      <c r="F334" s="28">
        <v>785698.39</v>
      </c>
      <c r="H334" s="10">
        <f t="shared" si="22"/>
        <v>785698.39</v>
      </c>
      <c r="I334" s="9">
        <f t="shared" si="21"/>
        <v>-251030.63560500002</v>
      </c>
      <c r="K334" s="170">
        <f t="shared" si="23"/>
        <v>534667.75439499994</v>
      </c>
      <c r="L334" s="170"/>
      <c r="M334" s="170"/>
      <c r="O334" s="7"/>
      <c r="Q334" s="11"/>
    </row>
    <row r="335" spans="1:17" outlineLevel="2">
      <c r="A335" s="7">
        <f t="shared" si="24"/>
        <v>330</v>
      </c>
      <c r="B335" s="7" t="s">
        <v>27</v>
      </c>
      <c r="C335" s="7" t="s">
        <v>803</v>
      </c>
      <c r="D335" s="13" t="s">
        <v>913</v>
      </c>
      <c r="E335" s="8" t="s">
        <v>914</v>
      </c>
      <c r="F335" s="28">
        <v>99222.88</v>
      </c>
      <c r="G335" s="9">
        <v>0</v>
      </c>
      <c r="H335" s="10">
        <f t="shared" si="22"/>
        <v>99222.88</v>
      </c>
      <c r="I335" s="9">
        <f t="shared" si="21"/>
        <v>-31701.710160000002</v>
      </c>
      <c r="K335" s="170">
        <f t="shared" si="23"/>
        <v>67521.169840000002</v>
      </c>
      <c r="L335" s="170"/>
      <c r="M335" s="170"/>
      <c r="O335" s="7"/>
      <c r="Q335" s="11"/>
    </row>
    <row r="336" spans="1:17" outlineLevel="2">
      <c r="A336" s="7">
        <f t="shared" si="24"/>
        <v>331</v>
      </c>
      <c r="B336" s="7" t="s">
        <v>27</v>
      </c>
      <c r="C336" s="7" t="s">
        <v>803</v>
      </c>
      <c r="D336" s="13" t="s">
        <v>915</v>
      </c>
      <c r="E336" s="8" t="s">
        <v>916</v>
      </c>
      <c r="F336" s="28">
        <v>301613.96999999997</v>
      </c>
      <c r="G336" s="9">
        <v>0</v>
      </c>
      <c r="H336" s="10">
        <f t="shared" si="22"/>
        <v>301613.96999999997</v>
      </c>
      <c r="I336" s="9">
        <f t="shared" si="21"/>
        <v>-96365.663414999988</v>
      </c>
      <c r="K336" s="170">
        <f t="shared" si="23"/>
        <v>205248.30658499998</v>
      </c>
      <c r="L336" s="170"/>
      <c r="M336" s="170"/>
      <c r="O336" s="7"/>
      <c r="Q336" s="11"/>
    </row>
    <row r="337" spans="1:17" outlineLevel="2">
      <c r="A337" s="7">
        <f t="shared" si="24"/>
        <v>332</v>
      </c>
      <c r="B337" s="7" t="s">
        <v>27</v>
      </c>
      <c r="C337" s="7" t="s">
        <v>803</v>
      </c>
      <c r="D337" s="13" t="s">
        <v>917</v>
      </c>
      <c r="E337" s="8" t="s">
        <v>918</v>
      </c>
      <c r="F337" s="28">
        <v>174742.03</v>
      </c>
      <c r="G337" s="9">
        <v>0</v>
      </c>
      <c r="H337" s="10">
        <f t="shared" si="22"/>
        <v>174742.03</v>
      </c>
      <c r="I337" s="9">
        <f t="shared" si="21"/>
        <v>-55830.078585000003</v>
      </c>
      <c r="K337" s="170">
        <f t="shared" si="23"/>
        <v>118911.95141499999</v>
      </c>
      <c r="L337" s="170"/>
      <c r="M337" s="170"/>
      <c r="O337" s="7"/>
      <c r="Q337" s="11"/>
    </row>
    <row r="338" spans="1:17" outlineLevel="2">
      <c r="A338" s="7">
        <f t="shared" si="24"/>
        <v>333</v>
      </c>
      <c r="B338" s="7" t="s">
        <v>27</v>
      </c>
      <c r="C338" s="7" t="s">
        <v>803</v>
      </c>
      <c r="D338" s="13" t="s">
        <v>919</v>
      </c>
      <c r="E338" s="8" t="s">
        <v>920</v>
      </c>
      <c r="F338" s="28">
        <v>331415.39</v>
      </c>
      <c r="G338" s="9">
        <v>0</v>
      </c>
      <c r="H338" s="10">
        <f t="shared" si="22"/>
        <v>331415.39</v>
      </c>
      <c r="I338" s="9">
        <f t="shared" si="21"/>
        <v>-105887.217105</v>
      </c>
      <c r="K338" s="170">
        <f t="shared" si="23"/>
        <v>225528.17289500003</v>
      </c>
      <c r="L338" s="170"/>
      <c r="M338" s="170"/>
      <c r="O338" s="7"/>
      <c r="Q338" s="11"/>
    </row>
    <row r="339" spans="1:17" outlineLevel="2">
      <c r="A339" s="7">
        <f t="shared" si="24"/>
        <v>334</v>
      </c>
      <c r="B339" s="7" t="s">
        <v>27</v>
      </c>
      <c r="C339" s="7" t="s">
        <v>803</v>
      </c>
      <c r="D339" s="13" t="s">
        <v>921</v>
      </c>
      <c r="E339" s="8" t="s">
        <v>922</v>
      </c>
      <c r="F339" s="28">
        <v>26900.46</v>
      </c>
      <c r="H339" s="10">
        <f t="shared" si="22"/>
        <v>26900.46</v>
      </c>
      <c r="I339" s="9">
        <f>-(F339*$N$284)</f>
        <v>-8594.6969699999991</v>
      </c>
      <c r="K339" s="170">
        <f t="shared" si="23"/>
        <v>18305.763030000002</v>
      </c>
      <c r="L339" s="170"/>
      <c r="M339" s="170"/>
      <c r="O339" s="7"/>
      <c r="Q339" s="11"/>
    </row>
    <row r="340" spans="1:17" outlineLevel="2">
      <c r="A340" s="7">
        <f t="shared" si="24"/>
        <v>335</v>
      </c>
      <c r="B340" s="7" t="s">
        <v>27</v>
      </c>
      <c r="C340" s="7" t="s">
        <v>803</v>
      </c>
      <c r="D340" s="13" t="s">
        <v>923</v>
      </c>
      <c r="E340" s="8" t="s">
        <v>924</v>
      </c>
      <c r="F340" s="28">
        <v>80798.66</v>
      </c>
      <c r="G340" s="9">
        <v>0</v>
      </c>
      <c r="H340" s="10">
        <f t="shared" si="22"/>
        <v>80798.66</v>
      </c>
      <c r="I340" s="9">
        <f>-(F340*$N$284)</f>
        <v>-25815.171870000002</v>
      </c>
      <c r="K340" s="170">
        <f t="shared" si="23"/>
        <v>54983.488129999998</v>
      </c>
      <c r="L340" s="170"/>
      <c r="M340" s="170"/>
      <c r="O340" s="7"/>
      <c r="Q340" s="11"/>
    </row>
    <row r="341" spans="1:17" outlineLevel="2">
      <c r="A341" s="7">
        <f t="shared" si="24"/>
        <v>336</v>
      </c>
      <c r="B341" s="7" t="s">
        <v>27</v>
      </c>
      <c r="C341" s="7" t="s">
        <v>803</v>
      </c>
      <c r="D341" s="13" t="s">
        <v>925</v>
      </c>
      <c r="E341" s="8" t="s">
        <v>926</v>
      </c>
      <c r="F341" s="28">
        <v>148752.31</v>
      </c>
      <c r="G341" s="9">
        <v>0</v>
      </c>
      <c r="H341" s="10">
        <f t="shared" si="22"/>
        <v>148752.31</v>
      </c>
      <c r="I341" s="9">
        <f t="shared" si="21"/>
        <v>-47526.363044999998</v>
      </c>
      <c r="K341" s="170">
        <f t="shared" si="23"/>
        <v>101225.94695499999</v>
      </c>
      <c r="L341" s="170"/>
      <c r="M341" s="170"/>
      <c r="O341" s="7"/>
      <c r="Q341" s="11"/>
    </row>
    <row r="342" spans="1:17" outlineLevel="2">
      <c r="A342" s="7">
        <f t="shared" si="24"/>
        <v>337</v>
      </c>
      <c r="B342" s="7" t="s">
        <v>27</v>
      </c>
      <c r="C342" s="7" t="s">
        <v>803</v>
      </c>
      <c r="D342" s="13" t="s">
        <v>927</v>
      </c>
      <c r="E342" s="8" t="s">
        <v>928</v>
      </c>
      <c r="F342" s="28">
        <v>325519.83</v>
      </c>
      <c r="G342" s="9">
        <v>0</v>
      </c>
      <c r="H342" s="10">
        <f t="shared" si="22"/>
        <v>325519.83</v>
      </c>
      <c r="I342" s="9">
        <f t="shared" si="21"/>
        <v>-104003.58568500001</v>
      </c>
      <c r="K342" s="170">
        <f t="shared" si="23"/>
        <v>221516.24431500002</v>
      </c>
      <c r="L342" s="170"/>
      <c r="M342" s="170"/>
      <c r="O342" s="7"/>
      <c r="Q342" s="11"/>
    </row>
    <row r="343" spans="1:17" outlineLevel="2">
      <c r="A343" s="7">
        <f t="shared" si="24"/>
        <v>338</v>
      </c>
      <c r="B343" s="7" t="s">
        <v>27</v>
      </c>
      <c r="C343" s="7" t="s">
        <v>803</v>
      </c>
      <c r="D343" s="13" t="s">
        <v>929</v>
      </c>
      <c r="E343" s="8" t="s">
        <v>930</v>
      </c>
      <c r="F343" s="28">
        <v>378095.18</v>
      </c>
      <c r="G343" s="9">
        <v>0</v>
      </c>
      <c r="H343" s="10">
        <f t="shared" si="22"/>
        <v>378095.18</v>
      </c>
      <c r="I343" s="9">
        <f t="shared" si="21"/>
        <v>-120801.41001000001</v>
      </c>
      <c r="K343" s="170">
        <f t="shared" si="23"/>
        <v>257293.76999</v>
      </c>
      <c r="L343" s="170"/>
      <c r="M343" s="170"/>
      <c r="O343" s="7"/>
      <c r="Q343" s="11"/>
    </row>
    <row r="344" spans="1:17" outlineLevel="2">
      <c r="A344" s="7">
        <f t="shared" si="24"/>
        <v>339</v>
      </c>
      <c r="B344" s="7" t="s">
        <v>27</v>
      </c>
      <c r="C344" s="7" t="s">
        <v>803</v>
      </c>
      <c r="D344" s="13" t="s">
        <v>931</v>
      </c>
      <c r="E344" s="8" t="s">
        <v>932</v>
      </c>
      <c r="F344" s="28">
        <v>386754.37</v>
      </c>
      <c r="G344" s="9">
        <v>0</v>
      </c>
      <c r="H344" s="10">
        <f t="shared" si="22"/>
        <v>386754.37</v>
      </c>
      <c r="I344" s="9">
        <f t="shared" ref="I344:I358" si="25">-(F344*$N$284)</f>
        <v>-123568.021215</v>
      </c>
      <c r="K344" s="170">
        <f t="shared" si="23"/>
        <v>263186.34878499998</v>
      </c>
      <c r="L344" s="170"/>
      <c r="M344" s="170"/>
      <c r="O344" s="7"/>
      <c r="Q344" s="11"/>
    </row>
    <row r="345" spans="1:17" outlineLevel="2">
      <c r="A345" s="7">
        <f t="shared" si="24"/>
        <v>340</v>
      </c>
      <c r="B345" s="7" t="s">
        <v>27</v>
      </c>
      <c r="C345" s="7" t="s">
        <v>803</v>
      </c>
      <c r="D345" s="13" t="s">
        <v>933</v>
      </c>
      <c r="E345" s="8" t="s">
        <v>934</v>
      </c>
      <c r="F345" s="28">
        <v>0</v>
      </c>
      <c r="G345" s="9">
        <v>0</v>
      </c>
      <c r="H345" s="10">
        <f t="shared" si="22"/>
        <v>0</v>
      </c>
      <c r="I345" s="9">
        <f t="shared" si="25"/>
        <v>0</v>
      </c>
      <c r="K345" s="170">
        <f t="shared" si="23"/>
        <v>0</v>
      </c>
      <c r="L345" s="170"/>
      <c r="M345" s="170"/>
      <c r="O345" s="7"/>
      <c r="Q345" s="11"/>
    </row>
    <row r="346" spans="1:17" outlineLevel="2">
      <c r="A346" s="7">
        <f t="shared" si="24"/>
        <v>341</v>
      </c>
      <c r="B346" s="7" t="s">
        <v>27</v>
      </c>
      <c r="C346" s="7" t="s">
        <v>803</v>
      </c>
      <c r="D346" s="13" t="s">
        <v>935</v>
      </c>
      <c r="E346" s="8" t="s">
        <v>936</v>
      </c>
      <c r="F346" s="28">
        <v>753821.26</v>
      </c>
      <c r="H346" s="10">
        <f t="shared" ref="H346:H395" si="26">F346+G346</f>
        <v>753821.26</v>
      </c>
      <c r="I346" s="9">
        <f t="shared" si="25"/>
        <v>-240845.89257</v>
      </c>
      <c r="K346" s="170">
        <f t="shared" ref="K346:K395" si="27">SUM(H346:J346)</f>
        <v>512975.36742999998</v>
      </c>
      <c r="L346" s="170"/>
      <c r="M346" s="170"/>
      <c r="O346" s="7"/>
      <c r="Q346" s="11"/>
    </row>
    <row r="347" spans="1:17" outlineLevel="2">
      <c r="A347" s="7">
        <f t="shared" si="24"/>
        <v>342</v>
      </c>
      <c r="B347" s="7" t="s">
        <v>27</v>
      </c>
      <c r="C347" s="7" t="s">
        <v>803</v>
      </c>
      <c r="D347" s="13" t="s">
        <v>937</v>
      </c>
      <c r="E347" s="8" t="s">
        <v>938</v>
      </c>
      <c r="F347" s="28">
        <v>211146.16</v>
      </c>
      <c r="G347" s="9">
        <v>0</v>
      </c>
      <c r="H347" s="10">
        <f t="shared" si="26"/>
        <v>211146.16</v>
      </c>
      <c r="I347" s="9">
        <f t="shared" si="25"/>
        <v>-67461.198120000001</v>
      </c>
      <c r="K347" s="170">
        <f t="shared" si="27"/>
        <v>143684.96188000002</v>
      </c>
      <c r="L347" s="170"/>
      <c r="M347" s="170"/>
      <c r="O347" s="7"/>
      <c r="Q347" s="11"/>
    </row>
    <row r="348" spans="1:17" outlineLevel="2">
      <c r="A348" s="7">
        <f t="shared" si="24"/>
        <v>343</v>
      </c>
      <c r="B348" s="7" t="s">
        <v>27</v>
      </c>
      <c r="C348" s="7" t="s">
        <v>803</v>
      </c>
      <c r="D348" s="13" t="s">
        <v>939</v>
      </c>
      <c r="E348" s="8" t="s">
        <v>940</v>
      </c>
      <c r="F348" s="28">
        <v>109706.08</v>
      </c>
      <c r="G348" s="9">
        <v>0</v>
      </c>
      <c r="H348" s="10">
        <f t="shared" si="26"/>
        <v>109706.08</v>
      </c>
      <c r="I348" s="9">
        <f t="shared" si="25"/>
        <v>-35051.092560000005</v>
      </c>
      <c r="K348" s="170">
        <f t="shared" si="27"/>
        <v>74654.987439999997</v>
      </c>
      <c r="L348" s="170"/>
      <c r="M348" s="170"/>
      <c r="O348" s="7"/>
      <c r="Q348" s="11"/>
    </row>
    <row r="349" spans="1:17" outlineLevel="2">
      <c r="A349" s="7">
        <f t="shared" si="24"/>
        <v>344</v>
      </c>
      <c r="B349" s="7" t="s">
        <v>27</v>
      </c>
      <c r="C349" s="7" t="s">
        <v>803</v>
      </c>
      <c r="D349" s="13" t="s">
        <v>941</v>
      </c>
      <c r="E349" s="8" t="s">
        <v>942</v>
      </c>
      <c r="F349" s="28">
        <v>302700.90999999997</v>
      </c>
      <c r="G349" s="9">
        <v>0</v>
      </c>
      <c r="H349" s="10">
        <f t="shared" si="26"/>
        <v>302700.90999999997</v>
      </c>
      <c r="I349" s="9">
        <f t="shared" si="25"/>
        <v>-96712.940745</v>
      </c>
      <c r="K349" s="170">
        <f t="shared" si="27"/>
        <v>205987.96925499997</v>
      </c>
      <c r="L349" s="170"/>
      <c r="M349" s="170"/>
      <c r="O349" s="7"/>
      <c r="Q349" s="11"/>
    </row>
    <row r="350" spans="1:17" outlineLevel="2">
      <c r="A350" s="7">
        <f t="shared" si="24"/>
        <v>345</v>
      </c>
      <c r="B350" s="7" t="s">
        <v>27</v>
      </c>
      <c r="C350" s="7" t="s">
        <v>803</v>
      </c>
      <c r="D350" s="13" t="s">
        <v>943</v>
      </c>
      <c r="E350" s="8" t="s">
        <v>944</v>
      </c>
      <c r="F350" s="28">
        <v>157601.32</v>
      </c>
      <c r="G350" s="9">
        <v>0</v>
      </c>
      <c r="H350" s="10">
        <f t="shared" si="26"/>
        <v>157601.32</v>
      </c>
      <c r="I350" s="9">
        <f t="shared" si="25"/>
        <v>-50353.621740000002</v>
      </c>
      <c r="K350" s="170">
        <f t="shared" si="27"/>
        <v>107247.69826</v>
      </c>
      <c r="L350" s="170"/>
      <c r="M350" s="170"/>
      <c r="O350" s="7"/>
      <c r="Q350" s="11"/>
    </row>
    <row r="351" spans="1:17" outlineLevel="2">
      <c r="A351" s="7">
        <f t="shared" si="24"/>
        <v>346</v>
      </c>
      <c r="B351" s="7" t="s">
        <v>27</v>
      </c>
      <c r="C351" s="7" t="s">
        <v>803</v>
      </c>
      <c r="D351" s="13" t="s">
        <v>945</v>
      </c>
      <c r="E351" s="8" t="s">
        <v>946</v>
      </c>
      <c r="F351" s="28">
        <v>189110.58</v>
      </c>
      <c r="G351" s="9">
        <v>0</v>
      </c>
      <c r="H351" s="10">
        <f t="shared" si="26"/>
        <v>189110.58</v>
      </c>
      <c r="I351" s="9">
        <f t="shared" si="25"/>
        <v>-60420.830309999998</v>
      </c>
      <c r="K351" s="170">
        <f t="shared" si="27"/>
        <v>128689.74969</v>
      </c>
      <c r="L351" s="170"/>
      <c r="M351" s="170"/>
      <c r="O351" s="7"/>
      <c r="Q351" s="11"/>
    </row>
    <row r="352" spans="1:17" outlineLevel="2">
      <c r="A352" s="7">
        <f t="shared" si="24"/>
        <v>347</v>
      </c>
      <c r="B352" s="7" t="s">
        <v>27</v>
      </c>
      <c r="C352" s="7" t="s">
        <v>803</v>
      </c>
      <c r="D352" s="13" t="s">
        <v>947</v>
      </c>
      <c r="E352" s="8" t="s">
        <v>948</v>
      </c>
      <c r="F352" s="28">
        <v>252965.54</v>
      </c>
      <c r="G352" s="9">
        <v>0</v>
      </c>
      <c r="H352" s="10">
        <f t="shared" si="26"/>
        <v>252965.54</v>
      </c>
      <c r="I352" s="9">
        <f t="shared" si="25"/>
        <v>-80822.490030000001</v>
      </c>
      <c r="K352" s="170">
        <f t="shared" si="27"/>
        <v>172143.04996999999</v>
      </c>
      <c r="L352" s="170"/>
      <c r="M352" s="170"/>
      <c r="O352" s="7"/>
      <c r="Q352" s="11"/>
    </row>
    <row r="353" spans="1:17" outlineLevel="2">
      <c r="A353" s="7">
        <f t="shared" si="24"/>
        <v>348</v>
      </c>
      <c r="B353" s="7" t="s">
        <v>27</v>
      </c>
      <c r="C353" s="7" t="s">
        <v>803</v>
      </c>
      <c r="D353" s="13" t="s">
        <v>949</v>
      </c>
      <c r="E353" s="8" t="s">
        <v>950</v>
      </c>
      <c r="F353" s="28">
        <v>800963.96</v>
      </c>
      <c r="G353" s="9">
        <v>0</v>
      </c>
      <c r="H353" s="10">
        <f t="shared" si="26"/>
        <v>800963.96</v>
      </c>
      <c r="I353" s="9">
        <f t="shared" si="25"/>
        <v>-255907.98522</v>
      </c>
      <c r="K353" s="170">
        <f t="shared" si="27"/>
        <v>545055.97477999993</v>
      </c>
      <c r="L353" s="170"/>
      <c r="M353" s="170"/>
      <c r="O353" s="7"/>
      <c r="Q353" s="11"/>
    </row>
    <row r="354" spans="1:17" outlineLevel="2">
      <c r="A354" s="7">
        <f t="shared" si="24"/>
        <v>349</v>
      </c>
      <c r="B354" s="7" t="s">
        <v>27</v>
      </c>
      <c r="C354" s="7" t="s">
        <v>803</v>
      </c>
      <c r="D354" s="13" t="s">
        <v>951</v>
      </c>
      <c r="E354" s="8" t="s">
        <v>952</v>
      </c>
      <c r="F354" s="28">
        <v>46981.39</v>
      </c>
      <c r="G354" s="9">
        <v>0</v>
      </c>
      <c r="H354" s="10">
        <f t="shared" si="26"/>
        <v>46981.39</v>
      </c>
      <c r="I354" s="9">
        <f t="shared" si="25"/>
        <v>-15010.554104999999</v>
      </c>
      <c r="K354" s="170">
        <f t="shared" si="27"/>
        <v>31970.835895</v>
      </c>
      <c r="L354" s="170"/>
      <c r="M354" s="170"/>
      <c r="O354" s="7"/>
      <c r="Q354" s="11"/>
    </row>
    <row r="355" spans="1:17" outlineLevel="2">
      <c r="A355" s="7">
        <f t="shared" si="24"/>
        <v>350</v>
      </c>
      <c r="B355" s="7" t="s">
        <v>27</v>
      </c>
      <c r="C355" s="7" t="s">
        <v>803</v>
      </c>
      <c r="D355" s="13" t="s">
        <v>953</v>
      </c>
      <c r="E355" s="8" t="s">
        <v>954</v>
      </c>
      <c r="F355" s="28">
        <v>267394.71999999997</v>
      </c>
      <c r="G355" s="9">
        <v>0</v>
      </c>
      <c r="H355" s="10">
        <f t="shared" si="26"/>
        <v>267394.71999999997</v>
      </c>
      <c r="I355" s="9">
        <f t="shared" si="25"/>
        <v>-85432.613039999997</v>
      </c>
      <c r="K355" s="170">
        <f t="shared" si="27"/>
        <v>181962.10695999998</v>
      </c>
      <c r="L355" s="170"/>
      <c r="M355" s="170"/>
      <c r="O355" s="7"/>
      <c r="Q355" s="11"/>
    </row>
    <row r="356" spans="1:17" outlineLevel="2">
      <c r="A356" s="7">
        <f t="shared" si="24"/>
        <v>351</v>
      </c>
      <c r="B356" s="7" t="s">
        <v>27</v>
      </c>
      <c r="C356" s="7" t="s">
        <v>803</v>
      </c>
      <c r="D356" s="13" t="s">
        <v>955</v>
      </c>
      <c r="E356" s="8" t="s">
        <v>956</v>
      </c>
      <c r="F356" s="28">
        <v>311695.15999999997</v>
      </c>
      <c r="G356" s="9">
        <v>0</v>
      </c>
      <c r="H356" s="10">
        <f t="shared" si="26"/>
        <v>311695.15999999997</v>
      </c>
      <c r="I356" s="9">
        <f t="shared" si="25"/>
        <v>-99586.603619999994</v>
      </c>
      <c r="K356" s="170">
        <f t="shared" si="27"/>
        <v>212108.55637999997</v>
      </c>
      <c r="L356" s="170"/>
      <c r="M356" s="170"/>
      <c r="O356" s="7"/>
      <c r="Q356" s="11"/>
    </row>
    <row r="357" spans="1:17" outlineLevel="2">
      <c r="A357" s="7">
        <f t="shared" si="24"/>
        <v>352</v>
      </c>
      <c r="B357" s="7" t="s">
        <v>27</v>
      </c>
      <c r="C357" s="7" t="s">
        <v>803</v>
      </c>
      <c r="D357" s="13" t="s">
        <v>957</v>
      </c>
      <c r="E357" s="8" t="s">
        <v>958</v>
      </c>
      <c r="F357" s="28">
        <v>560595.11</v>
      </c>
      <c r="G357" s="9">
        <v>0</v>
      </c>
      <c r="H357" s="10">
        <f t="shared" si="26"/>
        <v>560595.11</v>
      </c>
      <c r="I357" s="9">
        <f t="shared" si="25"/>
        <v>-179110.13764500001</v>
      </c>
      <c r="K357" s="170">
        <f t="shared" si="27"/>
        <v>381484.97235499998</v>
      </c>
      <c r="L357" s="170"/>
      <c r="M357" s="170"/>
      <c r="O357" s="7"/>
      <c r="Q357" s="11"/>
    </row>
    <row r="358" spans="1:17" outlineLevel="2">
      <c r="A358" s="7">
        <f t="shared" si="24"/>
        <v>353</v>
      </c>
      <c r="B358" s="7" t="s">
        <v>27</v>
      </c>
      <c r="C358" s="7" t="s">
        <v>803</v>
      </c>
      <c r="D358" s="13" t="s">
        <v>959</v>
      </c>
      <c r="E358" s="8" t="s">
        <v>960</v>
      </c>
      <c r="F358" s="28">
        <v>759357.31</v>
      </c>
      <c r="G358" s="9">
        <v>0</v>
      </c>
      <c r="H358" s="10">
        <f t="shared" si="26"/>
        <v>759357.31</v>
      </c>
      <c r="I358" s="9">
        <f t="shared" si="25"/>
        <v>-242614.66054500002</v>
      </c>
      <c r="K358" s="170">
        <f t="shared" si="27"/>
        <v>516742.64945500006</v>
      </c>
      <c r="L358" s="170"/>
      <c r="M358" s="170"/>
      <c r="O358" s="7"/>
      <c r="Q358" s="11"/>
    </row>
    <row r="359" spans="1:17" outlineLevel="2">
      <c r="A359" s="7">
        <f t="shared" si="24"/>
        <v>354</v>
      </c>
      <c r="B359" s="7" t="s">
        <v>27</v>
      </c>
      <c r="C359" s="7" t="s">
        <v>803</v>
      </c>
      <c r="D359" s="13" t="s">
        <v>961</v>
      </c>
      <c r="E359" s="8" t="s">
        <v>962</v>
      </c>
      <c r="F359" s="28">
        <v>735971.03</v>
      </c>
      <c r="G359" s="9">
        <v>0</v>
      </c>
      <c r="H359" s="10">
        <f t="shared" si="26"/>
        <v>735971.03</v>
      </c>
      <c r="I359" s="9">
        <f>-(F359*$N$284)</f>
        <v>-235142.74408500001</v>
      </c>
      <c r="K359" s="170">
        <f t="shared" si="27"/>
        <v>500828.28591500001</v>
      </c>
      <c r="L359" s="170"/>
      <c r="M359" s="170"/>
      <c r="O359" s="7"/>
      <c r="Q359" s="11"/>
    </row>
    <row r="360" spans="1:17" outlineLevel="2">
      <c r="A360" s="7">
        <f t="shared" si="24"/>
        <v>355</v>
      </c>
      <c r="B360" s="7" t="s">
        <v>27</v>
      </c>
      <c r="C360" s="7" t="s">
        <v>803</v>
      </c>
      <c r="D360" s="13" t="s">
        <v>963</v>
      </c>
      <c r="E360" s="8" t="s">
        <v>964</v>
      </c>
      <c r="F360" s="28">
        <v>210945.2</v>
      </c>
      <c r="G360" s="9">
        <v>0</v>
      </c>
      <c r="H360" s="10">
        <f t="shared" si="26"/>
        <v>210945.2</v>
      </c>
      <c r="I360" s="9">
        <f t="shared" ref="I360:I372" si="28">-(F360*$N$284)</f>
        <v>-67396.991399999999</v>
      </c>
      <c r="K360" s="170">
        <f t="shared" si="27"/>
        <v>143548.20860000001</v>
      </c>
      <c r="L360" s="170"/>
      <c r="M360" s="170"/>
      <c r="O360" s="7"/>
      <c r="Q360" s="11"/>
    </row>
    <row r="361" spans="1:17" outlineLevel="2">
      <c r="A361" s="7">
        <f t="shared" si="24"/>
        <v>356</v>
      </c>
      <c r="B361" s="7" t="s">
        <v>27</v>
      </c>
      <c r="C361" s="7" t="s">
        <v>803</v>
      </c>
      <c r="D361" s="13" t="s">
        <v>965</v>
      </c>
      <c r="E361" s="8" t="s">
        <v>966</v>
      </c>
      <c r="F361" s="28">
        <v>79461.56</v>
      </c>
      <c r="G361" s="9">
        <v>0</v>
      </c>
      <c r="H361" s="10">
        <f t="shared" si="26"/>
        <v>79461.56</v>
      </c>
      <c r="I361" s="9">
        <f t="shared" si="28"/>
        <v>-25387.968420000001</v>
      </c>
      <c r="K361" s="170">
        <f t="shared" si="27"/>
        <v>54073.591579999993</v>
      </c>
      <c r="L361" s="170"/>
      <c r="M361" s="170"/>
      <c r="O361" s="7"/>
      <c r="Q361" s="11"/>
    </row>
    <row r="362" spans="1:17" outlineLevel="2">
      <c r="A362" s="7">
        <f t="shared" si="24"/>
        <v>357</v>
      </c>
      <c r="B362" s="7" t="s">
        <v>27</v>
      </c>
      <c r="C362" s="7" t="s">
        <v>803</v>
      </c>
      <c r="D362" s="13" t="s">
        <v>967</v>
      </c>
      <c r="E362" s="8" t="s">
        <v>968</v>
      </c>
      <c r="F362" s="28">
        <v>317735.57</v>
      </c>
      <c r="H362" s="10">
        <f t="shared" si="26"/>
        <v>317735.57</v>
      </c>
      <c r="I362" s="9">
        <f t="shared" si="28"/>
        <v>-101516.51461500001</v>
      </c>
      <c r="K362" s="170">
        <f t="shared" si="27"/>
        <v>216219.05538500001</v>
      </c>
      <c r="L362" s="170"/>
      <c r="M362" s="170"/>
      <c r="O362" s="7"/>
      <c r="Q362" s="11"/>
    </row>
    <row r="363" spans="1:17" outlineLevel="2">
      <c r="A363" s="7">
        <f t="shared" si="24"/>
        <v>358</v>
      </c>
      <c r="B363" s="7" t="s">
        <v>27</v>
      </c>
      <c r="C363" s="7" t="s">
        <v>803</v>
      </c>
      <c r="D363" s="13" t="s">
        <v>969</v>
      </c>
      <c r="E363" s="8" t="s">
        <v>970</v>
      </c>
      <c r="F363" s="28">
        <v>88435.16</v>
      </c>
      <c r="G363" s="9">
        <v>0</v>
      </c>
      <c r="H363" s="10">
        <f t="shared" si="26"/>
        <v>88435.16</v>
      </c>
      <c r="I363" s="9">
        <f t="shared" si="28"/>
        <v>-28255.033620000002</v>
      </c>
      <c r="K363" s="170">
        <f t="shared" si="27"/>
        <v>60180.126380000002</v>
      </c>
      <c r="L363" s="170"/>
      <c r="M363" s="170"/>
      <c r="O363" s="7"/>
      <c r="Q363" s="11"/>
    </row>
    <row r="364" spans="1:17" outlineLevel="2">
      <c r="A364" s="7">
        <f t="shared" si="24"/>
        <v>359</v>
      </c>
      <c r="B364" s="7" t="s">
        <v>27</v>
      </c>
      <c r="C364" s="7" t="s">
        <v>803</v>
      </c>
      <c r="D364" s="13" t="s">
        <v>971</v>
      </c>
      <c r="E364" s="8" t="s">
        <v>972</v>
      </c>
      <c r="F364" s="28">
        <v>69987.59</v>
      </c>
      <c r="G364" s="9">
        <v>0</v>
      </c>
      <c r="H364" s="10">
        <f t="shared" si="26"/>
        <v>69987.59</v>
      </c>
      <c r="I364" s="9">
        <f t="shared" si="28"/>
        <v>-22361.035004999998</v>
      </c>
      <c r="K364" s="170">
        <f t="shared" si="27"/>
        <v>47626.554994999999</v>
      </c>
      <c r="L364" s="170"/>
      <c r="M364" s="170"/>
      <c r="O364" s="7"/>
      <c r="Q364" s="11"/>
    </row>
    <row r="365" spans="1:17" outlineLevel="2">
      <c r="A365" s="7">
        <f t="shared" si="24"/>
        <v>360</v>
      </c>
      <c r="B365" s="7" t="s">
        <v>27</v>
      </c>
      <c r="C365" s="7" t="s">
        <v>803</v>
      </c>
      <c r="D365" s="13" t="s">
        <v>973</v>
      </c>
      <c r="E365" s="8" t="s">
        <v>974</v>
      </c>
      <c r="F365" s="28">
        <v>172792.24</v>
      </c>
      <c r="G365" s="9">
        <v>0</v>
      </c>
      <c r="H365" s="10">
        <f t="shared" si="26"/>
        <v>172792.24</v>
      </c>
      <c r="I365" s="9">
        <f t="shared" si="28"/>
        <v>-55207.12068</v>
      </c>
      <c r="K365" s="170">
        <f t="shared" si="27"/>
        <v>117585.11932</v>
      </c>
      <c r="L365" s="170"/>
      <c r="M365" s="170"/>
      <c r="O365" s="7"/>
      <c r="Q365" s="11"/>
    </row>
    <row r="366" spans="1:17" outlineLevel="2">
      <c r="A366" s="7">
        <f t="shared" si="24"/>
        <v>361</v>
      </c>
      <c r="B366" s="7" t="s">
        <v>27</v>
      </c>
      <c r="C366" s="7" t="s">
        <v>803</v>
      </c>
      <c r="D366" s="13" t="s">
        <v>975</v>
      </c>
      <c r="E366" s="8" t="s">
        <v>976</v>
      </c>
      <c r="F366" s="28">
        <v>308681.61</v>
      </c>
      <c r="G366" s="9">
        <v>0</v>
      </c>
      <c r="H366" s="10">
        <f t="shared" si="26"/>
        <v>308681.61</v>
      </c>
      <c r="I366" s="9">
        <f t="shared" si="28"/>
        <v>-98623.774395</v>
      </c>
      <c r="K366" s="170">
        <f t="shared" si="27"/>
        <v>210057.83560499997</v>
      </c>
      <c r="L366" s="170"/>
      <c r="M366" s="170"/>
      <c r="O366" s="7"/>
      <c r="Q366" s="11"/>
    </row>
    <row r="367" spans="1:17" outlineLevel="2">
      <c r="A367" s="7">
        <f t="shared" si="24"/>
        <v>362</v>
      </c>
      <c r="B367" s="7" t="s">
        <v>27</v>
      </c>
      <c r="C367" s="7" t="s">
        <v>803</v>
      </c>
      <c r="D367" s="13" t="s">
        <v>977</v>
      </c>
      <c r="E367" s="8" t="s">
        <v>978</v>
      </c>
      <c r="F367" s="28">
        <v>239896.97</v>
      </c>
      <c r="G367" s="9">
        <v>0</v>
      </c>
      <c r="H367" s="10">
        <f t="shared" si="26"/>
        <v>239896.97</v>
      </c>
      <c r="I367" s="9">
        <f t="shared" si="28"/>
        <v>-76647.081915000002</v>
      </c>
      <c r="K367" s="170">
        <f t="shared" si="27"/>
        <v>163249.88808499998</v>
      </c>
      <c r="L367" s="170"/>
      <c r="M367" s="170"/>
      <c r="O367" s="7"/>
      <c r="Q367" s="11"/>
    </row>
    <row r="368" spans="1:17" outlineLevel="2">
      <c r="A368" s="7">
        <f t="shared" si="24"/>
        <v>363</v>
      </c>
      <c r="B368" s="7" t="s">
        <v>27</v>
      </c>
      <c r="C368" s="7" t="s">
        <v>803</v>
      </c>
      <c r="D368" s="13" t="s">
        <v>979</v>
      </c>
      <c r="E368" s="8" t="s">
        <v>980</v>
      </c>
      <c r="F368" s="28">
        <v>550238.37</v>
      </c>
      <c r="G368" s="9">
        <v>0</v>
      </c>
      <c r="H368" s="10">
        <f t="shared" si="26"/>
        <v>550238.37</v>
      </c>
      <c r="I368" s="9">
        <f t="shared" si="28"/>
        <v>-175801.15921499999</v>
      </c>
      <c r="K368" s="170">
        <f t="shared" si="27"/>
        <v>374437.210785</v>
      </c>
      <c r="L368" s="170"/>
      <c r="M368" s="170"/>
      <c r="O368" s="7"/>
      <c r="Q368" s="11"/>
    </row>
    <row r="369" spans="1:17" outlineLevel="2">
      <c r="A369" s="7">
        <f t="shared" si="24"/>
        <v>364</v>
      </c>
      <c r="B369" s="7" t="s">
        <v>27</v>
      </c>
      <c r="C369" s="7" t="s">
        <v>803</v>
      </c>
      <c r="D369" s="13" t="s">
        <v>981</v>
      </c>
      <c r="E369" s="8" t="s">
        <v>982</v>
      </c>
      <c r="F369" s="28">
        <v>15011.61</v>
      </c>
      <c r="G369" s="9">
        <v>0</v>
      </c>
      <c r="H369" s="10">
        <f t="shared" si="26"/>
        <v>15011.61</v>
      </c>
      <c r="I369" s="9">
        <f t="shared" si="28"/>
        <v>-4796.2093949999999</v>
      </c>
      <c r="K369" s="170">
        <f t="shared" si="27"/>
        <v>10215.400605000001</v>
      </c>
      <c r="L369" s="170"/>
      <c r="M369" s="170"/>
      <c r="O369" s="7"/>
      <c r="Q369" s="11"/>
    </row>
    <row r="370" spans="1:17" outlineLevel="2">
      <c r="A370" s="7">
        <f t="shared" si="24"/>
        <v>365</v>
      </c>
      <c r="B370" s="7" t="s">
        <v>27</v>
      </c>
      <c r="C370" s="7" t="s">
        <v>803</v>
      </c>
      <c r="D370" s="13" t="s">
        <v>983</v>
      </c>
      <c r="E370" s="8" t="s">
        <v>984</v>
      </c>
      <c r="F370" s="28">
        <v>125057.06</v>
      </c>
      <c r="G370" s="9">
        <v>0</v>
      </c>
      <c r="H370" s="10">
        <f t="shared" si="26"/>
        <v>125057.06</v>
      </c>
      <c r="I370" s="9">
        <f t="shared" si="28"/>
        <v>-39955.730669999997</v>
      </c>
      <c r="K370" s="170">
        <f t="shared" si="27"/>
        <v>85101.329330000008</v>
      </c>
      <c r="L370" s="170"/>
      <c r="M370" s="170"/>
      <c r="O370" s="7"/>
      <c r="Q370" s="11"/>
    </row>
    <row r="371" spans="1:17" outlineLevel="2">
      <c r="A371" s="7">
        <f t="shared" si="24"/>
        <v>366</v>
      </c>
      <c r="B371" s="7" t="s">
        <v>27</v>
      </c>
      <c r="C371" s="7" t="s">
        <v>803</v>
      </c>
      <c r="D371" s="13" t="s">
        <v>985</v>
      </c>
      <c r="E371" s="8" t="s">
        <v>986</v>
      </c>
      <c r="F371" s="28">
        <v>161994.26999999999</v>
      </c>
      <c r="G371" s="9">
        <v>0</v>
      </c>
      <c r="H371" s="10">
        <f t="shared" si="26"/>
        <v>161994.26999999999</v>
      </c>
      <c r="I371" s="9">
        <f t="shared" si="28"/>
        <v>-51757.169264999997</v>
      </c>
      <c r="K371" s="170">
        <f t="shared" si="27"/>
        <v>110237.10073499999</v>
      </c>
      <c r="L371" s="170"/>
      <c r="M371" s="170"/>
      <c r="O371" s="7"/>
      <c r="Q371" s="11"/>
    </row>
    <row r="372" spans="1:17" outlineLevel="2">
      <c r="A372" s="7">
        <f t="shared" si="24"/>
        <v>367</v>
      </c>
      <c r="B372" s="7" t="s">
        <v>27</v>
      </c>
      <c r="C372" s="7" t="s">
        <v>803</v>
      </c>
      <c r="D372" s="13" t="s">
        <v>987</v>
      </c>
      <c r="E372" s="8" t="s">
        <v>988</v>
      </c>
      <c r="F372" s="28">
        <v>216330.02</v>
      </c>
      <c r="G372" s="9">
        <v>0</v>
      </c>
      <c r="H372" s="10">
        <f t="shared" si="26"/>
        <v>216330.02</v>
      </c>
      <c r="I372" s="9">
        <f t="shared" si="28"/>
        <v>-69117.441389999993</v>
      </c>
      <c r="K372" s="170">
        <f t="shared" si="27"/>
        <v>147212.57861</v>
      </c>
      <c r="L372" s="170"/>
      <c r="M372" s="170"/>
      <c r="O372" s="7"/>
      <c r="Q372" s="11"/>
    </row>
    <row r="373" spans="1:17" outlineLevel="2">
      <c r="A373" s="7">
        <f t="shared" si="24"/>
        <v>368</v>
      </c>
      <c r="B373" s="7" t="s">
        <v>27</v>
      </c>
      <c r="C373" s="7" t="s">
        <v>803</v>
      </c>
      <c r="D373" s="13" t="s">
        <v>989</v>
      </c>
      <c r="E373" s="8" t="s">
        <v>990</v>
      </c>
      <c r="F373" s="28">
        <v>620745.66</v>
      </c>
      <c r="G373" s="9">
        <v>0</v>
      </c>
      <c r="H373" s="10">
        <f t="shared" si="26"/>
        <v>620745.66</v>
      </c>
      <c r="I373" s="9">
        <f t="shared" ref="I373:I389" si="29">-(F373*$N$284)</f>
        <v>-198328.23837000001</v>
      </c>
      <c r="K373" s="170">
        <f t="shared" si="27"/>
        <v>422417.42163</v>
      </c>
      <c r="L373" s="170"/>
      <c r="M373" s="170"/>
      <c r="O373" s="7"/>
      <c r="Q373" s="11"/>
    </row>
    <row r="374" spans="1:17" outlineLevel="2">
      <c r="A374" s="7">
        <f t="shared" si="24"/>
        <v>369</v>
      </c>
      <c r="B374" s="7" t="s">
        <v>27</v>
      </c>
      <c r="C374" s="7" t="s">
        <v>803</v>
      </c>
      <c r="D374" s="13" t="s">
        <v>991</v>
      </c>
      <c r="E374" s="8" t="s">
        <v>992</v>
      </c>
      <c r="F374" s="28">
        <v>395868.44</v>
      </c>
      <c r="G374" s="9">
        <v>0</v>
      </c>
      <c r="H374" s="10">
        <f t="shared" si="26"/>
        <v>395868.44</v>
      </c>
      <c r="I374" s="9">
        <f t="shared" si="29"/>
        <v>-126479.96658000001</v>
      </c>
      <c r="K374" s="170">
        <f t="shared" si="27"/>
        <v>269388.47341999999</v>
      </c>
      <c r="L374" s="170"/>
      <c r="M374" s="170"/>
      <c r="O374" s="7"/>
      <c r="Q374" s="11"/>
    </row>
    <row r="375" spans="1:17" outlineLevel="2">
      <c r="A375" s="7">
        <f t="shared" si="24"/>
        <v>370</v>
      </c>
      <c r="B375" s="7" t="s">
        <v>27</v>
      </c>
      <c r="C375" s="7" t="s">
        <v>803</v>
      </c>
      <c r="D375" s="13" t="s">
        <v>993</v>
      </c>
      <c r="E375" s="8" t="s">
        <v>994</v>
      </c>
      <c r="F375" s="28">
        <v>587441.64</v>
      </c>
      <c r="G375" s="9">
        <v>0</v>
      </c>
      <c r="H375" s="10">
        <f t="shared" si="26"/>
        <v>587441.64</v>
      </c>
      <c r="I375" s="9">
        <f t="shared" si="29"/>
        <v>-187687.60398000001</v>
      </c>
      <c r="K375" s="170">
        <f t="shared" si="27"/>
        <v>399754.03602</v>
      </c>
      <c r="L375" s="170"/>
      <c r="M375" s="170"/>
      <c r="O375" s="7"/>
      <c r="Q375" s="11"/>
    </row>
    <row r="376" spans="1:17" outlineLevel="2">
      <c r="A376" s="7">
        <f t="shared" si="24"/>
        <v>371</v>
      </c>
      <c r="B376" s="7" t="s">
        <v>27</v>
      </c>
      <c r="C376" s="7" t="s">
        <v>803</v>
      </c>
      <c r="D376" s="13" t="s">
        <v>995</v>
      </c>
      <c r="E376" s="8" t="s">
        <v>996</v>
      </c>
      <c r="F376" s="28">
        <v>16445.21</v>
      </c>
      <c r="G376" s="9">
        <v>0</v>
      </c>
      <c r="H376" s="10">
        <f t="shared" si="26"/>
        <v>16445.21</v>
      </c>
      <c r="I376" s="9">
        <f t="shared" si="29"/>
        <v>-5254.2445950000001</v>
      </c>
      <c r="K376" s="170">
        <f t="shared" si="27"/>
        <v>11190.965404999999</v>
      </c>
      <c r="L376" s="170"/>
      <c r="M376" s="170"/>
      <c r="O376" s="7"/>
      <c r="Q376" s="11"/>
    </row>
    <row r="377" spans="1:17" outlineLevel="2">
      <c r="A377" s="7">
        <f t="shared" si="24"/>
        <v>372</v>
      </c>
      <c r="B377" s="7" t="s">
        <v>27</v>
      </c>
      <c r="C377" s="7" t="s">
        <v>803</v>
      </c>
      <c r="D377" s="13" t="s">
        <v>997</v>
      </c>
      <c r="E377" s="8" t="s">
        <v>998</v>
      </c>
      <c r="F377" s="28">
        <v>7684.53</v>
      </c>
      <c r="G377" s="9">
        <v>0</v>
      </c>
      <c r="H377" s="10">
        <f t="shared" si="26"/>
        <v>7684.53</v>
      </c>
      <c r="I377" s="9">
        <f t="shared" si="29"/>
        <v>-2455.2073350000001</v>
      </c>
      <c r="K377" s="170">
        <f t="shared" si="27"/>
        <v>5229.3226649999997</v>
      </c>
      <c r="L377" s="170"/>
      <c r="M377" s="170"/>
      <c r="O377" s="7"/>
      <c r="Q377" s="11"/>
    </row>
    <row r="378" spans="1:17" outlineLevel="2">
      <c r="A378" s="7">
        <f t="shared" si="24"/>
        <v>373</v>
      </c>
      <c r="B378" s="7" t="s">
        <v>27</v>
      </c>
      <c r="C378" s="7" t="s">
        <v>803</v>
      </c>
      <c r="D378" s="13" t="s">
        <v>999</v>
      </c>
      <c r="E378" s="8" t="s">
        <v>1000</v>
      </c>
      <c r="F378" s="28">
        <v>1646</v>
      </c>
      <c r="G378" s="9">
        <v>0</v>
      </c>
      <c r="H378" s="10">
        <f t="shared" si="26"/>
        <v>1646</v>
      </c>
      <c r="I378" s="9">
        <f t="shared" si="29"/>
        <v>-525.89700000000005</v>
      </c>
      <c r="K378" s="170">
        <f t="shared" si="27"/>
        <v>1120.1030000000001</v>
      </c>
      <c r="L378" s="170"/>
      <c r="M378" s="170"/>
      <c r="O378" s="7"/>
      <c r="Q378" s="11"/>
    </row>
    <row r="379" spans="1:17" outlineLevel="2">
      <c r="A379" s="7">
        <f t="shared" si="24"/>
        <v>374</v>
      </c>
      <c r="B379" s="7" t="s">
        <v>27</v>
      </c>
      <c r="C379" s="7" t="s">
        <v>803</v>
      </c>
      <c r="D379" s="13" t="s">
        <v>1001</v>
      </c>
      <c r="E379" s="8" t="s">
        <v>1002</v>
      </c>
      <c r="F379" s="28">
        <v>126804.56</v>
      </c>
      <c r="G379" s="9">
        <v>0</v>
      </c>
      <c r="H379" s="10">
        <f t="shared" si="26"/>
        <v>126804.56</v>
      </c>
      <c r="I379" s="9">
        <f t="shared" si="29"/>
        <v>-40514.056920000003</v>
      </c>
      <c r="K379" s="170">
        <f t="shared" si="27"/>
        <v>86290.503079999995</v>
      </c>
      <c r="L379" s="170"/>
      <c r="M379" s="170"/>
      <c r="O379" s="7"/>
      <c r="Q379" s="11"/>
    </row>
    <row r="380" spans="1:17" outlineLevel="2">
      <c r="A380" s="7">
        <f t="shared" si="24"/>
        <v>375</v>
      </c>
      <c r="B380" s="7" t="s">
        <v>27</v>
      </c>
      <c r="C380" s="7" t="s">
        <v>803</v>
      </c>
      <c r="D380" s="13" t="s">
        <v>1003</v>
      </c>
      <c r="E380" s="8" t="s">
        <v>1004</v>
      </c>
      <c r="F380" s="28">
        <v>92751.41</v>
      </c>
      <c r="G380" s="9">
        <v>0</v>
      </c>
      <c r="H380" s="10">
        <f t="shared" si="26"/>
        <v>92751.41</v>
      </c>
      <c r="I380" s="9">
        <f t="shared" si="29"/>
        <v>-29634.075495000001</v>
      </c>
      <c r="K380" s="170">
        <f t="shared" si="27"/>
        <v>63117.334505000006</v>
      </c>
      <c r="L380" s="170"/>
      <c r="M380" s="170"/>
      <c r="O380" s="7"/>
      <c r="Q380" s="11"/>
    </row>
    <row r="381" spans="1:17" outlineLevel="2">
      <c r="A381" s="7">
        <f t="shared" si="24"/>
        <v>376</v>
      </c>
      <c r="B381" s="7" t="s">
        <v>27</v>
      </c>
      <c r="C381" s="7" t="s">
        <v>803</v>
      </c>
      <c r="D381" s="13" t="s">
        <v>1005</v>
      </c>
      <c r="E381" s="8" t="s">
        <v>1006</v>
      </c>
      <c r="F381" s="28">
        <v>423117.12</v>
      </c>
      <c r="G381" s="9">
        <v>0</v>
      </c>
      <c r="H381" s="10">
        <f t="shared" si="26"/>
        <v>423117.12</v>
      </c>
      <c r="I381" s="9">
        <f t="shared" si="29"/>
        <v>-135185.91983999999</v>
      </c>
      <c r="K381" s="170">
        <f t="shared" si="27"/>
        <v>287931.20016000001</v>
      </c>
      <c r="L381" s="170"/>
      <c r="M381" s="170"/>
      <c r="O381" s="7"/>
      <c r="Q381" s="11"/>
    </row>
    <row r="382" spans="1:17" outlineLevel="2">
      <c r="A382" s="7">
        <f t="shared" si="24"/>
        <v>377</v>
      </c>
      <c r="B382" s="7" t="s">
        <v>27</v>
      </c>
      <c r="C382" s="7" t="s">
        <v>803</v>
      </c>
      <c r="D382" s="13" t="s">
        <v>1007</v>
      </c>
      <c r="E382" s="8" t="s">
        <v>1008</v>
      </c>
      <c r="F382" s="28">
        <v>17849.39</v>
      </c>
      <c r="G382" s="9">
        <v>0</v>
      </c>
      <c r="H382" s="10">
        <f t="shared" si="26"/>
        <v>17849.39</v>
      </c>
      <c r="I382" s="9">
        <f t="shared" si="29"/>
        <v>-5702.8801050000002</v>
      </c>
      <c r="K382" s="170">
        <f t="shared" si="27"/>
        <v>12146.509894999999</v>
      </c>
      <c r="L382" s="170"/>
      <c r="M382" s="170"/>
      <c r="O382" s="7"/>
      <c r="Q382" s="11"/>
    </row>
    <row r="383" spans="1:17" outlineLevel="2">
      <c r="A383" s="7">
        <f t="shared" si="24"/>
        <v>378</v>
      </c>
      <c r="B383" s="7" t="s">
        <v>27</v>
      </c>
      <c r="C383" s="7" t="s">
        <v>803</v>
      </c>
      <c r="D383" s="13" t="s">
        <v>1009</v>
      </c>
      <c r="E383" s="8" t="s">
        <v>1010</v>
      </c>
      <c r="F383" s="28">
        <v>465768.04</v>
      </c>
      <c r="G383" s="9">
        <v>0</v>
      </c>
      <c r="H383" s="10">
        <f t="shared" si="26"/>
        <v>465768.04</v>
      </c>
      <c r="I383" s="9">
        <f t="shared" si="29"/>
        <v>-148812.88878000001</v>
      </c>
      <c r="K383" s="170">
        <f t="shared" si="27"/>
        <v>316955.15122</v>
      </c>
      <c r="L383" s="170"/>
      <c r="M383" s="170"/>
      <c r="O383" s="7"/>
      <c r="Q383" s="11"/>
    </row>
    <row r="384" spans="1:17" outlineLevel="2">
      <c r="A384" s="7">
        <f t="shared" si="24"/>
        <v>379</v>
      </c>
      <c r="B384" s="7" t="s">
        <v>27</v>
      </c>
      <c r="C384" s="7" t="s">
        <v>803</v>
      </c>
      <c r="D384" s="13" t="s">
        <v>1011</v>
      </c>
      <c r="E384" s="8" t="s">
        <v>1012</v>
      </c>
      <c r="F384" s="28">
        <v>37177.79</v>
      </c>
      <c r="G384" s="9">
        <v>0</v>
      </c>
      <c r="H384" s="10">
        <f t="shared" si="26"/>
        <v>37177.79</v>
      </c>
      <c r="I384" s="9">
        <f t="shared" si="29"/>
        <v>-11878.303905000001</v>
      </c>
      <c r="K384" s="170">
        <f t="shared" si="27"/>
        <v>25299.486095</v>
      </c>
      <c r="L384" s="170"/>
      <c r="M384" s="170"/>
      <c r="O384" s="7"/>
      <c r="Q384" s="11"/>
    </row>
    <row r="385" spans="1:17" outlineLevel="2">
      <c r="A385" s="7">
        <f t="shared" si="24"/>
        <v>380</v>
      </c>
      <c r="B385" s="7" t="s">
        <v>27</v>
      </c>
      <c r="C385" s="7" t="s">
        <v>803</v>
      </c>
      <c r="D385" s="13" t="s">
        <v>1013</v>
      </c>
      <c r="E385" s="8" t="s">
        <v>1014</v>
      </c>
      <c r="F385" s="28">
        <v>4771.8900000000003</v>
      </c>
      <c r="G385" s="9">
        <v>0</v>
      </c>
      <c r="H385" s="10">
        <f t="shared" si="26"/>
        <v>4771.8900000000003</v>
      </c>
      <c r="I385" s="9">
        <f t="shared" si="29"/>
        <v>-1524.6188550000002</v>
      </c>
      <c r="K385" s="170">
        <f t="shared" si="27"/>
        <v>3247.2711450000002</v>
      </c>
      <c r="L385" s="170"/>
      <c r="M385" s="170"/>
      <c r="O385" s="7"/>
      <c r="Q385" s="11"/>
    </row>
    <row r="386" spans="1:17" outlineLevel="2">
      <c r="A386" s="7">
        <f t="shared" si="24"/>
        <v>381</v>
      </c>
      <c r="B386" s="7" t="s">
        <v>27</v>
      </c>
      <c r="C386" s="7" t="s">
        <v>803</v>
      </c>
      <c r="D386" s="13" t="s">
        <v>1015</v>
      </c>
      <c r="E386" s="8" t="s">
        <v>1016</v>
      </c>
      <c r="F386" s="28">
        <v>419354.7</v>
      </c>
      <c r="G386" s="9">
        <v>0</v>
      </c>
      <c r="H386" s="10">
        <f t="shared" si="26"/>
        <v>419354.7</v>
      </c>
      <c r="I386" s="9">
        <f t="shared" si="29"/>
        <v>-133983.82665</v>
      </c>
      <c r="K386" s="170">
        <f t="shared" si="27"/>
        <v>285370.87335000001</v>
      </c>
      <c r="L386" s="170"/>
      <c r="M386" s="170"/>
      <c r="O386" s="7"/>
      <c r="Q386" s="11"/>
    </row>
    <row r="387" spans="1:17" outlineLevel="2">
      <c r="A387" s="7">
        <f t="shared" si="24"/>
        <v>382</v>
      </c>
      <c r="B387" s="7" t="s">
        <v>27</v>
      </c>
      <c r="C387" s="7" t="s">
        <v>803</v>
      </c>
      <c r="D387" s="13" t="s">
        <v>1017</v>
      </c>
      <c r="E387" s="8" t="s">
        <v>1018</v>
      </c>
      <c r="F387" s="28">
        <v>27432.66</v>
      </c>
      <c r="G387" s="9">
        <v>0</v>
      </c>
      <c r="H387" s="10">
        <f t="shared" si="26"/>
        <v>27432.66</v>
      </c>
      <c r="I387" s="9">
        <f>-(F387*$N$284)</f>
        <v>-8764.7348700000002</v>
      </c>
      <c r="K387" s="170">
        <f t="shared" si="27"/>
        <v>18667.92513</v>
      </c>
      <c r="L387" s="170"/>
      <c r="M387" s="170"/>
      <c r="O387" s="7"/>
      <c r="Q387" s="11"/>
    </row>
    <row r="388" spans="1:17" outlineLevel="2">
      <c r="A388" s="7">
        <f t="shared" si="24"/>
        <v>383</v>
      </c>
      <c r="B388" s="7" t="s">
        <v>27</v>
      </c>
      <c r="C388" s="7" t="s">
        <v>803</v>
      </c>
      <c r="D388" s="13" t="s">
        <v>1019</v>
      </c>
      <c r="E388" s="8" t="s">
        <v>1020</v>
      </c>
      <c r="F388" s="28">
        <v>201973.19</v>
      </c>
      <c r="G388" s="9">
        <v>0</v>
      </c>
      <c r="H388" s="10">
        <f t="shared" si="26"/>
        <v>201973.19</v>
      </c>
      <c r="I388" s="9">
        <f t="shared" si="29"/>
        <v>-64530.434205000005</v>
      </c>
      <c r="K388" s="170">
        <f t="shared" si="27"/>
        <v>137442.755795</v>
      </c>
      <c r="L388" s="170"/>
      <c r="M388" s="170"/>
      <c r="O388" s="7"/>
      <c r="Q388" s="11"/>
    </row>
    <row r="389" spans="1:17" outlineLevel="2">
      <c r="A389" s="7">
        <f t="shared" si="24"/>
        <v>384</v>
      </c>
      <c r="B389" s="7" t="s">
        <v>27</v>
      </c>
      <c r="C389" s="7" t="s">
        <v>803</v>
      </c>
      <c r="D389" s="13" t="s">
        <v>1021</v>
      </c>
      <c r="E389" s="8" t="s">
        <v>1022</v>
      </c>
      <c r="F389" s="28">
        <v>83269.600000000006</v>
      </c>
      <c r="G389" s="9">
        <v>0</v>
      </c>
      <c r="H389" s="10">
        <f t="shared" si="26"/>
        <v>83269.600000000006</v>
      </c>
      <c r="I389" s="9">
        <f t="shared" si="29"/>
        <v>-26604.637200000001</v>
      </c>
      <c r="K389" s="170">
        <f t="shared" si="27"/>
        <v>56664.962800000008</v>
      </c>
      <c r="L389" s="170"/>
      <c r="M389" s="170"/>
      <c r="O389" s="7"/>
      <c r="Q389" s="11"/>
    </row>
    <row r="390" spans="1:17" outlineLevel="2">
      <c r="A390" s="7">
        <f t="shared" si="24"/>
        <v>385</v>
      </c>
      <c r="B390" s="7" t="s">
        <v>27</v>
      </c>
      <c r="C390" s="7" t="s">
        <v>803</v>
      </c>
      <c r="D390" s="13" t="s">
        <v>1023</v>
      </c>
      <c r="E390" s="8" t="s">
        <v>1024</v>
      </c>
      <c r="F390" s="28">
        <v>726426.71</v>
      </c>
      <c r="G390" s="9">
        <v>0</v>
      </c>
      <c r="H390" s="10">
        <f t="shared" si="26"/>
        <v>726426.71</v>
      </c>
      <c r="I390" s="9">
        <f t="shared" ref="I390:I399" si="30">-(F390*$N$284)</f>
        <v>-232093.33384499999</v>
      </c>
      <c r="K390" s="170">
        <f t="shared" si="27"/>
        <v>494333.37615499995</v>
      </c>
      <c r="L390" s="170"/>
      <c r="M390" s="170"/>
      <c r="O390" s="7"/>
      <c r="Q390" s="11"/>
    </row>
    <row r="391" spans="1:17" outlineLevel="2">
      <c r="A391" s="7">
        <f t="shared" si="24"/>
        <v>386</v>
      </c>
      <c r="B391" s="7" t="s">
        <v>27</v>
      </c>
      <c r="C391" s="7" t="s">
        <v>803</v>
      </c>
      <c r="D391" s="13" t="s">
        <v>1025</v>
      </c>
      <c r="E391" s="8" t="s">
        <v>1026</v>
      </c>
      <c r="F391" s="28">
        <v>1142933.6100000001</v>
      </c>
      <c r="G391" s="9">
        <v>0</v>
      </c>
      <c r="H391" s="10">
        <f t="shared" si="26"/>
        <v>1142933.6100000001</v>
      </c>
      <c r="I391" s="9">
        <f t="shared" si="30"/>
        <v>-365167.28839500004</v>
      </c>
      <c r="K391" s="170">
        <f t="shared" si="27"/>
        <v>777766.32160500006</v>
      </c>
      <c r="L391" s="170"/>
      <c r="M391" s="170"/>
      <c r="O391" s="7"/>
      <c r="Q391" s="11"/>
    </row>
    <row r="392" spans="1:17" outlineLevel="2">
      <c r="A392" s="7">
        <f t="shared" si="24"/>
        <v>387</v>
      </c>
      <c r="B392" s="7" t="s">
        <v>27</v>
      </c>
      <c r="C392" s="7" t="s">
        <v>803</v>
      </c>
      <c r="D392" s="13" t="s">
        <v>1027</v>
      </c>
      <c r="E392" s="8" t="s">
        <v>1028</v>
      </c>
      <c r="F392" s="28">
        <v>11533.35</v>
      </c>
      <c r="G392" s="9">
        <v>0</v>
      </c>
      <c r="H392" s="10">
        <f t="shared" si="26"/>
        <v>11533.35</v>
      </c>
      <c r="I392" s="9">
        <f>-(F392*$N$284)</f>
        <v>-3684.9053250000002</v>
      </c>
      <c r="K392" s="170">
        <f t="shared" si="27"/>
        <v>7848.4446750000006</v>
      </c>
      <c r="L392" s="170"/>
      <c r="M392" s="170"/>
      <c r="O392" s="7"/>
      <c r="Q392" s="11"/>
    </row>
    <row r="393" spans="1:17" outlineLevel="2">
      <c r="A393" s="7">
        <f t="shared" ref="A393:A456" si="31">A392+1</f>
        <v>388</v>
      </c>
      <c r="B393" s="7" t="s">
        <v>27</v>
      </c>
      <c r="C393" s="7" t="s">
        <v>803</v>
      </c>
      <c r="D393" s="13" t="s">
        <v>1029</v>
      </c>
      <c r="E393" s="8" t="s">
        <v>1030</v>
      </c>
      <c r="F393" s="28">
        <v>241334.2</v>
      </c>
      <c r="G393" s="9">
        <v>0</v>
      </c>
      <c r="H393" s="10">
        <f t="shared" si="26"/>
        <v>241334.2</v>
      </c>
      <c r="I393" s="9">
        <f t="shared" si="30"/>
        <v>-77106.276900000012</v>
      </c>
      <c r="K393" s="170">
        <f t="shared" si="27"/>
        <v>164227.92310000001</v>
      </c>
      <c r="L393" s="170"/>
      <c r="M393" s="170"/>
      <c r="O393" s="7"/>
      <c r="Q393" s="11"/>
    </row>
    <row r="394" spans="1:17" outlineLevel="2">
      <c r="A394" s="7">
        <f t="shared" si="31"/>
        <v>389</v>
      </c>
      <c r="B394" s="7" t="s">
        <v>27</v>
      </c>
      <c r="C394" s="7" t="s">
        <v>803</v>
      </c>
      <c r="D394" s="13" t="s">
        <v>1031</v>
      </c>
      <c r="E394" s="8" t="s">
        <v>1032</v>
      </c>
      <c r="F394" s="28">
        <v>461145.92</v>
      </c>
      <c r="G394" s="9">
        <v>0</v>
      </c>
      <c r="H394" s="10">
        <f t="shared" si="26"/>
        <v>461145.92</v>
      </c>
      <c r="I394" s="9">
        <f t="shared" si="30"/>
        <v>-147336.12143999999</v>
      </c>
      <c r="K394" s="170">
        <f t="shared" si="27"/>
        <v>313809.79856000002</v>
      </c>
      <c r="L394" s="170"/>
      <c r="M394" s="170"/>
      <c r="O394" s="7"/>
      <c r="Q394" s="11"/>
    </row>
    <row r="395" spans="1:17" outlineLevel="2">
      <c r="A395" s="7">
        <f t="shared" si="31"/>
        <v>390</v>
      </c>
      <c r="B395" s="7" t="s">
        <v>27</v>
      </c>
      <c r="C395" s="7" t="s">
        <v>803</v>
      </c>
      <c r="D395" s="13" t="s">
        <v>1033</v>
      </c>
      <c r="E395" s="8" t="s">
        <v>1034</v>
      </c>
      <c r="F395" s="28">
        <v>329859.56</v>
      </c>
      <c r="G395" s="9">
        <v>0</v>
      </c>
      <c r="H395" s="10">
        <f t="shared" si="26"/>
        <v>329859.56</v>
      </c>
      <c r="I395" s="9">
        <f t="shared" si="30"/>
        <v>-105390.12942</v>
      </c>
      <c r="K395" s="170">
        <f t="shared" si="27"/>
        <v>224469.43057999999</v>
      </c>
      <c r="L395" s="170"/>
      <c r="M395" s="170"/>
      <c r="N395" s="22"/>
      <c r="O395" s="7"/>
      <c r="Q395" s="11"/>
    </row>
    <row r="396" spans="1:17" outlineLevel="2">
      <c r="A396" s="7">
        <f t="shared" si="31"/>
        <v>391</v>
      </c>
      <c r="B396" s="7" t="s">
        <v>27</v>
      </c>
      <c r="C396" s="7" t="s">
        <v>803</v>
      </c>
      <c r="D396" s="13" t="s">
        <v>1035</v>
      </c>
      <c r="E396" s="8" t="s">
        <v>1036</v>
      </c>
      <c r="F396" s="28">
        <v>1366</v>
      </c>
      <c r="G396" s="9">
        <v>0</v>
      </c>
      <c r="H396" s="10">
        <f t="shared" ref="H396:H436" si="32">F396+G396</f>
        <v>1366</v>
      </c>
      <c r="I396" s="9">
        <f t="shared" si="30"/>
        <v>-436.43700000000001</v>
      </c>
      <c r="K396" s="170">
        <f t="shared" ref="K396:K436" si="33">SUM(H396:J396)</f>
        <v>929.56299999999999</v>
      </c>
      <c r="L396" s="170"/>
      <c r="M396" s="170"/>
      <c r="N396" s="22"/>
      <c r="O396" s="7"/>
      <c r="Q396" s="11"/>
    </row>
    <row r="397" spans="1:17" outlineLevel="2">
      <c r="A397" s="7">
        <f t="shared" si="31"/>
        <v>392</v>
      </c>
      <c r="B397" s="7" t="s">
        <v>27</v>
      </c>
      <c r="C397" s="7" t="s">
        <v>803</v>
      </c>
      <c r="D397" s="13" t="s">
        <v>1037</v>
      </c>
      <c r="E397" s="8" t="s">
        <v>1038</v>
      </c>
      <c r="F397" s="28">
        <v>541759.02</v>
      </c>
      <c r="G397" s="9">
        <v>0</v>
      </c>
      <c r="H397" s="10">
        <f t="shared" si="32"/>
        <v>541759.02</v>
      </c>
      <c r="I397" s="9">
        <f t="shared" si="30"/>
        <v>-173092.00689000002</v>
      </c>
      <c r="K397" s="170">
        <f t="shared" si="33"/>
        <v>368667.01311</v>
      </c>
      <c r="L397" s="170"/>
      <c r="M397" s="170"/>
      <c r="N397" s="22"/>
      <c r="O397" s="7"/>
      <c r="Q397" s="11"/>
    </row>
    <row r="398" spans="1:17" outlineLevel="2">
      <c r="A398" s="7">
        <f t="shared" si="31"/>
        <v>393</v>
      </c>
      <c r="B398" s="7" t="s">
        <v>27</v>
      </c>
      <c r="C398" s="7" t="s">
        <v>803</v>
      </c>
      <c r="D398" s="13" t="s">
        <v>1039</v>
      </c>
      <c r="E398" s="8" t="s">
        <v>1040</v>
      </c>
      <c r="F398" s="28">
        <v>534310.96</v>
      </c>
      <c r="G398" s="9">
        <v>0</v>
      </c>
      <c r="H398" s="10">
        <f t="shared" si="32"/>
        <v>534310.96</v>
      </c>
      <c r="I398" s="9">
        <f t="shared" si="30"/>
        <v>-170712.35171999998</v>
      </c>
      <c r="K398" s="170">
        <f t="shared" si="33"/>
        <v>363598.60827999999</v>
      </c>
      <c r="L398" s="170"/>
      <c r="M398" s="170"/>
      <c r="N398" s="22"/>
      <c r="O398" s="7"/>
      <c r="Q398" s="11"/>
    </row>
    <row r="399" spans="1:17" outlineLevel="2">
      <c r="A399" s="7">
        <f t="shared" si="31"/>
        <v>394</v>
      </c>
      <c r="B399" s="7" t="s">
        <v>27</v>
      </c>
      <c r="C399" s="7" t="s">
        <v>803</v>
      </c>
      <c r="D399" s="13" t="s">
        <v>1041</v>
      </c>
      <c r="E399" s="8" t="s">
        <v>1042</v>
      </c>
      <c r="F399" s="28">
        <v>295982.49</v>
      </c>
      <c r="G399" s="9">
        <v>0</v>
      </c>
      <c r="H399" s="10">
        <f t="shared" si="32"/>
        <v>295982.49</v>
      </c>
      <c r="I399" s="9">
        <f t="shared" si="30"/>
        <v>-94566.405555000005</v>
      </c>
      <c r="K399" s="170">
        <f t="shared" si="33"/>
        <v>201416.08444499999</v>
      </c>
      <c r="L399" s="170"/>
      <c r="M399" s="170"/>
      <c r="N399" s="22"/>
      <c r="O399" s="7"/>
      <c r="Q399" s="11"/>
    </row>
    <row r="400" spans="1:17" outlineLevel="2">
      <c r="A400" s="7">
        <f t="shared" si="31"/>
        <v>395</v>
      </c>
      <c r="B400" s="7" t="s">
        <v>27</v>
      </c>
      <c r="C400" s="7" t="s">
        <v>803</v>
      </c>
      <c r="D400" s="13" t="s">
        <v>1043</v>
      </c>
      <c r="E400" s="8" t="s">
        <v>1044</v>
      </c>
      <c r="F400" s="28">
        <v>1853</v>
      </c>
      <c r="G400" s="9">
        <v>0</v>
      </c>
      <c r="H400" s="10">
        <f t="shared" si="32"/>
        <v>1853</v>
      </c>
      <c r="I400" s="9">
        <f>-(F400*$N$284)</f>
        <v>-592.0335</v>
      </c>
      <c r="K400" s="170">
        <f t="shared" si="33"/>
        <v>1260.9665</v>
      </c>
      <c r="L400" s="170"/>
      <c r="M400" s="170"/>
      <c r="N400" s="22"/>
      <c r="O400" s="7"/>
      <c r="Q400" s="11"/>
    </row>
    <row r="401" spans="1:17" outlineLevel="2">
      <c r="A401" s="7">
        <f t="shared" si="31"/>
        <v>396</v>
      </c>
      <c r="B401" s="7" t="s">
        <v>27</v>
      </c>
      <c r="C401" s="7" t="s">
        <v>803</v>
      </c>
      <c r="D401" s="13" t="s">
        <v>1045</v>
      </c>
      <c r="E401" s="8" t="s">
        <v>1046</v>
      </c>
      <c r="F401" s="28">
        <v>50053.17</v>
      </c>
      <c r="G401" s="9">
        <v>0</v>
      </c>
      <c r="H401" s="10">
        <f t="shared" si="32"/>
        <v>50053.17</v>
      </c>
      <c r="I401" s="9">
        <f t="shared" ref="I401:I419" si="34">-(F401*$N$284)</f>
        <v>-15991.987815</v>
      </c>
      <c r="K401" s="170">
        <f t="shared" si="33"/>
        <v>34061.182184999998</v>
      </c>
      <c r="L401" s="170"/>
      <c r="M401" s="170"/>
      <c r="N401" s="22"/>
      <c r="O401" s="7"/>
      <c r="Q401" s="11"/>
    </row>
    <row r="402" spans="1:17" outlineLevel="2">
      <c r="A402" s="7">
        <f t="shared" si="31"/>
        <v>397</v>
      </c>
      <c r="B402" s="7" t="s">
        <v>27</v>
      </c>
      <c r="C402" s="7" t="s">
        <v>803</v>
      </c>
      <c r="D402" s="13" t="s">
        <v>1047</v>
      </c>
      <c r="E402" s="8" t="s">
        <v>1048</v>
      </c>
      <c r="F402" s="28">
        <v>502057.27</v>
      </c>
      <c r="G402" s="9">
        <v>0</v>
      </c>
      <c r="H402" s="10">
        <f t="shared" si="32"/>
        <v>502057.27</v>
      </c>
      <c r="I402" s="9">
        <f t="shared" si="34"/>
        <v>-160407.297765</v>
      </c>
      <c r="K402" s="170">
        <f t="shared" si="33"/>
        <v>341649.97223499999</v>
      </c>
      <c r="L402" s="170"/>
      <c r="M402" s="170"/>
      <c r="N402" s="22"/>
      <c r="O402" s="7"/>
      <c r="Q402" s="11"/>
    </row>
    <row r="403" spans="1:17" outlineLevel="2">
      <c r="A403" s="7">
        <f t="shared" si="31"/>
        <v>398</v>
      </c>
      <c r="B403" s="7" t="s">
        <v>27</v>
      </c>
      <c r="C403" s="7" t="s">
        <v>803</v>
      </c>
      <c r="D403" s="13" t="s">
        <v>1049</v>
      </c>
      <c r="E403" s="8" t="s">
        <v>1050</v>
      </c>
      <c r="F403" s="28">
        <v>474347.62</v>
      </c>
      <c r="G403" s="9">
        <v>0</v>
      </c>
      <c r="H403" s="10">
        <f t="shared" si="32"/>
        <v>474347.62</v>
      </c>
      <c r="I403" s="9">
        <f t="shared" si="34"/>
        <v>-151554.06458999999</v>
      </c>
      <c r="K403" s="170">
        <f t="shared" si="33"/>
        <v>322793.55541000003</v>
      </c>
      <c r="L403" s="170"/>
      <c r="M403" s="170"/>
      <c r="N403" s="22"/>
      <c r="O403" s="7"/>
      <c r="Q403" s="11"/>
    </row>
    <row r="404" spans="1:17" outlineLevel="2">
      <c r="A404" s="7">
        <f t="shared" si="31"/>
        <v>399</v>
      </c>
      <c r="B404" s="7" t="s">
        <v>27</v>
      </c>
      <c r="C404" s="7" t="s">
        <v>803</v>
      </c>
      <c r="D404" s="13" t="s">
        <v>1051</v>
      </c>
      <c r="E404" s="8" t="s">
        <v>1052</v>
      </c>
      <c r="F404" s="28">
        <v>8781.5400000000009</v>
      </c>
      <c r="G404" s="9">
        <v>0</v>
      </c>
      <c r="H404" s="10">
        <f t="shared" si="32"/>
        <v>8781.5400000000009</v>
      </c>
      <c r="I404" s="9">
        <f t="shared" si="34"/>
        <v>-2805.7020300000004</v>
      </c>
      <c r="K404" s="170">
        <f t="shared" si="33"/>
        <v>5975.8379700000005</v>
      </c>
      <c r="L404" s="170"/>
      <c r="M404" s="170"/>
      <c r="N404" s="22"/>
      <c r="O404" s="7"/>
      <c r="Q404" s="11"/>
    </row>
    <row r="405" spans="1:17" outlineLevel="2">
      <c r="A405" s="7">
        <f t="shared" si="31"/>
        <v>400</v>
      </c>
      <c r="B405" s="7" t="s">
        <v>27</v>
      </c>
      <c r="C405" s="7" t="s">
        <v>803</v>
      </c>
      <c r="D405" s="13" t="s">
        <v>1053</v>
      </c>
      <c r="E405" s="8" t="s">
        <v>1054</v>
      </c>
      <c r="F405" s="28">
        <v>106095.81</v>
      </c>
      <c r="G405" s="9">
        <v>0</v>
      </c>
      <c r="H405" s="10">
        <f t="shared" si="32"/>
        <v>106095.81</v>
      </c>
      <c r="I405" s="9">
        <f t="shared" si="34"/>
        <v>-33897.611295000002</v>
      </c>
      <c r="K405" s="170">
        <f t="shared" si="33"/>
        <v>72198.198704999988</v>
      </c>
      <c r="L405" s="170"/>
      <c r="M405" s="170"/>
      <c r="N405" s="22"/>
      <c r="O405" s="7"/>
      <c r="Q405" s="11"/>
    </row>
    <row r="406" spans="1:17" outlineLevel="2">
      <c r="A406" s="7">
        <f t="shared" si="31"/>
        <v>401</v>
      </c>
      <c r="B406" s="7" t="s">
        <v>27</v>
      </c>
      <c r="C406" s="7" t="s">
        <v>803</v>
      </c>
      <c r="D406" s="13" t="s">
        <v>1055</v>
      </c>
      <c r="E406" s="8" t="s">
        <v>1056</v>
      </c>
      <c r="F406" s="28">
        <v>216887.19</v>
      </c>
      <c r="G406" s="9">
        <v>0</v>
      </c>
      <c r="H406" s="10">
        <f t="shared" si="32"/>
        <v>216887.19</v>
      </c>
      <c r="I406" s="9">
        <f t="shared" si="34"/>
        <v>-69295.457204999999</v>
      </c>
      <c r="K406" s="170">
        <f t="shared" si="33"/>
        <v>147591.73279500002</v>
      </c>
      <c r="L406" s="170"/>
      <c r="M406" s="170"/>
      <c r="N406" s="22"/>
      <c r="O406" s="7"/>
      <c r="Q406" s="11"/>
    </row>
    <row r="407" spans="1:17" outlineLevel="2">
      <c r="A407" s="7">
        <f t="shared" si="31"/>
        <v>402</v>
      </c>
      <c r="B407" s="7" t="s">
        <v>27</v>
      </c>
      <c r="C407" s="7" t="s">
        <v>803</v>
      </c>
      <c r="D407" s="13" t="s">
        <v>1057</v>
      </c>
      <c r="E407" s="8" t="s">
        <v>1058</v>
      </c>
      <c r="F407" s="28">
        <v>628989.94999999995</v>
      </c>
      <c r="G407" s="9">
        <v>0</v>
      </c>
      <c r="H407" s="10">
        <f t="shared" si="32"/>
        <v>628989.94999999995</v>
      </c>
      <c r="I407" s="9">
        <f t="shared" si="34"/>
        <v>-200962.28902499998</v>
      </c>
      <c r="K407" s="170">
        <f t="shared" si="33"/>
        <v>428027.66097500001</v>
      </c>
      <c r="L407" s="170"/>
      <c r="M407" s="170"/>
      <c r="N407" s="22"/>
      <c r="O407" s="7"/>
      <c r="Q407" s="11"/>
    </row>
    <row r="408" spans="1:17" outlineLevel="2">
      <c r="A408" s="7">
        <f t="shared" si="31"/>
        <v>403</v>
      </c>
      <c r="B408" s="7" t="s">
        <v>27</v>
      </c>
      <c r="C408" s="7" t="s">
        <v>803</v>
      </c>
      <c r="D408" s="13" t="s">
        <v>1059</v>
      </c>
      <c r="E408" s="8" t="s">
        <v>1060</v>
      </c>
      <c r="F408" s="28">
        <v>228059.18</v>
      </c>
      <c r="G408" s="9">
        <v>0</v>
      </c>
      <c r="H408" s="10">
        <f t="shared" si="32"/>
        <v>228059.18</v>
      </c>
      <c r="I408" s="9">
        <f t="shared" si="34"/>
        <v>-72864.908009999999</v>
      </c>
      <c r="K408" s="170">
        <f t="shared" si="33"/>
        <v>155194.27198999998</v>
      </c>
      <c r="L408" s="170"/>
      <c r="M408" s="170"/>
      <c r="N408" s="22"/>
      <c r="O408" s="7"/>
      <c r="Q408" s="11"/>
    </row>
    <row r="409" spans="1:17" outlineLevel="2">
      <c r="A409" s="7">
        <f t="shared" si="31"/>
        <v>404</v>
      </c>
      <c r="B409" s="7" t="s">
        <v>27</v>
      </c>
      <c r="C409" s="7" t="s">
        <v>803</v>
      </c>
      <c r="D409" s="13" t="s">
        <v>1061</v>
      </c>
      <c r="E409" s="8" t="s">
        <v>1062</v>
      </c>
      <c r="F409" s="28">
        <v>117121.60000000001</v>
      </c>
      <c r="G409" s="9">
        <v>0</v>
      </c>
      <c r="H409" s="10">
        <f t="shared" si="32"/>
        <v>117121.60000000001</v>
      </c>
      <c r="I409" s="9">
        <f t="shared" si="34"/>
        <v>-37420.351200000005</v>
      </c>
      <c r="K409" s="170">
        <f t="shared" si="33"/>
        <v>79701.248800000001</v>
      </c>
      <c r="L409" s="170"/>
      <c r="M409" s="170"/>
      <c r="N409" s="22"/>
      <c r="O409" s="7"/>
      <c r="Q409" s="11"/>
    </row>
    <row r="410" spans="1:17" outlineLevel="2">
      <c r="A410" s="7">
        <f t="shared" si="31"/>
        <v>405</v>
      </c>
      <c r="B410" s="7" t="s">
        <v>27</v>
      </c>
      <c r="C410" s="7" t="s">
        <v>803</v>
      </c>
      <c r="D410" s="13" t="s">
        <v>1063</v>
      </c>
      <c r="E410" s="8" t="s">
        <v>1064</v>
      </c>
      <c r="F410" s="28">
        <v>579363.11</v>
      </c>
      <c r="G410" s="9">
        <v>0</v>
      </c>
      <c r="H410" s="10">
        <f t="shared" si="32"/>
        <v>579363.11</v>
      </c>
      <c r="I410" s="9">
        <f t="shared" si="34"/>
        <v>-185106.513645</v>
      </c>
      <c r="K410" s="170">
        <f t="shared" si="33"/>
        <v>394256.59635499999</v>
      </c>
      <c r="L410" s="170"/>
      <c r="M410" s="170"/>
      <c r="N410" s="22"/>
      <c r="O410" s="7"/>
      <c r="Q410" s="11"/>
    </row>
    <row r="411" spans="1:17" outlineLevel="2">
      <c r="A411" s="7">
        <f t="shared" si="31"/>
        <v>406</v>
      </c>
      <c r="B411" s="7" t="s">
        <v>27</v>
      </c>
      <c r="C411" s="7" t="s">
        <v>803</v>
      </c>
      <c r="D411" s="13" t="s">
        <v>1065</v>
      </c>
      <c r="E411" s="8" t="s">
        <v>1066</v>
      </c>
      <c r="F411" s="28">
        <v>729388.88</v>
      </c>
      <c r="G411" s="9">
        <v>0</v>
      </c>
      <c r="H411" s="10">
        <f t="shared" si="32"/>
        <v>729388.88</v>
      </c>
      <c r="I411" s="9">
        <f t="shared" si="34"/>
        <v>-233039.74716</v>
      </c>
      <c r="K411" s="170">
        <f t="shared" si="33"/>
        <v>496349.13283999998</v>
      </c>
      <c r="L411" s="170"/>
      <c r="M411" s="170"/>
      <c r="N411" s="22"/>
      <c r="O411" s="7"/>
      <c r="Q411" s="11"/>
    </row>
    <row r="412" spans="1:17" outlineLevel="2">
      <c r="A412" s="7">
        <f t="shared" si="31"/>
        <v>407</v>
      </c>
      <c r="B412" s="7" t="s">
        <v>27</v>
      </c>
      <c r="C412" s="7" t="s">
        <v>803</v>
      </c>
      <c r="D412" s="13" t="s">
        <v>1067</v>
      </c>
      <c r="E412" s="8" t="s">
        <v>1068</v>
      </c>
      <c r="F412" s="28">
        <v>54476.14</v>
      </c>
      <c r="G412" s="9">
        <v>0</v>
      </c>
      <c r="H412" s="10">
        <f t="shared" si="32"/>
        <v>54476.14</v>
      </c>
      <c r="I412" s="9">
        <f t="shared" si="34"/>
        <v>-17405.12673</v>
      </c>
      <c r="K412" s="170">
        <f t="shared" si="33"/>
        <v>37071.013269999996</v>
      </c>
      <c r="L412" s="170"/>
      <c r="M412" s="170"/>
      <c r="O412" s="7"/>
      <c r="Q412" s="11"/>
    </row>
    <row r="413" spans="1:17" outlineLevel="2">
      <c r="A413" s="7">
        <f t="shared" si="31"/>
        <v>408</v>
      </c>
      <c r="B413" s="7" t="s">
        <v>27</v>
      </c>
      <c r="C413" s="7" t="s">
        <v>803</v>
      </c>
      <c r="D413" s="13" t="s">
        <v>1069</v>
      </c>
      <c r="E413" s="8" t="s">
        <v>1070</v>
      </c>
      <c r="F413" s="28">
        <v>929922.46</v>
      </c>
      <c r="G413" s="9">
        <v>0</v>
      </c>
      <c r="H413" s="10">
        <f t="shared" si="32"/>
        <v>929922.46</v>
      </c>
      <c r="I413" s="9">
        <f t="shared" si="34"/>
        <v>-297110.22596999997</v>
      </c>
      <c r="K413" s="170">
        <f t="shared" si="33"/>
        <v>632812.23402999993</v>
      </c>
      <c r="L413" s="170"/>
      <c r="M413" s="170"/>
      <c r="O413" s="7"/>
      <c r="Q413" s="11"/>
    </row>
    <row r="414" spans="1:17" outlineLevel="2">
      <c r="A414" s="7">
        <f t="shared" si="31"/>
        <v>409</v>
      </c>
      <c r="B414" s="7" t="s">
        <v>27</v>
      </c>
      <c r="C414" s="7" t="s">
        <v>803</v>
      </c>
      <c r="D414" s="13" t="s">
        <v>1071</v>
      </c>
      <c r="E414" s="8" t="s">
        <v>1072</v>
      </c>
      <c r="F414" s="28">
        <v>25197.93</v>
      </c>
      <c r="G414" s="9">
        <v>0</v>
      </c>
      <c r="H414" s="10">
        <f t="shared" si="32"/>
        <v>25197.93</v>
      </c>
      <c r="I414" s="9">
        <f t="shared" si="34"/>
        <v>-8050.7386350000006</v>
      </c>
      <c r="K414" s="170">
        <f t="shared" si="33"/>
        <v>17147.191364999999</v>
      </c>
      <c r="L414" s="170"/>
      <c r="M414" s="170"/>
      <c r="O414" s="7"/>
      <c r="Q414" s="11"/>
    </row>
    <row r="415" spans="1:17" outlineLevel="2">
      <c r="A415" s="7">
        <f t="shared" si="31"/>
        <v>410</v>
      </c>
      <c r="B415" s="7" t="s">
        <v>27</v>
      </c>
      <c r="C415" s="7" t="s">
        <v>803</v>
      </c>
      <c r="D415" s="13" t="s">
        <v>1073</v>
      </c>
      <c r="E415" s="8" t="s">
        <v>1074</v>
      </c>
      <c r="F415" s="28">
        <v>91987.25</v>
      </c>
      <c r="G415" s="9">
        <v>0</v>
      </c>
      <c r="H415" s="10">
        <f t="shared" si="32"/>
        <v>91987.25</v>
      </c>
      <c r="I415" s="9">
        <f>-(F415*$N$284)</f>
        <v>-29389.926374999999</v>
      </c>
      <c r="K415" s="170">
        <f t="shared" si="33"/>
        <v>62597.323625000005</v>
      </c>
      <c r="L415" s="170"/>
      <c r="M415" s="170"/>
      <c r="N415" s="10"/>
      <c r="O415" s="7"/>
      <c r="P415" s="10"/>
      <c r="Q415" s="10"/>
    </row>
    <row r="416" spans="1:17" outlineLevel="2">
      <c r="A416" s="7">
        <f t="shared" si="31"/>
        <v>411</v>
      </c>
      <c r="B416" s="7" t="s">
        <v>27</v>
      </c>
      <c r="C416" s="7" t="s">
        <v>803</v>
      </c>
      <c r="D416" s="13" t="s">
        <v>1075</v>
      </c>
      <c r="E416" s="8" t="s">
        <v>1076</v>
      </c>
      <c r="F416" s="28">
        <v>21499.883000000002</v>
      </c>
      <c r="G416" s="9">
        <v>0</v>
      </c>
      <c r="H416" s="10">
        <f t="shared" si="32"/>
        <v>21499.883000000002</v>
      </c>
      <c r="I416" s="9">
        <f>-(F416*$N$284)</f>
        <v>-6869.2126185000006</v>
      </c>
      <c r="K416" s="170">
        <f t="shared" si="33"/>
        <v>14630.6703815</v>
      </c>
      <c r="L416" s="170"/>
      <c r="M416" s="170"/>
      <c r="N416" s="10"/>
      <c r="O416" s="7"/>
      <c r="P416" s="10"/>
      <c r="Q416" s="10"/>
    </row>
    <row r="417" spans="1:17" outlineLevel="2">
      <c r="A417" s="7">
        <f t="shared" si="31"/>
        <v>412</v>
      </c>
      <c r="B417" s="7" t="s">
        <v>27</v>
      </c>
      <c r="C417" s="7" t="s">
        <v>803</v>
      </c>
      <c r="D417" s="13" t="s">
        <v>1077</v>
      </c>
      <c r="E417" s="8" t="s">
        <v>1078</v>
      </c>
      <c r="F417" s="28">
        <v>117921.59</v>
      </c>
      <c r="G417" s="9">
        <v>0</v>
      </c>
      <c r="H417" s="10">
        <f t="shared" si="32"/>
        <v>117921.59</v>
      </c>
      <c r="I417" s="9">
        <f t="shared" si="34"/>
        <v>-37675.948004999998</v>
      </c>
      <c r="K417" s="170">
        <f t="shared" si="33"/>
        <v>80245.641994999998</v>
      </c>
      <c r="L417" s="170"/>
      <c r="M417" s="170"/>
      <c r="N417" s="8"/>
      <c r="O417" s="7"/>
      <c r="Q417" s="11"/>
    </row>
    <row r="418" spans="1:17" outlineLevel="2">
      <c r="A418" s="7">
        <f t="shared" si="31"/>
        <v>413</v>
      </c>
      <c r="B418" s="7" t="s">
        <v>27</v>
      </c>
      <c r="C418" s="7" t="s">
        <v>803</v>
      </c>
      <c r="D418" s="13" t="s">
        <v>1079</v>
      </c>
      <c r="E418" s="8" t="s">
        <v>1080</v>
      </c>
      <c r="F418" s="28">
        <v>36499.440000000002</v>
      </c>
      <c r="G418" s="9">
        <v>0</v>
      </c>
      <c r="H418" s="10">
        <f t="shared" si="32"/>
        <v>36499.440000000002</v>
      </c>
      <c r="I418" s="9">
        <f t="shared" si="34"/>
        <v>-11661.571080000002</v>
      </c>
      <c r="K418" s="170">
        <f t="shared" si="33"/>
        <v>24837.868920000001</v>
      </c>
      <c r="L418" s="170"/>
      <c r="M418" s="170"/>
      <c r="N418" s="8"/>
      <c r="O418" s="7"/>
      <c r="Q418" s="11"/>
    </row>
    <row r="419" spans="1:17" outlineLevel="2">
      <c r="A419" s="7">
        <f t="shared" si="31"/>
        <v>414</v>
      </c>
      <c r="B419" s="7" t="s">
        <v>27</v>
      </c>
      <c r="C419" s="7" t="s">
        <v>803</v>
      </c>
      <c r="D419" s="13" t="s">
        <v>1081</v>
      </c>
      <c r="E419" s="8" t="s">
        <v>1082</v>
      </c>
      <c r="F419" s="28">
        <v>28279.89</v>
      </c>
      <c r="G419" s="9">
        <v>0</v>
      </c>
      <c r="H419" s="10">
        <f t="shared" si="32"/>
        <v>28279.89</v>
      </c>
      <c r="I419" s="9">
        <f t="shared" si="34"/>
        <v>-9035.4248549999993</v>
      </c>
      <c r="K419" s="170">
        <f t="shared" si="33"/>
        <v>19244.465145000002</v>
      </c>
      <c r="L419" s="170"/>
      <c r="M419" s="170"/>
      <c r="N419" s="8"/>
      <c r="O419" s="7"/>
    </row>
    <row r="420" spans="1:17" s="4" customFormat="1" ht="13.5" outlineLevel="1" thickBot="1">
      <c r="A420" s="7">
        <f t="shared" si="31"/>
        <v>415</v>
      </c>
      <c r="B420" s="3" t="s">
        <v>27</v>
      </c>
      <c r="C420" s="14" t="s">
        <v>1083</v>
      </c>
      <c r="D420" s="16"/>
      <c r="E420" s="16" t="s">
        <v>1084</v>
      </c>
      <c r="F420" s="26">
        <f t="shared" ref="F420:K420" si="35">SUM(F281:F419)</f>
        <v>35938329.09300001</v>
      </c>
      <c r="G420" s="26">
        <f t="shared" si="35"/>
        <v>0</v>
      </c>
      <c r="H420" s="26">
        <f t="shared" si="35"/>
        <v>35938329.09300001</v>
      </c>
      <c r="I420" s="139">
        <f t="shared" si="35"/>
        <v>-11482296.145213498</v>
      </c>
      <c r="J420" s="139">
        <f t="shared" si="35"/>
        <v>0</v>
      </c>
      <c r="K420" s="139">
        <f t="shared" si="35"/>
        <v>24456032.947786503</v>
      </c>
      <c r="L420" s="171"/>
      <c r="M420" s="171"/>
      <c r="O420" s="3"/>
      <c r="P420" s="3"/>
      <c r="Q420" s="5"/>
    </row>
    <row r="421" spans="1:17" ht="13.5" outlineLevel="2" thickTop="1">
      <c r="A421" s="7">
        <f t="shared" si="31"/>
        <v>416</v>
      </c>
      <c r="B421" s="7" t="s">
        <v>27</v>
      </c>
      <c r="C421" s="7" t="s">
        <v>1085</v>
      </c>
      <c r="D421" s="13" t="s">
        <v>1086</v>
      </c>
      <c r="E421" s="8" t="s">
        <v>1087</v>
      </c>
      <c r="F421" s="203">
        <v>650000.85</v>
      </c>
      <c r="G421" s="9">
        <v>-650000.85</v>
      </c>
      <c r="H421" s="10">
        <f t="shared" si="32"/>
        <v>0</v>
      </c>
      <c r="I421" s="9">
        <v>0</v>
      </c>
      <c r="K421" s="170">
        <f t="shared" si="33"/>
        <v>0</v>
      </c>
      <c r="L421" s="170"/>
      <c r="M421" s="170"/>
      <c r="N421" s="655"/>
      <c r="O421" s="7"/>
      <c r="Q421" s="11"/>
    </row>
    <row r="422" spans="1:17" outlineLevel="2">
      <c r="A422" s="7">
        <f t="shared" si="31"/>
        <v>417</v>
      </c>
      <c r="B422" s="7" t="s">
        <v>27</v>
      </c>
      <c r="C422" s="7" t="s">
        <v>1085</v>
      </c>
      <c r="D422" s="13" t="s">
        <v>1088</v>
      </c>
      <c r="E422" s="8" t="s">
        <v>1089</v>
      </c>
      <c r="F422" s="203">
        <v>184827.19</v>
      </c>
      <c r="G422" s="9">
        <v>-184827.19</v>
      </c>
      <c r="H422" s="10">
        <f t="shared" si="32"/>
        <v>0</v>
      </c>
      <c r="I422" s="9">
        <v>0</v>
      </c>
      <c r="K422" s="170">
        <f t="shared" si="33"/>
        <v>0</v>
      </c>
      <c r="L422" s="170"/>
      <c r="M422" s="170"/>
      <c r="N422" s="656"/>
      <c r="O422" s="7"/>
      <c r="Q422" s="11"/>
    </row>
    <row r="423" spans="1:17" outlineLevel="2">
      <c r="A423" s="7">
        <f t="shared" si="31"/>
        <v>418</v>
      </c>
      <c r="B423" s="7" t="s">
        <v>27</v>
      </c>
      <c r="C423" s="7" t="s">
        <v>1085</v>
      </c>
      <c r="D423" s="13" t="s">
        <v>1090</v>
      </c>
      <c r="E423" s="8" t="s">
        <v>1091</v>
      </c>
      <c r="F423" s="203">
        <v>223594.2</v>
      </c>
      <c r="G423" s="9">
        <v>-223594.2</v>
      </c>
      <c r="H423" s="10">
        <f t="shared" si="32"/>
        <v>0</v>
      </c>
      <c r="I423" s="9">
        <v>0</v>
      </c>
      <c r="K423" s="170">
        <f t="shared" si="33"/>
        <v>0</v>
      </c>
      <c r="L423" s="170"/>
      <c r="M423" s="170"/>
      <c r="N423" s="656"/>
      <c r="O423" s="7"/>
      <c r="Q423" s="11"/>
    </row>
    <row r="424" spans="1:17" outlineLevel="2">
      <c r="A424" s="7">
        <f t="shared" si="31"/>
        <v>419</v>
      </c>
      <c r="B424" s="7" t="s">
        <v>27</v>
      </c>
      <c r="C424" s="7" t="s">
        <v>1085</v>
      </c>
      <c r="D424" s="13" t="s">
        <v>1092</v>
      </c>
      <c r="E424" s="8" t="s">
        <v>1093</v>
      </c>
      <c r="F424" s="203">
        <v>171256.71</v>
      </c>
      <c r="G424" s="9">
        <v>-171256.71</v>
      </c>
      <c r="H424" s="10">
        <f t="shared" si="32"/>
        <v>0</v>
      </c>
      <c r="I424" s="9">
        <v>0</v>
      </c>
      <c r="K424" s="170">
        <f t="shared" si="33"/>
        <v>0</v>
      </c>
      <c r="L424" s="170"/>
      <c r="M424" s="170"/>
      <c r="O424" s="7"/>
      <c r="Q424" s="11"/>
    </row>
    <row r="425" spans="1:17" outlineLevel="2">
      <c r="A425" s="7">
        <f t="shared" si="31"/>
        <v>420</v>
      </c>
      <c r="B425" s="7" t="s">
        <v>27</v>
      </c>
      <c r="C425" s="7" t="s">
        <v>1085</v>
      </c>
      <c r="D425" s="13" t="s">
        <v>1094</v>
      </c>
      <c r="E425" s="8" t="s">
        <v>1095</v>
      </c>
      <c r="F425" s="203">
        <v>25505.599999999999</v>
      </c>
      <c r="G425" s="9">
        <v>-25505.599999999999</v>
      </c>
      <c r="H425" s="10">
        <f t="shared" si="32"/>
        <v>0</v>
      </c>
      <c r="I425" s="9">
        <v>0</v>
      </c>
      <c r="K425" s="170">
        <f t="shared" si="33"/>
        <v>0</v>
      </c>
      <c r="L425" s="170"/>
      <c r="M425" s="170"/>
      <c r="O425" s="7"/>
      <c r="Q425" s="11"/>
    </row>
    <row r="426" spans="1:17" outlineLevel="2">
      <c r="A426" s="7">
        <f t="shared" si="31"/>
        <v>421</v>
      </c>
      <c r="B426" s="7" t="s">
        <v>27</v>
      </c>
      <c r="C426" s="7" t="s">
        <v>1085</v>
      </c>
      <c r="D426" s="13" t="s">
        <v>1096</v>
      </c>
      <c r="E426" s="8" t="s">
        <v>1097</v>
      </c>
      <c r="F426" s="203">
        <v>526212.39</v>
      </c>
      <c r="G426" s="9">
        <f>-391368.42+19668</f>
        <v>-371700.42</v>
      </c>
      <c r="H426" s="10">
        <f t="shared" si="32"/>
        <v>154511.97000000003</v>
      </c>
      <c r="I426" s="9">
        <v>0</v>
      </c>
      <c r="K426" s="170">
        <f t="shared" si="33"/>
        <v>154511.97000000003</v>
      </c>
      <c r="L426" s="170"/>
      <c r="M426" s="170"/>
      <c r="O426" s="7"/>
      <c r="Q426" s="11"/>
    </row>
    <row r="427" spans="1:17" outlineLevel="2">
      <c r="A427" s="7">
        <f t="shared" si="31"/>
        <v>422</v>
      </c>
      <c r="B427" s="7" t="s">
        <v>27</v>
      </c>
      <c r="C427" s="7" t="s">
        <v>1085</v>
      </c>
      <c r="D427" s="13" t="s">
        <v>1098</v>
      </c>
      <c r="E427" s="8" t="s">
        <v>1099</v>
      </c>
      <c r="F427" s="203">
        <v>253597.44</v>
      </c>
      <c r="G427" s="9">
        <v>-253597.44</v>
      </c>
      <c r="H427" s="10">
        <f t="shared" si="32"/>
        <v>0</v>
      </c>
      <c r="I427" s="9">
        <v>0</v>
      </c>
      <c r="K427" s="170">
        <f t="shared" si="33"/>
        <v>0</v>
      </c>
      <c r="L427" s="170"/>
      <c r="M427" s="170"/>
      <c r="O427" s="7"/>
      <c r="Q427" s="11"/>
    </row>
    <row r="428" spans="1:17" outlineLevel="2">
      <c r="A428" s="7">
        <f t="shared" si="31"/>
        <v>423</v>
      </c>
      <c r="B428" s="7" t="s">
        <v>27</v>
      </c>
      <c r="C428" s="7" t="s">
        <v>1085</v>
      </c>
      <c r="D428" s="13" t="s">
        <v>1100</v>
      </c>
      <c r="E428" s="8" t="s">
        <v>1101</v>
      </c>
      <c r="F428" s="203">
        <v>1079091.51</v>
      </c>
      <c r="G428" s="9">
        <v>-1079091.51</v>
      </c>
      <c r="H428" s="10">
        <f t="shared" si="32"/>
        <v>0</v>
      </c>
      <c r="I428" s="9">
        <v>0</v>
      </c>
      <c r="K428" s="170">
        <f t="shared" si="33"/>
        <v>0</v>
      </c>
      <c r="L428" s="170"/>
      <c r="M428" s="170"/>
      <c r="O428" s="7"/>
      <c r="Q428" s="11"/>
    </row>
    <row r="429" spans="1:17" outlineLevel="2">
      <c r="A429" s="7">
        <f t="shared" si="31"/>
        <v>424</v>
      </c>
      <c r="B429" s="7" t="s">
        <v>27</v>
      </c>
      <c r="C429" s="7" t="s">
        <v>1085</v>
      </c>
      <c r="D429" s="13" t="s">
        <v>1102</v>
      </c>
      <c r="E429" s="8" t="s">
        <v>1103</v>
      </c>
      <c r="F429" s="203">
        <v>425706.26</v>
      </c>
      <c r="G429" s="9">
        <v>-425706.26</v>
      </c>
      <c r="H429" s="10">
        <f t="shared" si="32"/>
        <v>0</v>
      </c>
      <c r="I429" s="9">
        <v>0</v>
      </c>
      <c r="K429" s="170">
        <f t="shared" si="33"/>
        <v>0</v>
      </c>
      <c r="L429" s="170"/>
      <c r="M429" s="170"/>
      <c r="O429" s="7"/>
      <c r="Q429" s="11"/>
    </row>
    <row r="430" spans="1:17" outlineLevel="2">
      <c r="A430" s="7">
        <f t="shared" si="31"/>
        <v>425</v>
      </c>
      <c r="B430" s="7" t="s">
        <v>27</v>
      </c>
      <c r="C430" s="7" t="s">
        <v>1085</v>
      </c>
      <c r="D430" s="13" t="s">
        <v>1104</v>
      </c>
      <c r="E430" s="8" t="s">
        <v>1105</v>
      </c>
      <c r="F430" s="203">
        <v>108040.31</v>
      </c>
      <c r="G430" s="9">
        <v>-108040.31</v>
      </c>
      <c r="H430" s="10">
        <f t="shared" si="32"/>
        <v>0</v>
      </c>
      <c r="I430" s="9">
        <v>0</v>
      </c>
      <c r="K430" s="170">
        <f t="shared" si="33"/>
        <v>0</v>
      </c>
      <c r="L430" s="170"/>
      <c r="M430" s="170"/>
      <c r="O430" s="7"/>
      <c r="Q430" s="11"/>
    </row>
    <row r="431" spans="1:17" outlineLevel="2">
      <c r="A431" s="7">
        <f t="shared" si="31"/>
        <v>426</v>
      </c>
      <c r="B431" s="7" t="s">
        <v>27</v>
      </c>
      <c r="C431" s="7" t="s">
        <v>1085</v>
      </c>
      <c r="D431" s="13" t="s">
        <v>1106</v>
      </c>
      <c r="E431" s="8" t="s">
        <v>1107</v>
      </c>
      <c r="F431" s="203">
        <v>6494</v>
      </c>
      <c r="G431" s="9">
        <v>-6494</v>
      </c>
      <c r="H431" s="10">
        <f t="shared" si="32"/>
        <v>0</v>
      </c>
      <c r="I431" s="9">
        <v>0</v>
      </c>
      <c r="K431" s="170">
        <f t="shared" si="33"/>
        <v>0</v>
      </c>
      <c r="L431" s="170"/>
      <c r="M431" s="170"/>
      <c r="O431" s="7"/>
      <c r="Q431" s="11"/>
    </row>
    <row r="432" spans="1:17" outlineLevel="2">
      <c r="A432" s="7">
        <f t="shared" si="31"/>
        <v>427</v>
      </c>
      <c r="B432" s="7" t="s">
        <v>27</v>
      </c>
      <c r="C432" s="7" t="s">
        <v>1085</v>
      </c>
      <c r="D432" s="13" t="s">
        <v>1108</v>
      </c>
      <c r="E432" s="8" t="s">
        <v>1109</v>
      </c>
      <c r="F432" s="203">
        <v>102282.9</v>
      </c>
      <c r="G432" s="9">
        <v>-102282.9</v>
      </c>
      <c r="H432" s="10">
        <f t="shared" si="32"/>
        <v>0</v>
      </c>
      <c r="I432" s="9">
        <v>0</v>
      </c>
      <c r="K432" s="170">
        <f t="shared" si="33"/>
        <v>0</v>
      </c>
      <c r="L432" s="170"/>
      <c r="M432" s="170"/>
      <c r="O432" s="7"/>
      <c r="Q432" s="11"/>
    </row>
    <row r="433" spans="1:17" outlineLevel="2">
      <c r="A433" s="7">
        <f t="shared" si="31"/>
        <v>428</v>
      </c>
      <c r="B433" s="7" t="s">
        <v>27</v>
      </c>
      <c r="C433" s="7" t="s">
        <v>1085</v>
      </c>
      <c r="D433" s="13" t="s">
        <v>1110</v>
      </c>
      <c r="E433" s="8" t="s">
        <v>1111</v>
      </c>
      <c r="F433" s="203">
        <v>1237730.0900000001</v>
      </c>
      <c r="G433" s="9">
        <v>-1237730.0900000001</v>
      </c>
      <c r="H433" s="10">
        <f t="shared" si="32"/>
        <v>0</v>
      </c>
      <c r="I433" s="9">
        <v>0</v>
      </c>
      <c r="K433" s="170">
        <f t="shared" si="33"/>
        <v>0</v>
      </c>
      <c r="L433" s="170"/>
      <c r="M433" s="170"/>
      <c r="O433" s="7"/>
      <c r="Q433" s="11"/>
    </row>
    <row r="434" spans="1:17" outlineLevel="2">
      <c r="A434" s="7">
        <f t="shared" si="31"/>
        <v>429</v>
      </c>
      <c r="B434" s="7" t="s">
        <v>27</v>
      </c>
      <c r="C434" s="7" t="s">
        <v>1085</v>
      </c>
      <c r="D434" s="13" t="s">
        <v>1112</v>
      </c>
      <c r="E434" s="8" t="s">
        <v>1113</v>
      </c>
      <c r="F434" s="203">
        <v>920941.25</v>
      </c>
      <c r="G434" s="9">
        <v>-920941.25</v>
      </c>
      <c r="H434" s="10">
        <f t="shared" si="32"/>
        <v>0</v>
      </c>
      <c r="I434" s="9">
        <v>0</v>
      </c>
      <c r="K434" s="170">
        <f t="shared" si="33"/>
        <v>0</v>
      </c>
      <c r="L434" s="170"/>
      <c r="M434" s="170"/>
      <c r="O434" s="7"/>
      <c r="Q434" s="11"/>
    </row>
    <row r="435" spans="1:17" ht="12.75" customHeight="1" outlineLevel="2">
      <c r="A435" s="7">
        <f t="shared" si="31"/>
        <v>430</v>
      </c>
      <c r="B435" s="7" t="s">
        <v>27</v>
      </c>
      <c r="C435" s="7" t="s">
        <v>1085</v>
      </c>
      <c r="D435" s="13" t="s">
        <v>1114</v>
      </c>
      <c r="E435" s="8" t="s">
        <v>1115</v>
      </c>
      <c r="F435" s="203">
        <v>474403.84000000003</v>
      </c>
      <c r="G435" s="9">
        <v>-474403.84000000003</v>
      </c>
      <c r="H435" s="10">
        <f t="shared" si="32"/>
        <v>0</v>
      </c>
      <c r="I435" s="9">
        <v>0</v>
      </c>
      <c r="K435" s="170">
        <f t="shared" si="33"/>
        <v>0</v>
      </c>
      <c r="L435" s="170"/>
      <c r="M435" s="170"/>
      <c r="N435" s="8"/>
      <c r="O435" s="7"/>
      <c r="Q435" s="11"/>
    </row>
    <row r="436" spans="1:17" outlineLevel="2">
      <c r="A436" s="7">
        <f t="shared" si="31"/>
        <v>431</v>
      </c>
      <c r="B436" s="7" t="s">
        <v>27</v>
      </c>
      <c r="C436" s="7" t="s">
        <v>1085</v>
      </c>
      <c r="D436" s="8" t="s">
        <v>1116</v>
      </c>
      <c r="E436" s="8" t="s">
        <v>1117</v>
      </c>
      <c r="F436" s="203">
        <v>216162.68</v>
      </c>
      <c r="G436" s="9">
        <v>-216162.68</v>
      </c>
      <c r="H436" s="10">
        <f t="shared" si="32"/>
        <v>0</v>
      </c>
      <c r="I436" s="9">
        <v>0</v>
      </c>
      <c r="K436" s="170">
        <f t="shared" si="33"/>
        <v>0</v>
      </c>
      <c r="L436" s="170"/>
      <c r="M436" s="170"/>
      <c r="O436" s="7"/>
      <c r="Q436" s="11"/>
    </row>
    <row r="437" spans="1:17" s="4" customFormat="1" ht="13.5" outlineLevel="1" thickBot="1">
      <c r="A437" s="7">
        <f t="shared" si="31"/>
        <v>432</v>
      </c>
      <c r="B437" s="3" t="s">
        <v>27</v>
      </c>
      <c r="C437" s="14" t="s">
        <v>1118</v>
      </c>
      <c r="D437" s="16"/>
      <c r="E437" s="16" t="s">
        <v>1119</v>
      </c>
      <c r="F437" s="26">
        <f>SUM(F421:F436)</f>
        <v>6605847.2199999988</v>
      </c>
      <c r="G437" s="26">
        <f t="shared" ref="G437:K437" si="36">SUM(G421:G436)</f>
        <v>-6451335.2499999991</v>
      </c>
      <c r="H437" s="26">
        <f t="shared" si="36"/>
        <v>154511.97000000003</v>
      </c>
      <c r="I437" s="139">
        <f t="shared" si="36"/>
        <v>0</v>
      </c>
      <c r="J437" s="139">
        <f t="shared" si="36"/>
        <v>0</v>
      </c>
      <c r="K437" s="139">
        <f t="shared" si="36"/>
        <v>154511.97000000003</v>
      </c>
      <c r="L437" s="171"/>
      <c r="M437" s="171"/>
      <c r="N437" s="17"/>
      <c r="O437" s="3"/>
      <c r="P437" s="3"/>
      <c r="Q437" s="5"/>
    </row>
    <row r="438" spans="1:17" s="3" customFormat="1" ht="14" thickTop="1" thickBot="1">
      <c r="A438" s="7">
        <f t="shared" si="31"/>
        <v>433</v>
      </c>
      <c r="B438" s="3" t="s">
        <v>27</v>
      </c>
      <c r="C438" s="80" t="s">
        <v>1120</v>
      </c>
      <c r="D438" s="81"/>
      <c r="E438" s="81" t="s">
        <v>1121</v>
      </c>
      <c r="F438" s="207">
        <f t="shared" ref="F438:K438" si="37">F111+F238+F257+F261+F275+F280+F420+F437</f>
        <v>1405568817.4630008</v>
      </c>
      <c r="G438" s="207">
        <f t="shared" si="37"/>
        <v>-46599555.18</v>
      </c>
      <c r="H438" s="207">
        <f t="shared" si="37"/>
        <v>1358969262.2830007</v>
      </c>
      <c r="I438" s="141">
        <f t="shared" si="37"/>
        <v>-13572976.7825535</v>
      </c>
      <c r="J438" s="141">
        <f t="shared" si="37"/>
        <v>-8427867</v>
      </c>
      <c r="K438" s="141">
        <f t="shared" si="37"/>
        <v>1336968418.500447</v>
      </c>
      <c r="L438" s="173"/>
      <c r="M438" s="173"/>
      <c r="N438" s="5"/>
    </row>
    <row r="439" spans="1:17" s="4" customFormat="1" ht="13.5" outlineLevel="1" thickTop="1">
      <c r="A439" s="7">
        <f t="shared" si="31"/>
        <v>434</v>
      </c>
      <c r="B439" s="7"/>
      <c r="C439" s="3"/>
      <c r="F439" s="202"/>
      <c r="G439" s="119"/>
      <c r="H439" s="119"/>
      <c r="I439" s="119"/>
      <c r="J439" s="119"/>
      <c r="K439" s="171"/>
      <c r="L439" s="171"/>
      <c r="M439" s="171"/>
      <c r="N439" s="17"/>
      <c r="O439" s="3"/>
      <c r="P439" s="3"/>
      <c r="Q439" s="5"/>
    </row>
    <row r="440" spans="1:17" outlineLevel="2">
      <c r="A440" s="7">
        <f t="shared" si="31"/>
        <v>435</v>
      </c>
      <c r="B440" s="7" t="s">
        <v>31</v>
      </c>
      <c r="C440" s="7" t="s">
        <v>77</v>
      </c>
      <c r="D440" s="13" t="s">
        <v>1122</v>
      </c>
      <c r="E440" s="8" t="s">
        <v>1123</v>
      </c>
      <c r="F440" s="203">
        <v>6735889.54</v>
      </c>
      <c r="G440" s="10">
        <v>0</v>
      </c>
      <c r="H440" s="10">
        <f t="shared" ref="H440" si="38">F440+G440</f>
        <v>6735889.54</v>
      </c>
      <c r="I440" s="10">
        <v>0</v>
      </c>
      <c r="J440" s="10"/>
      <c r="K440" s="170">
        <f t="shared" ref="K440" si="39">SUM(H440:J440)</f>
        <v>6735889.54</v>
      </c>
      <c r="L440" s="170"/>
      <c r="M440" s="170"/>
      <c r="O440" s="7"/>
      <c r="Q440" s="11"/>
    </row>
    <row r="441" spans="1:17" outlineLevel="2">
      <c r="A441" s="7">
        <f t="shared" si="31"/>
        <v>436</v>
      </c>
      <c r="B441" s="7" t="s">
        <v>31</v>
      </c>
      <c r="C441" s="7" t="s">
        <v>77</v>
      </c>
      <c r="D441" s="13" t="s">
        <v>1124</v>
      </c>
      <c r="E441" s="8" t="s">
        <v>1125</v>
      </c>
      <c r="F441" s="28">
        <v>28806330.280000001</v>
      </c>
      <c r="G441" s="10">
        <v>0</v>
      </c>
      <c r="H441" s="10">
        <f t="shared" ref="H441:H451" si="40">F441+G441</f>
        <v>28806330.280000001</v>
      </c>
      <c r="I441" s="10">
        <v>0</v>
      </c>
      <c r="J441" s="10"/>
      <c r="K441" s="170">
        <f t="shared" ref="K441:K451" si="41">SUM(H441:J441)</f>
        <v>28806330.280000001</v>
      </c>
      <c r="L441" s="170"/>
      <c r="M441" s="170"/>
      <c r="O441" s="7"/>
      <c r="Q441" s="11"/>
    </row>
    <row r="442" spans="1:17" outlineLevel="2">
      <c r="A442" s="7">
        <f t="shared" si="31"/>
        <v>437</v>
      </c>
      <c r="B442" s="7" t="s">
        <v>31</v>
      </c>
      <c r="C442" s="7" t="s">
        <v>77</v>
      </c>
      <c r="D442" s="13" t="s">
        <v>1126</v>
      </c>
      <c r="E442" s="8" t="s">
        <v>1127</v>
      </c>
      <c r="F442" s="28">
        <v>157876.32</v>
      </c>
      <c r="G442" s="10">
        <v>0</v>
      </c>
      <c r="H442" s="10">
        <f t="shared" si="40"/>
        <v>157876.32</v>
      </c>
      <c r="I442" s="10">
        <v>0</v>
      </c>
      <c r="J442" s="10"/>
      <c r="K442" s="170">
        <f t="shared" si="41"/>
        <v>157876.32</v>
      </c>
      <c r="L442" s="170"/>
      <c r="M442" s="170"/>
      <c r="O442" s="7"/>
      <c r="Q442" s="11"/>
    </row>
    <row r="443" spans="1:17" outlineLevel="2">
      <c r="A443" s="7">
        <f t="shared" si="31"/>
        <v>438</v>
      </c>
      <c r="B443" s="7" t="s">
        <v>31</v>
      </c>
      <c r="C443" s="7" t="s">
        <v>77</v>
      </c>
      <c r="D443" s="13" t="s">
        <v>1128</v>
      </c>
      <c r="E443" s="8" t="s">
        <v>1129</v>
      </c>
      <c r="F443" s="28">
        <v>12744944.75</v>
      </c>
      <c r="G443" s="10">
        <v>0</v>
      </c>
      <c r="H443" s="10">
        <f t="shared" si="40"/>
        <v>12744944.75</v>
      </c>
      <c r="I443" s="10">
        <v>0</v>
      </c>
      <c r="J443" s="10"/>
      <c r="K443" s="170">
        <f t="shared" si="41"/>
        <v>12744944.75</v>
      </c>
      <c r="L443" s="170"/>
      <c r="M443" s="170"/>
      <c r="O443" s="7"/>
      <c r="Q443" s="11"/>
    </row>
    <row r="444" spans="1:17" outlineLevel="2">
      <c r="A444" s="7">
        <f t="shared" si="31"/>
        <v>439</v>
      </c>
      <c r="B444" s="7" t="s">
        <v>31</v>
      </c>
      <c r="C444" s="7" t="s">
        <v>77</v>
      </c>
      <c r="D444" s="13" t="s">
        <v>1130</v>
      </c>
      <c r="E444" s="8" t="s">
        <v>1131</v>
      </c>
      <c r="F444" s="28">
        <v>8681331.6699999999</v>
      </c>
      <c r="G444" s="10">
        <v>0</v>
      </c>
      <c r="H444" s="10">
        <f t="shared" si="40"/>
        <v>8681331.6699999999</v>
      </c>
      <c r="I444" s="10">
        <v>0</v>
      </c>
      <c r="J444" s="10"/>
      <c r="K444" s="170">
        <f t="shared" si="41"/>
        <v>8681331.6699999999</v>
      </c>
      <c r="L444" s="170"/>
      <c r="M444" s="170"/>
      <c r="O444" s="7"/>
      <c r="Q444" s="11"/>
    </row>
    <row r="445" spans="1:17" outlineLevel="2">
      <c r="A445" s="7">
        <f t="shared" si="31"/>
        <v>440</v>
      </c>
      <c r="B445" s="7" t="s">
        <v>31</v>
      </c>
      <c r="C445" s="7" t="s">
        <v>77</v>
      </c>
      <c r="D445" s="13" t="s">
        <v>1132</v>
      </c>
      <c r="E445" s="8" t="s">
        <v>1133</v>
      </c>
      <c r="F445" s="28">
        <v>5561904.6399999997</v>
      </c>
      <c r="G445" s="10">
        <v>0</v>
      </c>
      <c r="H445" s="10">
        <f t="shared" si="40"/>
        <v>5561904.6399999997</v>
      </c>
      <c r="I445" s="10">
        <v>0</v>
      </c>
      <c r="J445" s="10"/>
      <c r="K445" s="170">
        <f t="shared" si="41"/>
        <v>5561904.6399999997</v>
      </c>
      <c r="L445" s="170"/>
      <c r="M445" s="170"/>
      <c r="O445" s="7"/>
      <c r="Q445" s="11"/>
    </row>
    <row r="446" spans="1:17" outlineLevel="2">
      <c r="A446" s="7">
        <f t="shared" si="31"/>
        <v>441</v>
      </c>
      <c r="B446" s="7" t="s">
        <v>31</v>
      </c>
      <c r="C446" s="7" t="s">
        <v>77</v>
      </c>
      <c r="D446" s="13" t="s">
        <v>1134</v>
      </c>
      <c r="E446" s="8" t="s">
        <v>1135</v>
      </c>
      <c r="F446" s="28">
        <v>619323.74</v>
      </c>
      <c r="G446" s="10">
        <v>0</v>
      </c>
      <c r="H446" s="10">
        <f t="shared" si="40"/>
        <v>619323.74</v>
      </c>
      <c r="I446" s="10">
        <v>0</v>
      </c>
      <c r="K446" s="170">
        <f t="shared" si="41"/>
        <v>619323.74</v>
      </c>
      <c r="L446" s="170"/>
      <c r="M446" s="170"/>
      <c r="N446" s="8"/>
      <c r="O446" s="7"/>
      <c r="Q446" s="11"/>
    </row>
    <row r="447" spans="1:17" outlineLevel="2">
      <c r="A447" s="7">
        <f t="shared" si="31"/>
        <v>442</v>
      </c>
      <c r="B447" s="7" t="s">
        <v>31</v>
      </c>
      <c r="C447" s="7" t="s">
        <v>77</v>
      </c>
      <c r="D447" s="13" t="s">
        <v>1136</v>
      </c>
      <c r="E447" s="8" t="s">
        <v>1137</v>
      </c>
      <c r="F447" s="28">
        <v>3750704.04</v>
      </c>
      <c r="G447" s="10">
        <v>0</v>
      </c>
      <c r="H447" s="10">
        <f t="shared" si="40"/>
        <v>3750704.04</v>
      </c>
      <c r="I447" s="10">
        <v>0</v>
      </c>
      <c r="J447" s="10"/>
      <c r="K447" s="170">
        <f t="shared" si="41"/>
        <v>3750704.04</v>
      </c>
      <c r="L447" s="170"/>
      <c r="M447" s="170"/>
      <c r="O447" s="7"/>
      <c r="Q447" s="11"/>
    </row>
    <row r="448" spans="1:17" outlineLevel="2">
      <c r="A448" s="7">
        <f t="shared" si="31"/>
        <v>443</v>
      </c>
      <c r="B448" s="7" t="s">
        <v>31</v>
      </c>
      <c r="C448" s="7" t="s">
        <v>77</v>
      </c>
      <c r="D448" s="13" t="s">
        <v>1138</v>
      </c>
      <c r="E448" s="8" t="s">
        <v>1139</v>
      </c>
      <c r="F448" s="28">
        <v>576089.67000000004</v>
      </c>
      <c r="G448" s="10">
        <v>-576089.67000000004</v>
      </c>
      <c r="H448" s="10">
        <f t="shared" si="40"/>
        <v>0</v>
      </c>
      <c r="I448" s="10">
        <v>0</v>
      </c>
      <c r="J448" s="10"/>
      <c r="K448" s="170">
        <f t="shared" si="41"/>
        <v>0</v>
      </c>
      <c r="L448" s="170"/>
      <c r="M448" s="170"/>
      <c r="O448" s="7"/>
      <c r="Q448" s="11"/>
    </row>
    <row r="449" spans="1:20" outlineLevel="2">
      <c r="A449" s="7">
        <f t="shared" si="31"/>
        <v>444</v>
      </c>
      <c r="B449" s="7" t="s">
        <v>31</v>
      </c>
      <c r="C449" s="7" t="s">
        <v>77</v>
      </c>
      <c r="D449" s="13" t="s">
        <v>1140</v>
      </c>
      <c r="E449" s="8" t="s">
        <v>1141</v>
      </c>
      <c r="F449" s="28">
        <v>1084857.5</v>
      </c>
      <c r="G449" s="10">
        <v>0</v>
      </c>
      <c r="H449" s="10">
        <f t="shared" si="40"/>
        <v>1084857.5</v>
      </c>
      <c r="I449" s="10">
        <v>0</v>
      </c>
      <c r="J449" s="10"/>
      <c r="K449" s="170">
        <f t="shared" si="41"/>
        <v>1084857.5</v>
      </c>
      <c r="L449" s="170"/>
      <c r="M449" s="170"/>
      <c r="O449" s="7"/>
    </row>
    <row r="450" spans="1:20" ht="13.5" customHeight="1" outlineLevel="2">
      <c r="A450" s="7">
        <f t="shared" si="31"/>
        <v>445</v>
      </c>
      <c r="B450" s="7" t="s">
        <v>31</v>
      </c>
      <c r="C450" s="7" t="s">
        <v>77</v>
      </c>
      <c r="D450" s="13" t="s">
        <v>1142</v>
      </c>
      <c r="E450" s="8" t="s">
        <v>1143</v>
      </c>
      <c r="F450" s="28">
        <v>5110115.21</v>
      </c>
      <c r="G450" s="10">
        <v>0</v>
      </c>
      <c r="H450" s="10">
        <f t="shared" si="40"/>
        <v>5110115.21</v>
      </c>
      <c r="I450" s="10">
        <v>0</v>
      </c>
      <c r="J450" s="10"/>
      <c r="K450" s="170">
        <f t="shared" si="41"/>
        <v>5110115.21</v>
      </c>
      <c r="L450" s="170"/>
      <c r="M450" s="170"/>
      <c r="O450" s="7"/>
      <c r="Q450" s="11"/>
    </row>
    <row r="451" spans="1:20" outlineLevel="2">
      <c r="A451" s="7">
        <f t="shared" si="31"/>
        <v>446</v>
      </c>
      <c r="B451" s="7" t="s">
        <v>31</v>
      </c>
      <c r="C451" s="7" t="s">
        <v>77</v>
      </c>
      <c r="D451" s="13" t="s">
        <v>1144</v>
      </c>
      <c r="E451" s="8" t="s">
        <v>1145</v>
      </c>
      <c r="F451" s="28">
        <v>4195752.57</v>
      </c>
      <c r="G451" s="10">
        <v>0</v>
      </c>
      <c r="H451" s="10">
        <f t="shared" si="40"/>
        <v>4195752.57</v>
      </c>
      <c r="I451" s="10">
        <v>0</v>
      </c>
      <c r="J451" s="10"/>
      <c r="K451" s="170">
        <f t="shared" si="41"/>
        <v>4195752.57</v>
      </c>
      <c r="L451" s="170"/>
      <c r="M451" s="170"/>
      <c r="O451" s="7"/>
      <c r="Q451" s="11"/>
    </row>
    <row r="452" spans="1:20" s="4" customFormat="1" ht="13.5" outlineLevel="1" thickBot="1">
      <c r="A452" s="7">
        <f t="shared" si="31"/>
        <v>447</v>
      </c>
      <c r="B452" s="3" t="s">
        <v>31</v>
      </c>
      <c r="C452" s="14" t="s">
        <v>458</v>
      </c>
      <c r="D452" s="15"/>
      <c r="E452" s="16" t="s">
        <v>459</v>
      </c>
      <c r="F452" s="26">
        <f t="shared" ref="F452:K452" si="42">SUM(F440:F451)</f>
        <v>78025119.930000007</v>
      </c>
      <c r="G452" s="26">
        <f t="shared" si="42"/>
        <v>-576089.67000000004</v>
      </c>
      <c r="H452" s="26">
        <f t="shared" si="42"/>
        <v>77449030.25999999</v>
      </c>
      <c r="I452" s="139">
        <f t="shared" si="42"/>
        <v>0</v>
      </c>
      <c r="J452" s="139">
        <f t="shared" si="42"/>
        <v>0</v>
      </c>
      <c r="K452" s="139">
        <f t="shared" si="42"/>
        <v>77449030.25999999</v>
      </c>
      <c r="L452" s="171"/>
      <c r="M452" s="171"/>
      <c r="N452" s="17"/>
      <c r="O452" s="3"/>
      <c r="P452" s="3"/>
      <c r="Q452" s="5"/>
    </row>
    <row r="453" spans="1:20" ht="13.5" outlineLevel="2" thickTop="1">
      <c r="A453" s="7">
        <f t="shared" si="31"/>
        <v>448</v>
      </c>
      <c r="B453" s="7" t="s">
        <v>31</v>
      </c>
      <c r="C453" s="7" t="s">
        <v>79</v>
      </c>
      <c r="D453" s="13" t="s">
        <v>1146</v>
      </c>
      <c r="E453" s="8" t="s">
        <v>1147</v>
      </c>
      <c r="F453" s="28">
        <v>35004.78</v>
      </c>
      <c r="G453" s="9">
        <v>-35004.78</v>
      </c>
      <c r="H453" s="10">
        <f t="shared" ref="H453:H471" si="43">F453+G453</f>
        <v>0</v>
      </c>
      <c r="I453" s="9">
        <v>0</v>
      </c>
      <c r="K453" s="170">
        <f t="shared" ref="K453:K471" si="44">SUM(H453:J453)</f>
        <v>0</v>
      </c>
      <c r="L453" s="170"/>
      <c r="M453" s="170"/>
      <c r="O453" s="7"/>
    </row>
    <row r="454" spans="1:20" outlineLevel="2">
      <c r="A454" s="7">
        <f t="shared" si="31"/>
        <v>449</v>
      </c>
      <c r="B454" s="7" t="s">
        <v>31</v>
      </c>
      <c r="C454" s="7" t="s">
        <v>79</v>
      </c>
      <c r="D454" s="13" t="s">
        <v>1148</v>
      </c>
      <c r="E454" s="8" t="s">
        <v>1149</v>
      </c>
      <c r="F454" s="203">
        <v>3077347.65</v>
      </c>
      <c r="G454" s="9">
        <v>-630455</v>
      </c>
      <c r="H454" s="10">
        <f t="shared" si="43"/>
        <v>2446892.65</v>
      </c>
      <c r="I454" s="9">
        <v>0</v>
      </c>
      <c r="K454" s="170">
        <f t="shared" si="44"/>
        <v>2446892.65</v>
      </c>
      <c r="L454" s="170"/>
      <c r="M454" s="170"/>
      <c r="N454" s="8"/>
      <c r="O454" s="7"/>
      <c r="Q454" s="11"/>
    </row>
    <row r="455" spans="1:20" outlineLevel="2">
      <c r="A455" s="7">
        <f t="shared" si="31"/>
        <v>450</v>
      </c>
      <c r="B455" s="7" t="s">
        <v>31</v>
      </c>
      <c r="C455" s="7" t="s">
        <v>79</v>
      </c>
      <c r="D455" s="13" t="s">
        <v>1150</v>
      </c>
      <c r="E455" s="8" t="s">
        <v>1151</v>
      </c>
      <c r="F455" s="28">
        <v>193365.72</v>
      </c>
      <c r="G455" s="9">
        <v>0</v>
      </c>
      <c r="H455" s="10">
        <f t="shared" si="43"/>
        <v>193365.72</v>
      </c>
      <c r="I455" s="9">
        <v>0</v>
      </c>
      <c r="K455" s="170">
        <f t="shared" si="44"/>
        <v>193365.72</v>
      </c>
      <c r="L455" s="170"/>
      <c r="M455" s="170"/>
      <c r="O455" s="7"/>
      <c r="Q455" s="11"/>
    </row>
    <row r="456" spans="1:20" outlineLevel="2">
      <c r="A456" s="7">
        <f t="shared" si="31"/>
        <v>451</v>
      </c>
      <c r="B456" s="7" t="s">
        <v>31</v>
      </c>
      <c r="C456" s="7" t="s">
        <v>79</v>
      </c>
      <c r="D456" s="13" t="s">
        <v>1152</v>
      </c>
      <c r="E456" s="8" t="s">
        <v>1153</v>
      </c>
      <c r="F456" s="203">
        <f>5303858.2+58916.37</f>
        <v>5362774.57</v>
      </c>
      <c r="G456" s="9">
        <v>-151625.18</v>
      </c>
      <c r="H456" s="10">
        <f t="shared" si="43"/>
        <v>5211149.3900000006</v>
      </c>
      <c r="I456" s="9">
        <v>0</v>
      </c>
      <c r="K456" s="170">
        <f t="shared" si="44"/>
        <v>5211149.3900000006</v>
      </c>
      <c r="L456" s="170"/>
      <c r="M456" s="170"/>
      <c r="N456" s="8"/>
      <c r="O456" s="7"/>
      <c r="Q456" s="11"/>
    </row>
    <row r="457" spans="1:20" outlineLevel="2">
      <c r="A457" s="7">
        <f t="shared" ref="A457:A520" si="45">A456+1</f>
        <v>452</v>
      </c>
      <c r="B457" s="7" t="s">
        <v>31</v>
      </c>
      <c r="C457" s="7" t="s">
        <v>79</v>
      </c>
      <c r="D457" s="13" t="s">
        <v>1154</v>
      </c>
      <c r="E457" s="8" t="s">
        <v>1155</v>
      </c>
      <c r="F457" s="203">
        <v>13357070.869999999</v>
      </c>
      <c r="G457" s="9">
        <v>0</v>
      </c>
      <c r="H457" s="10">
        <f t="shared" si="43"/>
        <v>13357070.869999999</v>
      </c>
      <c r="I457" s="9">
        <v>0</v>
      </c>
      <c r="K457" s="170">
        <f t="shared" si="44"/>
        <v>13357070.869999999</v>
      </c>
      <c r="L457" s="170"/>
      <c r="M457" s="170"/>
      <c r="O457" s="7"/>
      <c r="Q457" s="11"/>
    </row>
    <row r="458" spans="1:20" outlineLevel="2">
      <c r="A458" s="7">
        <f t="shared" si="45"/>
        <v>453</v>
      </c>
      <c r="B458" s="7" t="s">
        <v>31</v>
      </c>
      <c r="C458" s="7" t="s">
        <v>79</v>
      </c>
      <c r="D458" s="13" t="s">
        <v>1156</v>
      </c>
      <c r="E458" s="8" t="s">
        <v>1157</v>
      </c>
      <c r="F458" s="203">
        <v>4826391.43</v>
      </c>
      <c r="G458" s="9">
        <v>-346142</v>
      </c>
      <c r="H458" s="10">
        <f t="shared" si="43"/>
        <v>4480249.43</v>
      </c>
      <c r="I458" s="9">
        <v>0</v>
      </c>
      <c r="K458" s="170">
        <f t="shared" si="44"/>
        <v>4480249.43</v>
      </c>
      <c r="L458" s="170"/>
      <c r="M458" s="170"/>
      <c r="N458" s="8"/>
      <c r="O458" s="7"/>
      <c r="Q458" s="11"/>
      <c r="T458" s="19"/>
    </row>
    <row r="459" spans="1:20" outlineLevel="2">
      <c r="A459" s="7">
        <f t="shared" si="45"/>
        <v>454</v>
      </c>
      <c r="B459" s="7" t="s">
        <v>31</v>
      </c>
      <c r="C459" s="7" t="s">
        <v>79</v>
      </c>
      <c r="D459" s="13" t="s">
        <v>1158</v>
      </c>
      <c r="E459" s="8" t="s">
        <v>1159</v>
      </c>
      <c r="F459" s="203">
        <v>8470403.9499999993</v>
      </c>
      <c r="G459" s="9">
        <v>0</v>
      </c>
      <c r="H459" s="10">
        <f t="shared" si="43"/>
        <v>8470403.9499999993</v>
      </c>
      <c r="I459" s="9">
        <v>0</v>
      </c>
      <c r="K459" s="170">
        <f t="shared" si="44"/>
        <v>8470403.9499999993</v>
      </c>
      <c r="L459" s="170"/>
      <c r="M459" s="170"/>
      <c r="O459" s="7"/>
      <c r="Q459" s="11"/>
    </row>
    <row r="460" spans="1:20" outlineLevel="2">
      <c r="A460" s="7">
        <f t="shared" si="45"/>
        <v>455</v>
      </c>
      <c r="B460" s="7" t="s">
        <v>31</v>
      </c>
      <c r="C460" s="7" t="s">
        <v>79</v>
      </c>
      <c r="D460" s="13" t="s">
        <v>1160</v>
      </c>
      <c r="E460" s="8" t="s">
        <v>1161</v>
      </c>
      <c r="F460" s="203">
        <v>120922.23</v>
      </c>
      <c r="G460" s="9">
        <v>0</v>
      </c>
      <c r="H460" s="10">
        <f t="shared" si="43"/>
        <v>120922.23</v>
      </c>
      <c r="I460" s="9">
        <v>0</v>
      </c>
      <c r="K460" s="170">
        <f t="shared" si="44"/>
        <v>120922.23</v>
      </c>
      <c r="L460" s="170"/>
      <c r="M460" s="170"/>
      <c r="N460" s="8"/>
      <c r="O460" s="7"/>
      <c r="Q460" s="11"/>
    </row>
    <row r="461" spans="1:20" outlineLevel="2">
      <c r="A461" s="7">
        <f t="shared" si="45"/>
        <v>456</v>
      </c>
      <c r="B461" s="7" t="s">
        <v>31</v>
      </c>
      <c r="C461" s="7" t="s">
        <v>79</v>
      </c>
      <c r="D461" s="13" t="s">
        <v>1162</v>
      </c>
      <c r="E461" s="8" t="s">
        <v>1163</v>
      </c>
      <c r="F461" s="203">
        <v>12264623.49</v>
      </c>
      <c r="G461" s="9">
        <v>-62475.4</v>
      </c>
      <c r="H461" s="10">
        <f t="shared" si="43"/>
        <v>12202148.09</v>
      </c>
      <c r="I461" s="9">
        <v>0</v>
      </c>
      <c r="K461" s="170">
        <f t="shared" si="44"/>
        <v>12202148.09</v>
      </c>
      <c r="L461" s="170"/>
      <c r="M461" s="170"/>
      <c r="N461" s="8"/>
      <c r="O461" s="7"/>
      <c r="Q461" s="11"/>
    </row>
    <row r="462" spans="1:20" outlineLevel="2">
      <c r="A462" s="7">
        <f t="shared" si="45"/>
        <v>457</v>
      </c>
      <c r="B462" s="7" t="s">
        <v>31</v>
      </c>
      <c r="C462" s="7" t="s">
        <v>79</v>
      </c>
      <c r="D462" s="13" t="s">
        <v>1164</v>
      </c>
      <c r="E462" s="8" t="s">
        <v>1165</v>
      </c>
      <c r="F462" s="203">
        <v>364666.79</v>
      </c>
      <c r="G462" s="9">
        <v>0</v>
      </c>
      <c r="H462" s="10">
        <f t="shared" si="43"/>
        <v>364666.79</v>
      </c>
      <c r="I462" s="9">
        <v>0</v>
      </c>
      <c r="K462" s="170">
        <f t="shared" si="44"/>
        <v>364666.79</v>
      </c>
      <c r="L462" s="170"/>
      <c r="M462" s="170"/>
      <c r="N462" s="8"/>
      <c r="O462" s="7"/>
      <c r="Q462" s="11"/>
    </row>
    <row r="463" spans="1:20" outlineLevel="2">
      <c r="A463" s="7">
        <f t="shared" si="45"/>
        <v>458</v>
      </c>
      <c r="B463" s="7" t="s">
        <v>31</v>
      </c>
      <c r="C463" s="7" t="s">
        <v>79</v>
      </c>
      <c r="D463" s="13" t="s">
        <v>1166</v>
      </c>
      <c r="E463" s="8" t="s">
        <v>1167</v>
      </c>
      <c r="F463" s="203">
        <v>1895701.8</v>
      </c>
      <c r="G463" s="9">
        <v>0</v>
      </c>
      <c r="H463" s="10">
        <f t="shared" si="43"/>
        <v>1895701.8</v>
      </c>
      <c r="I463" s="9">
        <v>0</v>
      </c>
      <c r="K463" s="170">
        <f t="shared" si="44"/>
        <v>1895701.8</v>
      </c>
      <c r="L463" s="170"/>
      <c r="M463" s="170"/>
      <c r="O463" s="7"/>
      <c r="Q463" s="11"/>
    </row>
    <row r="464" spans="1:20" outlineLevel="2">
      <c r="A464" s="7">
        <f t="shared" si="45"/>
        <v>459</v>
      </c>
      <c r="B464" s="7" t="s">
        <v>31</v>
      </c>
      <c r="C464" s="7" t="s">
        <v>79</v>
      </c>
      <c r="D464" s="13" t="s">
        <v>1168</v>
      </c>
      <c r="E464" s="8" t="s">
        <v>1169</v>
      </c>
      <c r="F464" s="203">
        <v>250628.78</v>
      </c>
      <c r="G464" s="9">
        <v>-250628.78</v>
      </c>
      <c r="H464" s="10">
        <f t="shared" si="43"/>
        <v>0</v>
      </c>
      <c r="I464" s="9">
        <v>0</v>
      </c>
      <c r="K464" s="170">
        <f t="shared" si="44"/>
        <v>0</v>
      </c>
      <c r="L464" s="170"/>
      <c r="M464" s="170"/>
      <c r="N464" s="8"/>
      <c r="O464" s="7"/>
      <c r="Q464" s="11"/>
    </row>
    <row r="465" spans="1:17" outlineLevel="2">
      <c r="A465" s="7">
        <f t="shared" si="45"/>
        <v>460</v>
      </c>
      <c r="B465" s="7" t="s">
        <v>31</v>
      </c>
      <c r="C465" s="7" t="s">
        <v>79</v>
      </c>
      <c r="D465" s="13" t="s">
        <v>1170</v>
      </c>
      <c r="E465" s="8" t="s">
        <v>1171</v>
      </c>
      <c r="F465" s="203">
        <v>3439326.98</v>
      </c>
      <c r="G465" s="9">
        <v>-1380449</v>
      </c>
      <c r="H465" s="10">
        <f t="shared" si="43"/>
        <v>2058877.98</v>
      </c>
      <c r="I465" s="9">
        <v>0</v>
      </c>
      <c r="K465" s="170">
        <f t="shared" si="44"/>
        <v>2058877.98</v>
      </c>
      <c r="L465" s="170"/>
      <c r="M465" s="170"/>
      <c r="N465" s="8"/>
      <c r="O465" s="7"/>
      <c r="Q465" s="11"/>
    </row>
    <row r="466" spans="1:17" outlineLevel="2">
      <c r="A466" s="7">
        <f t="shared" si="45"/>
        <v>461</v>
      </c>
      <c r="B466" s="7" t="s">
        <v>31</v>
      </c>
      <c r="C466" s="7" t="s">
        <v>79</v>
      </c>
      <c r="D466" s="13" t="s">
        <v>1172</v>
      </c>
      <c r="E466" s="8" t="s">
        <v>1173</v>
      </c>
      <c r="F466" s="203">
        <v>4043804.21</v>
      </c>
      <c r="G466" s="9">
        <v>-4043804.41</v>
      </c>
      <c r="H466" s="10">
        <f t="shared" si="43"/>
        <v>-0.20000000018626451</v>
      </c>
      <c r="I466" s="9">
        <v>0</v>
      </c>
      <c r="K466" s="170">
        <f t="shared" si="44"/>
        <v>-0.20000000018626451</v>
      </c>
      <c r="L466" s="170"/>
      <c r="M466" s="170"/>
      <c r="N466" s="8"/>
      <c r="O466" s="7"/>
      <c r="Q466" s="11"/>
    </row>
    <row r="467" spans="1:17" outlineLevel="2">
      <c r="A467" s="7">
        <f t="shared" si="45"/>
        <v>462</v>
      </c>
      <c r="B467" s="7" t="s">
        <v>31</v>
      </c>
      <c r="C467" s="7" t="s">
        <v>79</v>
      </c>
      <c r="D467" s="13" t="s">
        <v>1174</v>
      </c>
      <c r="E467" s="8" t="s">
        <v>1175</v>
      </c>
      <c r="F467" s="203">
        <v>5673892.7999999998</v>
      </c>
      <c r="G467" s="9">
        <v>-169696</v>
      </c>
      <c r="H467" s="10">
        <f t="shared" si="43"/>
        <v>5504196.7999999998</v>
      </c>
      <c r="I467" s="9">
        <v>0</v>
      </c>
      <c r="K467" s="170">
        <f t="shared" si="44"/>
        <v>5504196.7999999998</v>
      </c>
      <c r="L467" s="170"/>
      <c r="M467" s="170"/>
      <c r="N467" s="8"/>
      <c r="O467" s="7"/>
      <c r="Q467" s="11"/>
    </row>
    <row r="468" spans="1:17" outlineLevel="2">
      <c r="A468" s="7">
        <f t="shared" si="45"/>
        <v>463</v>
      </c>
      <c r="B468" s="7" t="s">
        <v>31</v>
      </c>
      <c r="C468" s="7" t="s">
        <v>79</v>
      </c>
      <c r="D468" s="13" t="s">
        <v>1176</v>
      </c>
      <c r="E468" s="8" t="s">
        <v>1177</v>
      </c>
      <c r="F468" s="203">
        <v>166305.57999999999</v>
      </c>
      <c r="G468" s="9">
        <v>0</v>
      </c>
      <c r="H468" s="10">
        <f t="shared" si="43"/>
        <v>166305.57999999999</v>
      </c>
      <c r="I468" s="9">
        <v>0</v>
      </c>
      <c r="K468" s="170">
        <f t="shared" si="44"/>
        <v>166305.57999999999</v>
      </c>
      <c r="L468" s="170"/>
      <c r="M468" s="170"/>
      <c r="O468" s="7"/>
      <c r="Q468" s="11"/>
    </row>
    <row r="469" spans="1:17" outlineLevel="2">
      <c r="A469" s="7">
        <f t="shared" si="45"/>
        <v>464</v>
      </c>
      <c r="B469" s="7" t="s">
        <v>31</v>
      </c>
      <c r="C469" s="7" t="s">
        <v>79</v>
      </c>
      <c r="D469" s="13" t="s">
        <v>1178</v>
      </c>
      <c r="E469" s="8" t="s">
        <v>1179</v>
      </c>
      <c r="F469" s="203">
        <v>50120.56</v>
      </c>
      <c r="G469" s="9">
        <v>0</v>
      </c>
      <c r="H469" s="10">
        <f t="shared" si="43"/>
        <v>50120.56</v>
      </c>
      <c r="I469" s="9">
        <v>0</v>
      </c>
      <c r="K469" s="170">
        <f t="shared" si="44"/>
        <v>50120.56</v>
      </c>
      <c r="L469" s="170"/>
      <c r="M469" s="170"/>
      <c r="O469" s="7"/>
      <c r="Q469" s="11"/>
    </row>
    <row r="470" spans="1:17" outlineLevel="2">
      <c r="A470" s="7">
        <f t="shared" si="45"/>
        <v>465</v>
      </c>
      <c r="B470" s="7" t="s">
        <v>31</v>
      </c>
      <c r="C470" s="7" t="s">
        <v>79</v>
      </c>
      <c r="D470" s="13" t="s">
        <v>1180</v>
      </c>
      <c r="E470" s="8" t="s">
        <v>1181</v>
      </c>
      <c r="F470" s="203">
        <v>40859.629999999997</v>
      </c>
      <c r="G470" s="9">
        <v>0</v>
      </c>
      <c r="H470" s="10">
        <f t="shared" si="43"/>
        <v>40859.629999999997</v>
      </c>
      <c r="I470" s="9">
        <v>0</v>
      </c>
      <c r="K470" s="170">
        <f t="shared" si="44"/>
        <v>40859.629999999997</v>
      </c>
      <c r="L470" s="170"/>
      <c r="M470" s="170"/>
      <c r="O470" s="7"/>
      <c r="Q470" s="11"/>
    </row>
    <row r="471" spans="1:17" outlineLevel="2">
      <c r="A471" s="7">
        <f t="shared" si="45"/>
        <v>466</v>
      </c>
      <c r="B471" s="7" t="s">
        <v>31</v>
      </c>
      <c r="C471" s="7" t="s">
        <v>79</v>
      </c>
      <c r="D471" s="13" t="s">
        <v>1182</v>
      </c>
      <c r="E471" s="8" t="s">
        <v>1183</v>
      </c>
      <c r="F471" s="203">
        <v>109910.18</v>
      </c>
      <c r="G471" s="9">
        <v>-54082.99</v>
      </c>
      <c r="H471" s="10">
        <f t="shared" si="43"/>
        <v>55827.189999999995</v>
      </c>
      <c r="I471" s="9">
        <v>0</v>
      </c>
      <c r="K471" s="170">
        <f t="shared" si="44"/>
        <v>55827.189999999995</v>
      </c>
      <c r="L471" s="170"/>
      <c r="M471" s="170"/>
      <c r="N471" s="8"/>
      <c r="O471" s="7"/>
      <c r="Q471" s="11"/>
    </row>
    <row r="472" spans="1:17" s="4" customFormat="1" ht="13.5" outlineLevel="1" thickBot="1">
      <c r="A472" s="7">
        <f t="shared" si="45"/>
        <v>467</v>
      </c>
      <c r="B472" s="3" t="s">
        <v>31</v>
      </c>
      <c r="C472" s="14" t="s">
        <v>712</v>
      </c>
      <c r="D472" s="15"/>
      <c r="E472" s="16" t="s">
        <v>713</v>
      </c>
      <c r="F472" s="206">
        <f t="shared" ref="F472:K472" si="46">SUM(F453:F471)</f>
        <v>63743121.999999993</v>
      </c>
      <c r="G472" s="206">
        <f t="shared" si="46"/>
        <v>-7124363.54</v>
      </c>
      <c r="H472" s="206">
        <f t="shared" si="46"/>
        <v>56618758.459999986</v>
      </c>
      <c r="I472" s="140">
        <f t="shared" si="46"/>
        <v>0</v>
      </c>
      <c r="J472" s="140">
        <f t="shared" si="46"/>
        <v>0</v>
      </c>
      <c r="K472" s="140">
        <f t="shared" si="46"/>
        <v>56618758.459999986</v>
      </c>
      <c r="L472" s="171"/>
      <c r="M472" s="171"/>
      <c r="N472" s="17"/>
      <c r="O472" s="3"/>
      <c r="P472" s="3"/>
      <c r="Q472" s="5"/>
    </row>
    <row r="473" spans="1:17" ht="13.5" outlineLevel="2" thickTop="1">
      <c r="A473" s="7">
        <f t="shared" si="45"/>
        <v>468</v>
      </c>
      <c r="B473" s="7" t="s">
        <v>727</v>
      </c>
      <c r="C473" s="7" t="s">
        <v>714</v>
      </c>
      <c r="D473" s="13" t="s">
        <v>728</v>
      </c>
      <c r="E473" s="8" t="s">
        <v>729</v>
      </c>
      <c r="F473" s="203">
        <f>8407258.68*0.5</f>
        <v>4203629.34</v>
      </c>
      <c r="G473" s="9">
        <v>0</v>
      </c>
      <c r="H473" s="10">
        <f t="shared" ref="H473" si="47">F473+G473</f>
        <v>4203629.34</v>
      </c>
      <c r="I473" s="9">
        <v>0</v>
      </c>
      <c r="K473" s="170">
        <f t="shared" ref="K473" si="48">SUM(H473:J473)</f>
        <v>4203629.34</v>
      </c>
      <c r="L473" s="170"/>
      <c r="M473" s="170"/>
      <c r="O473" s="7"/>
      <c r="Q473" s="11"/>
    </row>
    <row r="474" spans="1:17" outlineLevel="2">
      <c r="A474" s="7">
        <f t="shared" si="45"/>
        <v>469</v>
      </c>
      <c r="B474" s="7" t="s">
        <v>31</v>
      </c>
      <c r="C474" s="7" t="s">
        <v>714</v>
      </c>
      <c r="D474" s="13" t="s">
        <v>1184</v>
      </c>
      <c r="E474" s="8" t="s">
        <v>1185</v>
      </c>
      <c r="F474" s="203">
        <v>493999.14</v>
      </c>
      <c r="G474" s="9">
        <v>0</v>
      </c>
      <c r="H474" s="10">
        <f>F474+G474</f>
        <v>493999.14</v>
      </c>
      <c r="I474" s="9">
        <v>0</v>
      </c>
      <c r="K474" s="170">
        <f>SUM(H474:J474)</f>
        <v>493999.14</v>
      </c>
      <c r="L474" s="170"/>
      <c r="M474" s="170"/>
      <c r="O474" s="7"/>
      <c r="Q474" s="11"/>
    </row>
    <row r="475" spans="1:17" outlineLevel="2">
      <c r="A475" s="7">
        <f t="shared" si="45"/>
        <v>470</v>
      </c>
      <c r="B475" s="7" t="s">
        <v>31</v>
      </c>
      <c r="C475" s="7" t="s">
        <v>714</v>
      </c>
      <c r="D475" s="13" t="s">
        <v>1186</v>
      </c>
      <c r="E475" s="8" t="s">
        <v>1187</v>
      </c>
      <c r="F475" s="203">
        <v>1328277.6599999999</v>
      </c>
      <c r="G475" s="9">
        <v>0</v>
      </c>
      <c r="H475" s="10">
        <f>F475+G475</f>
        <v>1328277.6599999999</v>
      </c>
      <c r="I475" s="9">
        <v>0</v>
      </c>
      <c r="K475" s="170">
        <f>SUM(H475:J475)</f>
        <v>1328277.6599999999</v>
      </c>
      <c r="L475" s="170"/>
      <c r="M475" s="170"/>
      <c r="O475" s="7"/>
      <c r="Q475" s="11"/>
    </row>
    <row r="476" spans="1:17" s="4" customFormat="1" ht="13.5" outlineLevel="1" thickBot="1">
      <c r="A476" s="7">
        <f t="shared" si="45"/>
        <v>471</v>
      </c>
      <c r="B476" s="3" t="s">
        <v>31</v>
      </c>
      <c r="C476" s="14" t="s">
        <v>752</v>
      </c>
      <c r="D476" s="15"/>
      <c r="E476" s="16" t="s">
        <v>753</v>
      </c>
      <c r="F476" s="26">
        <f>SUM(F473:F475)</f>
        <v>6025906.1399999997</v>
      </c>
      <c r="G476" s="26">
        <f t="shared" ref="G476:K476" si="49">SUM(G473:G475)</f>
        <v>0</v>
      </c>
      <c r="H476" s="26">
        <f t="shared" si="49"/>
        <v>6025906.1399999997</v>
      </c>
      <c r="I476" s="139">
        <f t="shared" si="49"/>
        <v>0</v>
      </c>
      <c r="J476" s="139">
        <f t="shared" si="49"/>
        <v>0</v>
      </c>
      <c r="K476" s="139">
        <f t="shared" si="49"/>
        <v>6025906.1399999997</v>
      </c>
      <c r="L476" s="171"/>
      <c r="M476" s="171"/>
      <c r="N476" s="17"/>
      <c r="O476" s="3"/>
      <c r="P476" s="3"/>
      <c r="Q476" s="5"/>
    </row>
    <row r="477" spans="1:17" ht="13.5" outlineLevel="2" thickTop="1">
      <c r="A477" s="7">
        <f t="shared" si="45"/>
        <v>472</v>
      </c>
      <c r="B477" s="7" t="s">
        <v>31</v>
      </c>
      <c r="C477" s="7" t="s">
        <v>763</v>
      </c>
      <c r="D477" s="13" t="s">
        <v>1188</v>
      </c>
      <c r="E477" s="8" t="s">
        <v>1189</v>
      </c>
      <c r="F477" s="28">
        <v>814665.16</v>
      </c>
      <c r="G477" s="9">
        <v>0</v>
      </c>
      <c r="H477" s="10">
        <f t="shared" ref="H477:H503" si="50">F477+G477</f>
        <v>814665.16</v>
      </c>
      <c r="I477" s="9">
        <v>0</v>
      </c>
      <c r="K477" s="170">
        <f t="shared" ref="K477:K503" si="51">SUM(H477:J477)</f>
        <v>814665.16</v>
      </c>
      <c r="L477" s="170"/>
      <c r="M477" s="170"/>
      <c r="O477" s="7"/>
      <c r="Q477" s="11"/>
    </row>
    <row r="478" spans="1:17" outlineLevel="2">
      <c r="A478" s="7">
        <f t="shared" si="45"/>
        <v>473</v>
      </c>
      <c r="B478" s="7" t="s">
        <v>31</v>
      </c>
      <c r="C478" s="7" t="s">
        <v>803</v>
      </c>
      <c r="D478" s="13" t="s">
        <v>1190</v>
      </c>
      <c r="E478" s="8" t="s">
        <v>1191</v>
      </c>
      <c r="F478" s="28">
        <v>175877.16</v>
      </c>
      <c r="G478" s="9">
        <v>0</v>
      </c>
      <c r="H478" s="10">
        <f t="shared" si="50"/>
        <v>175877.16</v>
      </c>
      <c r="I478" s="9">
        <f t="shared" ref="I478:I503" si="52">-(F478*$N$284)</f>
        <v>-56192.752619999999</v>
      </c>
      <c r="K478" s="170">
        <f t="shared" si="51"/>
        <v>119684.40738</v>
      </c>
      <c r="L478" s="170"/>
      <c r="M478" s="170"/>
      <c r="O478" s="7"/>
      <c r="Q478" s="11"/>
    </row>
    <row r="479" spans="1:17" outlineLevel="2">
      <c r="A479" s="7">
        <f t="shared" si="45"/>
        <v>474</v>
      </c>
      <c r="B479" s="7" t="s">
        <v>31</v>
      </c>
      <c r="C479" s="7" t="s">
        <v>803</v>
      </c>
      <c r="D479" s="13" t="s">
        <v>1192</v>
      </c>
      <c r="E479" s="8" t="s">
        <v>1193</v>
      </c>
      <c r="F479" s="28">
        <v>149227.87</v>
      </c>
      <c r="G479" s="9">
        <v>0</v>
      </c>
      <c r="H479" s="10">
        <f t="shared" si="50"/>
        <v>149227.87</v>
      </c>
      <c r="I479" s="9">
        <f t="shared" si="52"/>
        <v>-47678.304465000001</v>
      </c>
      <c r="K479" s="170">
        <f t="shared" si="51"/>
        <v>101549.565535</v>
      </c>
      <c r="L479" s="170"/>
      <c r="M479" s="170"/>
      <c r="O479" s="7"/>
      <c r="Q479" s="11"/>
    </row>
    <row r="480" spans="1:17" outlineLevel="2">
      <c r="A480" s="7">
        <f t="shared" si="45"/>
        <v>475</v>
      </c>
      <c r="B480" s="7" t="s">
        <v>31</v>
      </c>
      <c r="C480" s="7" t="s">
        <v>803</v>
      </c>
      <c r="D480" s="13" t="s">
        <v>1194</v>
      </c>
      <c r="E480" s="8" t="s">
        <v>1195</v>
      </c>
      <c r="F480" s="28">
        <v>284048.28000000003</v>
      </c>
      <c r="G480" s="9">
        <v>0</v>
      </c>
      <c r="H480" s="10">
        <f t="shared" si="50"/>
        <v>284048.28000000003</v>
      </c>
      <c r="I480" s="9">
        <f t="shared" si="52"/>
        <v>-90753.425460000013</v>
      </c>
      <c r="K480" s="170">
        <f t="shared" si="51"/>
        <v>193294.85454000003</v>
      </c>
      <c r="L480" s="170"/>
      <c r="M480" s="170"/>
      <c r="O480" s="7"/>
      <c r="Q480" s="11"/>
    </row>
    <row r="481" spans="1:17" outlineLevel="2">
      <c r="A481" s="7">
        <f t="shared" si="45"/>
        <v>476</v>
      </c>
      <c r="B481" s="7" t="s">
        <v>31</v>
      </c>
      <c r="C481" s="7" t="s">
        <v>803</v>
      </c>
      <c r="D481" s="13" t="s">
        <v>1196</v>
      </c>
      <c r="E481" s="8" t="s">
        <v>1197</v>
      </c>
      <c r="F481" s="28">
        <v>118577.43</v>
      </c>
      <c r="G481" s="9">
        <v>0</v>
      </c>
      <c r="H481" s="10">
        <f t="shared" si="50"/>
        <v>118577.43</v>
      </c>
      <c r="I481" s="9">
        <f t="shared" si="52"/>
        <v>-37885.488884999999</v>
      </c>
      <c r="K481" s="170">
        <f t="shared" si="51"/>
        <v>80691.941114999994</v>
      </c>
      <c r="L481" s="170"/>
      <c r="M481" s="170"/>
      <c r="O481" s="7"/>
      <c r="Q481" s="11"/>
    </row>
    <row r="482" spans="1:17" outlineLevel="2">
      <c r="A482" s="7">
        <f t="shared" si="45"/>
        <v>477</v>
      </c>
      <c r="B482" s="7" t="s">
        <v>31</v>
      </c>
      <c r="C482" s="7" t="s">
        <v>803</v>
      </c>
      <c r="D482" s="13" t="s">
        <v>1198</v>
      </c>
      <c r="E482" s="8" t="s">
        <v>1199</v>
      </c>
      <c r="F482" s="28">
        <v>809166.16</v>
      </c>
      <c r="G482" s="9">
        <v>0</v>
      </c>
      <c r="H482" s="10">
        <f t="shared" si="50"/>
        <v>809166.16</v>
      </c>
      <c r="I482" s="9">
        <f t="shared" si="52"/>
        <v>-258528.58812000003</v>
      </c>
      <c r="K482" s="170">
        <f t="shared" si="51"/>
        <v>550637.57187999994</v>
      </c>
      <c r="L482" s="170"/>
      <c r="M482" s="170"/>
      <c r="O482" s="7"/>
      <c r="Q482" s="11"/>
    </row>
    <row r="483" spans="1:17" outlineLevel="2">
      <c r="A483" s="7">
        <f t="shared" si="45"/>
        <v>478</v>
      </c>
      <c r="B483" s="7" t="s">
        <v>31</v>
      </c>
      <c r="C483" s="7" t="s">
        <v>803</v>
      </c>
      <c r="D483" s="13" t="s">
        <v>1200</v>
      </c>
      <c r="E483" s="8" t="s">
        <v>1201</v>
      </c>
      <c r="F483" s="28">
        <v>1399.06</v>
      </c>
      <c r="G483" s="9">
        <v>0</v>
      </c>
      <c r="H483" s="10">
        <f t="shared" si="50"/>
        <v>1399.06</v>
      </c>
      <c r="I483" s="9">
        <f t="shared" si="52"/>
        <v>-446.99966999999998</v>
      </c>
      <c r="K483" s="170">
        <f t="shared" si="51"/>
        <v>952.06033000000002</v>
      </c>
      <c r="L483" s="170"/>
      <c r="M483" s="170"/>
      <c r="O483" s="7"/>
    </row>
    <row r="484" spans="1:17" outlineLevel="2">
      <c r="A484" s="7">
        <f t="shared" si="45"/>
        <v>479</v>
      </c>
      <c r="B484" s="7" t="s">
        <v>31</v>
      </c>
      <c r="C484" s="7" t="s">
        <v>803</v>
      </c>
      <c r="D484" s="13" t="s">
        <v>1202</v>
      </c>
      <c r="E484" s="8" t="s">
        <v>1203</v>
      </c>
      <c r="F484" s="28">
        <v>975067.01</v>
      </c>
      <c r="G484" s="9">
        <v>0</v>
      </c>
      <c r="H484" s="10">
        <f t="shared" si="50"/>
        <v>975067.01</v>
      </c>
      <c r="I484" s="9">
        <f t="shared" si="52"/>
        <v>-311533.90969499998</v>
      </c>
      <c r="K484" s="170">
        <f t="shared" si="51"/>
        <v>663533.10030500009</v>
      </c>
      <c r="L484" s="170"/>
      <c r="M484" s="170"/>
      <c r="O484" s="7"/>
      <c r="Q484" s="11"/>
    </row>
    <row r="485" spans="1:17" outlineLevel="2">
      <c r="A485" s="7">
        <f t="shared" si="45"/>
        <v>480</v>
      </c>
      <c r="B485" s="7" t="s">
        <v>31</v>
      </c>
      <c r="C485" s="7" t="s">
        <v>803</v>
      </c>
      <c r="D485" s="13" t="s">
        <v>1204</v>
      </c>
      <c r="E485" s="8" t="s">
        <v>1205</v>
      </c>
      <c r="F485" s="28">
        <v>147652.66</v>
      </c>
      <c r="G485" s="9">
        <v>0</v>
      </c>
      <c r="H485" s="10">
        <f t="shared" si="50"/>
        <v>147652.66</v>
      </c>
      <c r="I485" s="9">
        <f t="shared" si="52"/>
        <v>-47175.024870000001</v>
      </c>
      <c r="K485" s="170">
        <f t="shared" si="51"/>
        <v>100477.63513000001</v>
      </c>
      <c r="L485" s="170"/>
      <c r="M485" s="170"/>
      <c r="O485" s="7"/>
      <c r="Q485" s="11"/>
    </row>
    <row r="486" spans="1:17" outlineLevel="2">
      <c r="A486" s="7">
        <f t="shared" si="45"/>
        <v>481</v>
      </c>
      <c r="B486" s="7" t="s">
        <v>31</v>
      </c>
      <c r="C486" s="7" t="s">
        <v>803</v>
      </c>
      <c r="D486" s="13" t="s">
        <v>1206</v>
      </c>
      <c r="E486" s="8" t="s">
        <v>1207</v>
      </c>
      <c r="F486" s="28">
        <v>228192.25</v>
      </c>
      <c r="G486" s="9">
        <v>0</v>
      </c>
      <c r="H486" s="10">
        <f t="shared" si="50"/>
        <v>228192.25</v>
      </c>
      <c r="I486" s="9">
        <f t="shared" si="52"/>
        <v>-72907.423875000008</v>
      </c>
      <c r="K486" s="170">
        <f t="shared" si="51"/>
        <v>155284.82612499999</v>
      </c>
      <c r="L486" s="170"/>
      <c r="M486" s="170"/>
      <c r="O486" s="7"/>
      <c r="Q486" s="11"/>
    </row>
    <row r="487" spans="1:17" outlineLevel="2">
      <c r="A487" s="7">
        <f t="shared" si="45"/>
        <v>482</v>
      </c>
      <c r="B487" s="7" t="s">
        <v>31</v>
      </c>
      <c r="C487" s="7" t="s">
        <v>803</v>
      </c>
      <c r="D487" s="13" t="s">
        <v>1208</v>
      </c>
      <c r="E487" s="8" t="s">
        <v>1209</v>
      </c>
      <c r="F487" s="28">
        <v>118978.23</v>
      </c>
      <c r="G487" s="9">
        <v>0</v>
      </c>
      <c r="H487" s="10">
        <f t="shared" si="50"/>
        <v>118978.23</v>
      </c>
      <c r="I487" s="9">
        <f t="shared" si="52"/>
        <v>-38013.544484999999</v>
      </c>
      <c r="K487" s="170">
        <f t="shared" si="51"/>
        <v>80964.68551499999</v>
      </c>
      <c r="L487" s="170"/>
      <c r="M487" s="170"/>
      <c r="O487" s="7"/>
      <c r="Q487" s="11"/>
    </row>
    <row r="488" spans="1:17" outlineLevel="2">
      <c r="A488" s="7">
        <f t="shared" si="45"/>
        <v>483</v>
      </c>
      <c r="B488" s="7" t="s">
        <v>31</v>
      </c>
      <c r="C488" s="7" t="s">
        <v>803</v>
      </c>
      <c r="D488" s="13" t="s">
        <v>1210</v>
      </c>
      <c r="E488" s="8" t="s">
        <v>1211</v>
      </c>
      <c r="F488" s="28">
        <v>441926.2</v>
      </c>
      <c r="G488" s="9">
        <v>0</v>
      </c>
      <c r="H488" s="10">
        <f t="shared" si="50"/>
        <v>441926.2</v>
      </c>
      <c r="I488" s="9">
        <f t="shared" si="52"/>
        <v>-141195.4209</v>
      </c>
      <c r="K488" s="170">
        <f t="shared" si="51"/>
        <v>300730.77910000004</v>
      </c>
      <c r="L488" s="170"/>
      <c r="M488" s="170"/>
      <c r="O488" s="7"/>
      <c r="Q488" s="11"/>
    </row>
    <row r="489" spans="1:17" outlineLevel="2">
      <c r="A489" s="7">
        <f t="shared" si="45"/>
        <v>484</v>
      </c>
      <c r="B489" s="7" t="s">
        <v>31</v>
      </c>
      <c r="C489" s="7" t="s">
        <v>803</v>
      </c>
      <c r="D489" s="13" t="s">
        <v>1212</v>
      </c>
      <c r="E489" s="8" t="s">
        <v>1213</v>
      </c>
      <c r="F489" s="28">
        <v>971803.07</v>
      </c>
      <c r="G489" s="9">
        <v>0</v>
      </c>
      <c r="H489" s="10">
        <f t="shared" si="50"/>
        <v>971803.07</v>
      </c>
      <c r="I489" s="9">
        <f t="shared" si="52"/>
        <v>-310491.08086499997</v>
      </c>
      <c r="K489" s="170">
        <f t="shared" si="51"/>
        <v>661311.98913499992</v>
      </c>
      <c r="L489" s="170"/>
      <c r="M489" s="170"/>
      <c r="O489" s="7"/>
      <c r="Q489" s="11"/>
    </row>
    <row r="490" spans="1:17" outlineLevel="2">
      <c r="A490" s="7">
        <f t="shared" si="45"/>
        <v>485</v>
      </c>
      <c r="B490" s="7" t="s">
        <v>31</v>
      </c>
      <c r="C490" s="7" t="s">
        <v>803</v>
      </c>
      <c r="D490" s="13" t="s">
        <v>1214</v>
      </c>
      <c r="E490" s="8" t="s">
        <v>1215</v>
      </c>
      <c r="F490" s="28">
        <v>174925.28</v>
      </c>
      <c r="G490" s="9">
        <v>0</v>
      </c>
      <c r="H490" s="10">
        <f t="shared" si="50"/>
        <v>174925.28</v>
      </c>
      <c r="I490" s="9">
        <f t="shared" si="52"/>
        <v>-55888.626960000001</v>
      </c>
      <c r="K490" s="170">
        <f t="shared" si="51"/>
        <v>119036.65304</v>
      </c>
      <c r="L490" s="170"/>
      <c r="M490" s="170"/>
      <c r="O490" s="7"/>
      <c r="Q490" s="11"/>
    </row>
    <row r="491" spans="1:17" outlineLevel="2">
      <c r="A491" s="7">
        <f t="shared" si="45"/>
        <v>486</v>
      </c>
      <c r="B491" s="7" t="s">
        <v>31</v>
      </c>
      <c r="C491" s="7" t="s">
        <v>803</v>
      </c>
      <c r="D491" s="13" t="s">
        <v>1216</v>
      </c>
      <c r="E491" s="8" t="s">
        <v>1217</v>
      </c>
      <c r="F491" s="28">
        <v>22896.21</v>
      </c>
      <c r="G491" s="9">
        <v>0</v>
      </c>
      <c r="H491" s="10">
        <f t="shared" si="50"/>
        <v>22896.21</v>
      </c>
      <c r="I491" s="9">
        <f t="shared" si="52"/>
        <v>-7315.3390950000003</v>
      </c>
      <c r="K491" s="170">
        <f t="shared" si="51"/>
        <v>15580.870905</v>
      </c>
      <c r="L491" s="170"/>
      <c r="M491" s="170"/>
      <c r="O491" s="7"/>
      <c r="Q491" s="11"/>
    </row>
    <row r="492" spans="1:17" outlineLevel="2">
      <c r="A492" s="7">
        <f t="shared" si="45"/>
        <v>487</v>
      </c>
      <c r="B492" s="7" t="s">
        <v>31</v>
      </c>
      <c r="C492" s="7" t="s">
        <v>803</v>
      </c>
      <c r="D492" s="13" t="s">
        <v>1218</v>
      </c>
      <c r="E492" s="8" t="s">
        <v>1219</v>
      </c>
      <c r="F492" s="28">
        <v>201837.42</v>
      </c>
      <c r="G492" s="9">
        <v>0</v>
      </c>
      <c r="H492" s="10">
        <f>F492+G492</f>
        <v>201837.42</v>
      </c>
      <c r="I492" s="9">
        <f>-(F492*$N$284)</f>
        <v>-64487.055690000008</v>
      </c>
      <c r="K492" s="170">
        <f>SUM(H492:J492)</f>
        <v>137350.36431</v>
      </c>
      <c r="L492" s="170"/>
      <c r="M492" s="170"/>
      <c r="O492" s="7"/>
      <c r="Q492" s="11"/>
    </row>
    <row r="493" spans="1:17" outlineLevel="2">
      <c r="A493" s="7">
        <f t="shared" si="45"/>
        <v>488</v>
      </c>
      <c r="B493" s="7" t="s">
        <v>31</v>
      </c>
      <c r="C493" s="7" t="s">
        <v>803</v>
      </c>
      <c r="D493" s="13" t="s">
        <v>1220</v>
      </c>
      <c r="E493" s="8" t="s">
        <v>1221</v>
      </c>
      <c r="F493" s="28">
        <v>191015.28</v>
      </c>
      <c r="G493" s="9">
        <v>0</v>
      </c>
      <c r="H493" s="10">
        <f t="shared" si="50"/>
        <v>191015.28</v>
      </c>
      <c r="I493" s="9">
        <f t="shared" si="52"/>
        <v>-61029.381959999999</v>
      </c>
      <c r="K493" s="170">
        <f t="shared" si="51"/>
        <v>129985.89804</v>
      </c>
      <c r="L493" s="170"/>
      <c r="M493" s="170"/>
      <c r="O493" s="7"/>
      <c r="Q493" s="11"/>
    </row>
    <row r="494" spans="1:17" outlineLevel="2">
      <c r="A494" s="7">
        <f t="shared" si="45"/>
        <v>489</v>
      </c>
      <c r="B494" s="7" t="s">
        <v>31</v>
      </c>
      <c r="C494" s="7" t="s">
        <v>803</v>
      </c>
      <c r="D494" s="13" t="s">
        <v>1222</v>
      </c>
      <c r="E494" s="8" t="s">
        <v>1223</v>
      </c>
      <c r="F494" s="28">
        <v>240471.92</v>
      </c>
      <c r="G494" s="9">
        <v>0</v>
      </c>
      <c r="H494" s="10">
        <f t="shared" si="50"/>
        <v>240471.92</v>
      </c>
      <c r="I494" s="9">
        <f t="shared" si="52"/>
        <v>-76830.778440000009</v>
      </c>
      <c r="K494" s="170">
        <f t="shared" si="51"/>
        <v>163641.14156000002</v>
      </c>
      <c r="L494" s="170"/>
      <c r="M494" s="170"/>
      <c r="O494" s="7"/>
      <c r="Q494" s="11"/>
    </row>
    <row r="495" spans="1:17" outlineLevel="2">
      <c r="A495" s="7">
        <f t="shared" si="45"/>
        <v>490</v>
      </c>
      <c r="B495" s="7" t="s">
        <v>31</v>
      </c>
      <c r="C495" s="7" t="s">
        <v>803</v>
      </c>
      <c r="D495" s="13" t="s">
        <v>1224</v>
      </c>
      <c r="E495" s="8" t="s">
        <v>1225</v>
      </c>
      <c r="F495" s="28">
        <v>888813.02</v>
      </c>
      <c r="G495" s="9">
        <v>0</v>
      </c>
      <c r="H495" s="10">
        <f t="shared" si="50"/>
        <v>888813.02</v>
      </c>
      <c r="I495" s="9">
        <f t="shared" si="52"/>
        <v>-283975.75988999999</v>
      </c>
      <c r="K495" s="170">
        <f t="shared" si="51"/>
        <v>604837.26011000003</v>
      </c>
      <c r="L495" s="170"/>
      <c r="M495" s="170"/>
      <c r="O495" s="7"/>
      <c r="Q495" s="11"/>
    </row>
    <row r="496" spans="1:17" outlineLevel="2">
      <c r="A496" s="7">
        <f t="shared" si="45"/>
        <v>491</v>
      </c>
      <c r="B496" s="7" t="s">
        <v>31</v>
      </c>
      <c r="C496" s="7" t="s">
        <v>803</v>
      </c>
      <c r="D496" s="13" t="s">
        <v>1226</v>
      </c>
      <c r="E496" s="8" t="s">
        <v>1227</v>
      </c>
      <c r="F496" s="28">
        <v>899120.94</v>
      </c>
      <c r="G496" s="9">
        <v>0</v>
      </c>
      <c r="H496" s="10">
        <f t="shared" si="50"/>
        <v>899120.94</v>
      </c>
      <c r="I496" s="9">
        <f t="shared" si="52"/>
        <v>-287269.14032999997</v>
      </c>
      <c r="K496" s="170">
        <f t="shared" si="51"/>
        <v>611851.79966999998</v>
      </c>
      <c r="L496" s="170"/>
      <c r="M496" s="170"/>
      <c r="O496" s="7"/>
      <c r="Q496" s="11"/>
    </row>
    <row r="497" spans="1:17" outlineLevel="2">
      <c r="A497" s="7">
        <f t="shared" si="45"/>
        <v>492</v>
      </c>
      <c r="B497" s="7" t="s">
        <v>31</v>
      </c>
      <c r="C497" s="7" t="s">
        <v>803</v>
      </c>
      <c r="D497" s="13" t="s">
        <v>1228</v>
      </c>
      <c r="E497" s="8" t="s">
        <v>1229</v>
      </c>
      <c r="F497" s="28">
        <v>303017.27</v>
      </c>
      <c r="G497" s="9">
        <v>0</v>
      </c>
      <c r="H497" s="10">
        <f t="shared" si="50"/>
        <v>303017.27</v>
      </c>
      <c r="I497" s="9">
        <f t="shared" si="52"/>
        <v>-96814.017765000011</v>
      </c>
      <c r="K497" s="170">
        <f t="shared" si="51"/>
        <v>206203.25223500002</v>
      </c>
      <c r="L497" s="170"/>
      <c r="M497" s="170"/>
      <c r="O497" s="7"/>
      <c r="Q497" s="11"/>
    </row>
    <row r="498" spans="1:17" outlineLevel="2">
      <c r="A498" s="7">
        <f t="shared" si="45"/>
        <v>493</v>
      </c>
      <c r="B498" s="7" t="s">
        <v>31</v>
      </c>
      <c r="C498" s="7" t="s">
        <v>803</v>
      </c>
      <c r="D498" s="13" t="s">
        <v>1230</v>
      </c>
      <c r="E498" s="8" t="s">
        <v>1231</v>
      </c>
      <c r="F498" s="28">
        <v>192485.98</v>
      </c>
      <c r="G498" s="9">
        <v>0</v>
      </c>
      <c r="H498" s="10">
        <f t="shared" si="50"/>
        <v>192485.98</v>
      </c>
      <c r="I498" s="9">
        <f t="shared" si="52"/>
        <v>-61499.270610000007</v>
      </c>
      <c r="K498" s="170">
        <f t="shared" si="51"/>
        <v>130986.70939</v>
      </c>
      <c r="L498" s="170"/>
      <c r="M498" s="170"/>
      <c r="O498" s="7"/>
      <c r="Q498" s="11"/>
    </row>
    <row r="499" spans="1:17" outlineLevel="2">
      <c r="A499" s="7">
        <f t="shared" si="45"/>
        <v>494</v>
      </c>
      <c r="B499" s="7" t="s">
        <v>31</v>
      </c>
      <c r="C499" s="7" t="s">
        <v>803</v>
      </c>
      <c r="D499" s="13" t="s">
        <v>1232</v>
      </c>
      <c r="E499" s="8" t="s">
        <v>1233</v>
      </c>
      <c r="F499" s="28">
        <v>256817.3</v>
      </c>
      <c r="G499" s="9">
        <v>0</v>
      </c>
      <c r="H499" s="10">
        <f t="shared" si="50"/>
        <v>256817.3</v>
      </c>
      <c r="I499" s="9">
        <f t="shared" si="52"/>
        <v>-82053.127349999995</v>
      </c>
      <c r="K499" s="170">
        <f t="shared" si="51"/>
        <v>174764.17264999999</v>
      </c>
      <c r="L499" s="170"/>
      <c r="M499" s="170"/>
      <c r="O499" s="7"/>
      <c r="Q499" s="11"/>
    </row>
    <row r="500" spans="1:17" outlineLevel="2">
      <c r="A500" s="7">
        <f t="shared" si="45"/>
        <v>495</v>
      </c>
      <c r="B500" s="7" t="s">
        <v>31</v>
      </c>
      <c r="C500" s="7" t="s">
        <v>803</v>
      </c>
      <c r="D500" s="13" t="s">
        <v>1234</v>
      </c>
      <c r="E500" s="8" t="s">
        <v>1235</v>
      </c>
      <c r="F500" s="28">
        <v>235572.83</v>
      </c>
      <c r="G500" s="9">
        <v>0</v>
      </c>
      <c r="H500" s="10">
        <f t="shared" si="50"/>
        <v>235572.83</v>
      </c>
      <c r="I500" s="9">
        <f t="shared" si="52"/>
        <v>-75265.519184999997</v>
      </c>
      <c r="K500" s="170">
        <f t="shared" si="51"/>
        <v>160307.31081499998</v>
      </c>
      <c r="L500" s="170"/>
      <c r="M500" s="170"/>
      <c r="O500" s="7"/>
      <c r="Q500" s="11"/>
    </row>
    <row r="501" spans="1:17" outlineLevel="2">
      <c r="A501" s="7">
        <f t="shared" si="45"/>
        <v>496</v>
      </c>
      <c r="B501" s="7" t="s">
        <v>31</v>
      </c>
      <c r="C501" s="7" t="s">
        <v>803</v>
      </c>
      <c r="D501" s="13" t="s">
        <v>1236</v>
      </c>
      <c r="E501" s="8" t="s">
        <v>1237</v>
      </c>
      <c r="F501" s="28">
        <v>1237</v>
      </c>
      <c r="G501" s="9">
        <v>0</v>
      </c>
      <c r="H501" s="10">
        <f t="shared" si="50"/>
        <v>1237</v>
      </c>
      <c r="I501" s="9">
        <f t="shared" si="52"/>
        <v>-395.22149999999999</v>
      </c>
      <c r="K501" s="170">
        <f t="shared" si="51"/>
        <v>841.77850000000001</v>
      </c>
      <c r="L501" s="170"/>
      <c r="M501" s="170"/>
      <c r="O501" s="7"/>
      <c r="Q501" s="11"/>
    </row>
    <row r="502" spans="1:17" outlineLevel="2">
      <c r="A502" s="7">
        <f t="shared" si="45"/>
        <v>497</v>
      </c>
      <c r="B502" s="7" t="s">
        <v>31</v>
      </c>
      <c r="C502" s="7" t="s">
        <v>803</v>
      </c>
      <c r="D502" s="13" t="s">
        <v>1238</v>
      </c>
      <c r="E502" s="8" t="s">
        <v>1239</v>
      </c>
      <c r="F502" s="28">
        <v>853380.37</v>
      </c>
      <c r="G502" s="9">
        <v>0</v>
      </c>
      <c r="H502" s="10">
        <f t="shared" si="50"/>
        <v>853380.37</v>
      </c>
      <c r="I502" s="9">
        <f t="shared" si="52"/>
        <v>-272655.028215</v>
      </c>
      <c r="K502" s="170">
        <f t="shared" si="51"/>
        <v>580725.34178499994</v>
      </c>
      <c r="L502" s="170"/>
      <c r="M502" s="170"/>
      <c r="O502" s="7"/>
      <c r="Q502" s="11"/>
    </row>
    <row r="503" spans="1:17" outlineLevel="2">
      <c r="A503" s="7">
        <f t="shared" si="45"/>
        <v>498</v>
      </c>
      <c r="B503" s="7" t="s">
        <v>31</v>
      </c>
      <c r="C503" s="7" t="s">
        <v>803</v>
      </c>
      <c r="D503" s="13" t="s">
        <v>1240</v>
      </c>
      <c r="E503" s="8" t="s">
        <v>1241</v>
      </c>
      <c r="F503" s="28">
        <v>1144166.56</v>
      </c>
      <c r="G503" s="9">
        <v>0</v>
      </c>
      <c r="H503" s="10">
        <f t="shared" si="50"/>
        <v>1144166.56</v>
      </c>
      <c r="I503" s="9">
        <f t="shared" si="52"/>
        <v>-365561.21592000005</v>
      </c>
      <c r="K503" s="170">
        <f t="shared" si="51"/>
        <v>778605.34407999995</v>
      </c>
      <c r="L503" s="170"/>
      <c r="M503" s="170"/>
      <c r="N503" s="22"/>
      <c r="O503" s="7"/>
      <c r="Q503" s="11"/>
    </row>
    <row r="504" spans="1:17" outlineLevel="2">
      <c r="A504" s="7">
        <f t="shared" si="45"/>
        <v>499</v>
      </c>
      <c r="B504" s="7" t="s">
        <v>31</v>
      </c>
      <c r="C504" s="7" t="s">
        <v>803</v>
      </c>
      <c r="D504" s="8" t="s">
        <v>1242</v>
      </c>
      <c r="E504" s="8" t="s">
        <v>1243</v>
      </c>
      <c r="F504" s="28">
        <v>319929.37</v>
      </c>
      <c r="G504" s="9">
        <v>0</v>
      </c>
      <c r="H504" s="10">
        <f t="shared" ref="H504" si="53">F504+G504</f>
        <v>319929.37</v>
      </c>
      <c r="I504" s="9">
        <f t="shared" ref="I504" si="54">-(F504*$N$284)</f>
        <v>-102217.43371500001</v>
      </c>
      <c r="K504" s="170">
        <f t="shared" ref="K504" si="55">SUM(H504:J504)</f>
        <v>217711.936285</v>
      </c>
      <c r="L504" s="170"/>
      <c r="M504" s="170"/>
      <c r="N504" s="8"/>
      <c r="O504" s="7"/>
      <c r="Q504" s="11"/>
    </row>
    <row r="505" spans="1:17" s="4" customFormat="1" ht="13.5" outlineLevel="1" thickBot="1">
      <c r="A505" s="7">
        <f t="shared" si="45"/>
        <v>500</v>
      </c>
      <c r="B505" s="3" t="s">
        <v>31</v>
      </c>
      <c r="C505" s="14" t="s">
        <v>1083</v>
      </c>
      <c r="D505" s="16"/>
      <c r="E505" s="16" t="s">
        <v>1084</v>
      </c>
      <c r="F505" s="26">
        <f t="shared" ref="F505:K505" si="56">SUM(F477:F504)</f>
        <v>11162267.289999999</v>
      </c>
      <c r="G505" s="26">
        <f t="shared" si="56"/>
        <v>0</v>
      </c>
      <c r="H505" s="26">
        <f t="shared" si="56"/>
        <v>11162267.289999999</v>
      </c>
      <c r="I505" s="139">
        <f t="shared" si="56"/>
        <v>-3306058.8805349995</v>
      </c>
      <c r="J505" s="139">
        <f t="shared" si="56"/>
        <v>0</v>
      </c>
      <c r="K505" s="139">
        <f t="shared" si="56"/>
        <v>7856208.409465001</v>
      </c>
      <c r="L505" s="171"/>
      <c r="M505" s="171"/>
      <c r="O505" s="3"/>
      <c r="P505" s="3"/>
      <c r="Q505" s="5"/>
    </row>
    <row r="506" spans="1:17" ht="13.5" outlineLevel="2" thickTop="1">
      <c r="A506" s="7">
        <f t="shared" si="45"/>
        <v>501</v>
      </c>
      <c r="B506" s="7" t="s">
        <v>31</v>
      </c>
      <c r="C506" s="7" t="s">
        <v>1085</v>
      </c>
      <c r="D506" s="13" t="s">
        <v>1244</v>
      </c>
      <c r="E506" s="8" t="s">
        <v>1245</v>
      </c>
      <c r="F506" s="203">
        <v>681601.56</v>
      </c>
      <c r="G506" s="9">
        <v>-681601.56</v>
      </c>
      <c r="H506" s="10">
        <f>F506+G506</f>
        <v>0</v>
      </c>
      <c r="I506" s="9">
        <v>0</v>
      </c>
      <c r="K506" s="170">
        <f>SUM(H506:J506)</f>
        <v>0</v>
      </c>
      <c r="L506" s="170"/>
      <c r="M506" s="170"/>
      <c r="N506" s="457"/>
      <c r="O506" s="7"/>
      <c r="Q506" s="11"/>
    </row>
    <row r="507" spans="1:17" s="4" customFormat="1" ht="13.5" outlineLevel="1" thickBot="1">
      <c r="A507" s="7">
        <f t="shared" si="45"/>
        <v>502</v>
      </c>
      <c r="B507" s="3" t="s">
        <v>31</v>
      </c>
      <c r="C507" s="14" t="s">
        <v>1118</v>
      </c>
      <c r="D507" s="16"/>
      <c r="E507" s="16" t="s">
        <v>1119</v>
      </c>
      <c r="F507" s="26">
        <f>SUM(F506)</f>
        <v>681601.56</v>
      </c>
      <c r="G507" s="26">
        <f t="shared" ref="G507:K507" si="57">SUM(G506)</f>
        <v>-681601.56</v>
      </c>
      <c r="H507" s="26">
        <f t="shared" si="57"/>
        <v>0</v>
      </c>
      <c r="I507" s="139">
        <f t="shared" si="57"/>
        <v>0</v>
      </c>
      <c r="J507" s="139">
        <f t="shared" si="57"/>
        <v>0</v>
      </c>
      <c r="K507" s="139">
        <f t="shared" si="57"/>
        <v>0</v>
      </c>
      <c r="L507" s="171"/>
      <c r="M507" s="171"/>
      <c r="N507" s="17"/>
      <c r="O507" s="3"/>
      <c r="P507" s="3"/>
      <c r="Q507" s="5"/>
    </row>
    <row r="508" spans="1:17" s="3" customFormat="1" ht="14" thickTop="1" thickBot="1">
      <c r="A508" s="7">
        <f t="shared" si="45"/>
        <v>503</v>
      </c>
      <c r="B508" s="3" t="s">
        <v>31</v>
      </c>
      <c r="C508" s="80" t="s">
        <v>1120</v>
      </c>
      <c r="D508" s="81"/>
      <c r="E508" s="81" t="s">
        <v>1246</v>
      </c>
      <c r="F508" s="207">
        <f t="shared" ref="F508:K508" si="58">F452+F472+F476+F505+F507</f>
        <v>159638016.91999999</v>
      </c>
      <c r="G508" s="207">
        <f t="shared" si="58"/>
        <v>-8382054.7699999996</v>
      </c>
      <c r="H508" s="207">
        <f t="shared" si="58"/>
        <v>151255962.14999995</v>
      </c>
      <c r="I508" s="141">
        <f t="shared" si="58"/>
        <v>-3306058.8805349995</v>
      </c>
      <c r="J508" s="141">
        <f t="shared" si="58"/>
        <v>0</v>
      </c>
      <c r="K508" s="141">
        <f t="shared" si="58"/>
        <v>147949903.26946497</v>
      </c>
      <c r="L508" s="173"/>
      <c r="M508" s="173"/>
      <c r="N508" s="5"/>
    </row>
    <row r="509" spans="1:17" ht="13.5" outlineLevel="2" thickTop="1">
      <c r="A509" s="7">
        <f t="shared" si="45"/>
        <v>504</v>
      </c>
      <c r="B509" s="7" t="s">
        <v>27</v>
      </c>
      <c r="C509" s="7" t="s">
        <v>1247</v>
      </c>
      <c r="D509" s="13" t="s">
        <v>1248</v>
      </c>
      <c r="E509" s="8" t="s">
        <v>1249</v>
      </c>
      <c r="F509" s="28">
        <v>19890751.77</v>
      </c>
      <c r="G509" s="9">
        <v>0</v>
      </c>
      <c r="H509" s="10">
        <f>F509+G509</f>
        <v>19890751.77</v>
      </c>
      <c r="I509" s="9">
        <v>0</v>
      </c>
      <c r="K509" s="170">
        <f>SUM(H509:J509)</f>
        <v>19890751.77</v>
      </c>
      <c r="L509" s="172"/>
      <c r="M509" s="172"/>
      <c r="N509" s="8"/>
      <c r="O509" s="7"/>
      <c r="Q509" s="11"/>
    </row>
    <row r="510" spans="1:17" outlineLevel="2">
      <c r="A510" s="7">
        <f t="shared" si="45"/>
        <v>505</v>
      </c>
      <c r="B510" s="7" t="s">
        <v>27</v>
      </c>
      <c r="C510" s="7" t="s">
        <v>1247</v>
      </c>
      <c r="D510" s="457" t="s">
        <v>1248</v>
      </c>
      <c r="E510" s="8" t="s">
        <v>1250</v>
      </c>
      <c r="F510" s="28">
        <v>3832627.63</v>
      </c>
      <c r="G510" s="9">
        <v>0</v>
      </c>
      <c r="H510" s="10">
        <f>F510+G510</f>
        <v>3832627.63</v>
      </c>
      <c r="I510" s="9">
        <v>0</v>
      </c>
      <c r="K510" s="170">
        <f>SUM(H510:J510)</f>
        <v>3832627.63</v>
      </c>
      <c r="L510" s="172"/>
      <c r="M510" s="172"/>
      <c r="N510" s="8"/>
      <c r="O510" s="7"/>
      <c r="Q510" s="11"/>
    </row>
    <row r="511" spans="1:17" s="4" customFormat="1" ht="13.5" outlineLevel="1" thickBot="1">
      <c r="A511" s="7">
        <f t="shared" si="45"/>
        <v>506</v>
      </c>
      <c r="B511" s="3" t="s">
        <v>27</v>
      </c>
      <c r="C511" s="14" t="s">
        <v>1251</v>
      </c>
      <c r="D511" s="23"/>
      <c r="E511" s="16" t="s">
        <v>1252</v>
      </c>
      <c r="F511" s="26">
        <f>SUM(F509:F510)</f>
        <v>23723379.399999999</v>
      </c>
      <c r="G511" s="26">
        <f t="shared" ref="G511:K511" si="59">SUM(G509:G510)</f>
        <v>0</v>
      </c>
      <c r="H511" s="26">
        <f t="shared" si="59"/>
        <v>23723379.399999999</v>
      </c>
      <c r="I511" s="139">
        <f t="shared" si="59"/>
        <v>0</v>
      </c>
      <c r="J511" s="139">
        <f t="shared" si="59"/>
        <v>0</v>
      </c>
      <c r="K511" s="139">
        <f t="shared" si="59"/>
        <v>23723379.399999999</v>
      </c>
      <c r="L511" s="171"/>
      <c r="M511" s="171"/>
      <c r="O511" s="3"/>
      <c r="P511" s="3"/>
      <c r="Q511" s="5"/>
    </row>
    <row r="512" spans="1:17" s="3" customFormat="1" ht="14" thickTop="1" thickBot="1">
      <c r="A512" s="7">
        <f t="shared" si="45"/>
        <v>507</v>
      </c>
      <c r="B512" s="7"/>
      <c r="C512" s="80" t="s">
        <v>84</v>
      </c>
      <c r="D512" s="81"/>
      <c r="E512" s="81" t="s">
        <v>1253</v>
      </c>
      <c r="F512" s="207">
        <f t="shared" ref="F512:K512" si="60">F438+F508+F511</f>
        <v>1588930213.7830009</v>
      </c>
      <c r="G512" s="208">
        <f t="shared" si="60"/>
        <v>-54981609.950000003</v>
      </c>
      <c r="H512" s="207">
        <f t="shared" si="60"/>
        <v>1533948603.8330007</v>
      </c>
      <c r="I512" s="141">
        <f t="shared" si="60"/>
        <v>-16879035.6630885</v>
      </c>
      <c r="J512" s="141">
        <f t="shared" si="60"/>
        <v>-8427867</v>
      </c>
      <c r="K512" s="141">
        <f t="shared" si="60"/>
        <v>1508641701.1699121</v>
      </c>
      <c r="L512" s="173"/>
      <c r="M512" s="173"/>
      <c r="N512" s="5"/>
    </row>
    <row r="513" spans="1:17" s="3" customFormat="1" ht="32.5" customHeight="1" thickTop="1">
      <c r="A513" s="7">
        <f t="shared" si="45"/>
        <v>508</v>
      </c>
      <c r="D513" s="5" t="s">
        <v>239</v>
      </c>
      <c r="E513" s="6" t="s">
        <v>240</v>
      </c>
      <c r="F513" s="121" t="s">
        <v>1254</v>
      </c>
      <c r="G513" s="121" t="s">
        <v>1255</v>
      </c>
      <c r="H513" s="121" t="s">
        <v>243</v>
      </c>
      <c r="I513" s="121" t="s">
        <v>244</v>
      </c>
      <c r="J513" s="121" t="s">
        <v>245</v>
      </c>
      <c r="K513" s="169" t="s">
        <v>246</v>
      </c>
      <c r="L513" s="169"/>
      <c r="M513" s="169"/>
      <c r="N513" s="5" t="s">
        <v>247</v>
      </c>
      <c r="Q513" s="5"/>
    </row>
    <row r="514" spans="1:17" ht="13.5" customHeight="1" outlineLevel="2">
      <c r="A514" s="7">
        <f t="shared" si="45"/>
        <v>509</v>
      </c>
      <c r="B514" s="7" t="s">
        <v>27</v>
      </c>
      <c r="C514" s="7" t="s">
        <v>71</v>
      </c>
      <c r="D514" s="13" t="s">
        <v>1256</v>
      </c>
      <c r="E514" s="1" t="s">
        <v>1257</v>
      </c>
      <c r="F514" s="28">
        <v>287835.39</v>
      </c>
      <c r="G514" s="9">
        <v>0</v>
      </c>
      <c r="H514" s="10">
        <f t="shared" ref="H514:H522" si="61">F514+G514</f>
        <v>287835.39</v>
      </c>
      <c r="I514" s="9">
        <v>0</v>
      </c>
      <c r="K514" s="170">
        <f t="shared" ref="K514:K522" si="62">SUM(H514:J514)</f>
        <v>287835.39</v>
      </c>
      <c r="L514" s="170"/>
      <c r="M514" s="170"/>
      <c r="N514" s="657"/>
      <c r="O514" s="7"/>
      <c r="Q514" s="11"/>
    </row>
    <row r="515" spans="1:17" s="7" customFormat="1" ht="13.5" customHeight="1" outlineLevel="2">
      <c r="A515" s="7">
        <f t="shared" si="45"/>
        <v>510</v>
      </c>
      <c r="B515" s="7" t="s">
        <v>27</v>
      </c>
      <c r="C515" s="7" t="s">
        <v>71</v>
      </c>
      <c r="D515" s="75" t="s">
        <v>1258</v>
      </c>
      <c r="E515" s="8" t="s">
        <v>1259</v>
      </c>
      <c r="F515" s="28">
        <v>12414412.949999999</v>
      </c>
      <c r="G515" s="9">
        <v>-12111804</v>
      </c>
      <c r="H515" s="10">
        <f t="shared" si="61"/>
        <v>302608.94999999925</v>
      </c>
      <c r="I515" s="9">
        <v>0</v>
      </c>
      <c r="J515" s="9"/>
      <c r="K515" s="170">
        <f t="shared" si="62"/>
        <v>302608.94999999925</v>
      </c>
      <c r="L515" s="170"/>
      <c r="M515" s="170"/>
      <c r="N515" s="658"/>
      <c r="Q515" s="11"/>
    </row>
    <row r="516" spans="1:17" s="7" customFormat="1" ht="13.5" customHeight="1" outlineLevel="2">
      <c r="A516" s="7">
        <f t="shared" si="45"/>
        <v>511</v>
      </c>
      <c r="B516" s="7" t="s">
        <v>27</v>
      </c>
      <c r="C516" s="7" t="s">
        <v>71</v>
      </c>
      <c r="D516" s="75" t="s">
        <v>1258</v>
      </c>
      <c r="E516" s="8" t="s">
        <v>1259</v>
      </c>
      <c r="F516" s="28">
        <v>220814.25</v>
      </c>
      <c r="G516" s="9">
        <v>-220814.25</v>
      </c>
      <c r="H516" s="10">
        <f t="shared" si="61"/>
        <v>0</v>
      </c>
      <c r="I516" s="9">
        <v>0</v>
      </c>
      <c r="J516" s="9"/>
      <c r="K516" s="170">
        <f t="shared" si="62"/>
        <v>0</v>
      </c>
      <c r="L516" s="170"/>
      <c r="M516" s="170"/>
      <c r="N516" s="658"/>
      <c r="Q516" s="11"/>
    </row>
    <row r="517" spans="1:17" s="7" customFormat="1" outlineLevel="2">
      <c r="A517" s="7">
        <f t="shared" si="45"/>
        <v>512</v>
      </c>
      <c r="B517" s="7" t="s">
        <v>27</v>
      </c>
      <c r="C517" s="7" t="s">
        <v>71</v>
      </c>
      <c r="D517" s="75" t="s">
        <v>1260</v>
      </c>
      <c r="E517" s="8" t="s">
        <v>1261</v>
      </c>
      <c r="F517" s="28">
        <f>2978205.36+1602462.32</f>
        <v>4580667.68</v>
      </c>
      <c r="G517" s="9">
        <v>0</v>
      </c>
      <c r="H517" s="10">
        <f t="shared" si="61"/>
        <v>4580667.68</v>
      </c>
      <c r="I517" s="9">
        <v>0</v>
      </c>
      <c r="J517" s="9"/>
      <c r="K517" s="170">
        <f t="shared" si="62"/>
        <v>4580667.68</v>
      </c>
      <c r="L517" s="170"/>
      <c r="M517" s="170"/>
      <c r="N517" s="658"/>
      <c r="Q517" s="11"/>
    </row>
    <row r="518" spans="1:17" s="7" customFormat="1" outlineLevel="2">
      <c r="A518" s="7">
        <f t="shared" si="45"/>
        <v>513</v>
      </c>
      <c r="B518" s="7" t="s">
        <v>27</v>
      </c>
      <c r="C518" s="7" t="s">
        <v>71</v>
      </c>
      <c r="D518" s="75" t="s">
        <v>1067</v>
      </c>
      <c r="E518" s="8" t="s">
        <v>1068</v>
      </c>
      <c r="F518" s="28">
        <v>237295.95</v>
      </c>
      <c r="G518" s="9">
        <v>0</v>
      </c>
      <c r="H518" s="10">
        <f t="shared" si="61"/>
        <v>237295.95</v>
      </c>
      <c r="I518" s="9">
        <v>0</v>
      </c>
      <c r="J518" s="9"/>
      <c r="K518" s="170">
        <f t="shared" si="62"/>
        <v>237295.95</v>
      </c>
      <c r="L518" s="170"/>
      <c r="M518" s="170"/>
      <c r="N518" s="658"/>
      <c r="Q518" s="11"/>
    </row>
    <row r="519" spans="1:17" s="3" customFormat="1" ht="13.5" thickBot="1">
      <c r="A519" s="7">
        <f t="shared" si="45"/>
        <v>514</v>
      </c>
      <c r="B519" s="3" t="s">
        <v>27</v>
      </c>
      <c r="C519" s="14" t="s">
        <v>1120</v>
      </c>
      <c r="D519" s="16"/>
      <c r="E519" s="16" t="s">
        <v>1262</v>
      </c>
      <c r="F519" s="26">
        <f>SUM(F514:F518)</f>
        <v>17741026.219999999</v>
      </c>
      <c r="G519" s="26">
        <f t="shared" ref="G519:K519" si="63">SUM(G514:G518)</f>
        <v>-12332618.25</v>
      </c>
      <c r="H519" s="26">
        <f t="shared" si="63"/>
        <v>5408407.9699999988</v>
      </c>
      <c r="I519" s="139">
        <f t="shared" si="63"/>
        <v>0</v>
      </c>
      <c r="J519" s="139">
        <f t="shared" si="63"/>
        <v>0</v>
      </c>
      <c r="K519" s="139">
        <f t="shared" si="63"/>
        <v>5408407.9699999988</v>
      </c>
      <c r="L519" s="173"/>
      <c r="M519" s="173"/>
      <c r="N519" s="658"/>
    </row>
    <row r="520" spans="1:17" s="7" customFormat="1" ht="13.5" outlineLevel="2" thickTop="1">
      <c r="A520" s="7">
        <f t="shared" si="45"/>
        <v>515</v>
      </c>
      <c r="B520" s="7" t="s">
        <v>31</v>
      </c>
      <c r="C520" s="7" t="s">
        <v>71</v>
      </c>
      <c r="D520" s="75" t="s">
        <v>1263</v>
      </c>
      <c r="E520" s="8" t="s">
        <v>1264</v>
      </c>
      <c r="F520" s="28">
        <v>121494.9</v>
      </c>
      <c r="G520" s="9">
        <f>-(F520*0.75)</f>
        <v>-91121.174999999988</v>
      </c>
      <c r="H520" s="10">
        <f t="shared" si="61"/>
        <v>30373.725000000006</v>
      </c>
      <c r="I520" s="9"/>
      <c r="J520" s="9"/>
      <c r="K520" s="170">
        <f t="shared" si="62"/>
        <v>30373.725000000006</v>
      </c>
      <c r="L520" s="170"/>
      <c r="M520" s="170"/>
      <c r="N520" s="658"/>
      <c r="Q520" s="11"/>
    </row>
    <row r="521" spans="1:17" s="7" customFormat="1" outlineLevel="2">
      <c r="A521" s="7">
        <f t="shared" ref="A521:A539" si="64">A520+1</f>
        <v>516</v>
      </c>
      <c r="B521" s="7" t="s">
        <v>31</v>
      </c>
      <c r="C521" s="7" t="s">
        <v>71</v>
      </c>
      <c r="D521" s="75" t="s">
        <v>1265</v>
      </c>
      <c r="E521" s="8" t="s">
        <v>1266</v>
      </c>
      <c r="F521" s="28">
        <f>475783.06+216551.65</f>
        <v>692334.71</v>
      </c>
      <c r="G521" s="9">
        <f>-(F521*0.75)</f>
        <v>-519251.03249999997</v>
      </c>
      <c r="H521" s="10">
        <f t="shared" si="61"/>
        <v>173083.67749999999</v>
      </c>
      <c r="I521" s="9"/>
      <c r="J521" s="9"/>
      <c r="K521" s="170">
        <f t="shared" si="62"/>
        <v>173083.67749999999</v>
      </c>
      <c r="L521" s="170"/>
      <c r="M521" s="170"/>
      <c r="N521" s="658"/>
      <c r="Q521" s="11"/>
    </row>
    <row r="522" spans="1:17" s="7" customFormat="1" outlineLevel="2">
      <c r="A522" s="7">
        <f t="shared" si="64"/>
        <v>517</v>
      </c>
      <c r="B522" s="7" t="s">
        <v>31</v>
      </c>
      <c r="C522" s="7" t="s">
        <v>71</v>
      </c>
      <c r="D522" s="75" t="s">
        <v>1267</v>
      </c>
      <c r="E522" s="8" t="s">
        <v>1268</v>
      </c>
      <c r="F522" s="28">
        <f>13323920.72+619631.54</f>
        <v>13943552.260000002</v>
      </c>
      <c r="G522" s="9">
        <f>(-(F522-55070)*0.75)-55070</f>
        <v>-10471431.695</v>
      </c>
      <c r="H522" s="10">
        <f t="shared" si="61"/>
        <v>3472120.5650000013</v>
      </c>
      <c r="I522" s="9"/>
      <c r="J522" s="9"/>
      <c r="K522" s="170">
        <f t="shared" si="62"/>
        <v>3472120.5650000013</v>
      </c>
      <c r="L522" s="170"/>
      <c r="M522" s="170"/>
      <c r="N522" s="658"/>
      <c r="Q522" s="11"/>
    </row>
    <row r="523" spans="1:17" s="3" customFormat="1" ht="13.5" outlineLevel="1" thickBot="1">
      <c r="A523" s="7">
        <f t="shared" si="64"/>
        <v>518</v>
      </c>
      <c r="B523" s="3" t="s">
        <v>31</v>
      </c>
      <c r="C523" s="14" t="s">
        <v>1269</v>
      </c>
      <c r="D523" s="24"/>
      <c r="E523" s="16" t="s">
        <v>1270</v>
      </c>
      <c r="F523" s="26">
        <f>SUM(F520:F522)</f>
        <v>14757381.870000001</v>
      </c>
      <c r="G523" s="26">
        <f t="shared" ref="G523:K523" si="65">SUM(G520:G522)</f>
        <v>-11081803.9025</v>
      </c>
      <c r="H523" s="26">
        <f t="shared" si="65"/>
        <v>3675577.9675000012</v>
      </c>
      <c r="I523" s="139">
        <f t="shared" si="65"/>
        <v>0</v>
      </c>
      <c r="J523" s="139">
        <f t="shared" si="65"/>
        <v>0</v>
      </c>
      <c r="K523" s="139">
        <f t="shared" si="65"/>
        <v>3675577.9675000012</v>
      </c>
      <c r="L523" s="171"/>
      <c r="M523" s="171"/>
      <c r="N523" s="25"/>
      <c r="Q523" s="5"/>
    </row>
    <row r="524" spans="1:17" s="3" customFormat="1" ht="14" outlineLevel="1" thickTop="1" thickBot="1">
      <c r="A524" s="7">
        <f t="shared" si="64"/>
        <v>519</v>
      </c>
      <c r="B524" s="7"/>
      <c r="C524" s="14" t="s">
        <v>1271</v>
      </c>
      <c r="D524" s="24"/>
      <c r="E524" s="16" t="s">
        <v>1270</v>
      </c>
      <c r="F524" s="26">
        <f>F519+F523</f>
        <v>32498408.09</v>
      </c>
      <c r="G524" s="26">
        <f t="shared" ref="G524:K524" si="66">G519+G523</f>
        <v>-23414422.1525</v>
      </c>
      <c r="H524" s="26">
        <f t="shared" si="66"/>
        <v>9083985.9375</v>
      </c>
      <c r="I524" s="139">
        <f t="shared" si="66"/>
        <v>0</v>
      </c>
      <c r="J524" s="139">
        <f t="shared" si="66"/>
        <v>0</v>
      </c>
      <c r="K524" s="139">
        <f t="shared" si="66"/>
        <v>9083985.9375</v>
      </c>
      <c r="L524" s="171"/>
      <c r="M524" s="171"/>
      <c r="N524" s="25"/>
      <c r="Q524" s="5"/>
    </row>
    <row r="525" spans="1:17" s="3" customFormat="1" ht="32.5" customHeight="1" thickTop="1">
      <c r="A525" s="7">
        <f t="shared" si="64"/>
        <v>520</v>
      </c>
      <c r="D525" s="5" t="s">
        <v>239</v>
      </c>
      <c r="E525" s="6" t="s">
        <v>240</v>
      </c>
      <c r="F525" s="121" t="s">
        <v>241</v>
      </c>
      <c r="G525" s="121" t="s">
        <v>1272</v>
      </c>
      <c r="H525" s="121" t="s">
        <v>243</v>
      </c>
      <c r="I525" s="121" t="s">
        <v>244</v>
      </c>
      <c r="J525" s="121" t="s">
        <v>245</v>
      </c>
      <c r="K525" s="169" t="s">
        <v>246</v>
      </c>
      <c r="L525" s="169"/>
      <c r="M525" s="169"/>
      <c r="N525" s="5" t="s">
        <v>247</v>
      </c>
      <c r="Q525" s="5"/>
    </row>
    <row r="526" spans="1:17" s="7" customFormat="1" outlineLevel="2">
      <c r="A526" s="7">
        <f t="shared" si="64"/>
        <v>521</v>
      </c>
      <c r="B526" s="7" t="s">
        <v>27</v>
      </c>
      <c r="C526" s="7" t="s">
        <v>73</v>
      </c>
      <c r="D526" s="11"/>
      <c r="E526" s="8" t="s">
        <v>822</v>
      </c>
      <c r="F526" s="28">
        <v>2370872.7999999998</v>
      </c>
      <c r="G526" s="9">
        <v>-1772523.45</v>
      </c>
      <c r="H526" s="10">
        <f t="shared" ref="H526:H531" si="67">F526+G526</f>
        <v>598349.34999999986</v>
      </c>
      <c r="I526" s="9"/>
      <c r="J526" s="9"/>
      <c r="K526" s="170">
        <f t="shared" ref="K526:K531" si="68">SUM(H526:J526)</f>
        <v>598349.34999999986</v>
      </c>
      <c r="L526" s="170"/>
      <c r="M526" s="170"/>
      <c r="Q526" s="11"/>
    </row>
    <row r="527" spans="1:17" s="7" customFormat="1" outlineLevel="2">
      <c r="A527" s="7">
        <f t="shared" si="64"/>
        <v>522</v>
      </c>
      <c r="B527" s="7" t="s">
        <v>727</v>
      </c>
      <c r="C527" s="7" t="s">
        <v>73</v>
      </c>
      <c r="D527" s="11"/>
      <c r="E527" s="8" t="s">
        <v>1273</v>
      </c>
      <c r="F527" s="28">
        <f>16339603.3*0.5</f>
        <v>8169801.6500000004</v>
      </c>
      <c r="G527" s="9">
        <f>-11130874.82*0.5</f>
        <v>-5565437.4100000001</v>
      </c>
      <c r="H527" s="10">
        <f t="shared" si="67"/>
        <v>2604364.2400000002</v>
      </c>
      <c r="I527" s="9"/>
      <c r="J527" s="9"/>
      <c r="K527" s="170">
        <f t="shared" si="68"/>
        <v>2604364.2400000002</v>
      </c>
      <c r="L527" s="170"/>
      <c r="M527" s="170"/>
      <c r="Q527" s="11"/>
    </row>
    <row r="528" spans="1:17" s="7" customFormat="1" outlineLevel="2">
      <c r="A528" s="7">
        <f t="shared" si="64"/>
        <v>523</v>
      </c>
      <c r="B528" s="7" t="s">
        <v>27</v>
      </c>
      <c r="C528" s="7" t="s">
        <v>73</v>
      </c>
      <c r="D528" s="11"/>
      <c r="E528" s="8" t="s">
        <v>547</v>
      </c>
      <c r="F528" s="28">
        <v>34494082.079999998</v>
      </c>
      <c r="G528" s="9">
        <v>-5266583.5599999996</v>
      </c>
      <c r="H528" s="10">
        <f t="shared" si="67"/>
        <v>29227498.52</v>
      </c>
      <c r="I528" s="9"/>
      <c r="J528" s="9"/>
      <c r="K528" s="170">
        <f t="shared" si="68"/>
        <v>29227498.52</v>
      </c>
      <c r="L528" s="170"/>
      <c r="M528" s="170"/>
      <c r="Q528" s="11"/>
    </row>
    <row r="529" spans="1:20" s="7" customFormat="1" outlineLevel="2">
      <c r="A529" s="7">
        <f t="shared" si="64"/>
        <v>524</v>
      </c>
      <c r="B529" s="7" t="s">
        <v>27</v>
      </c>
      <c r="C529" s="7" t="s">
        <v>73</v>
      </c>
      <c r="D529" s="11"/>
      <c r="E529" s="8" t="s">
        <v>920</v>
      </c>
      <c r="F529" s="28">
        <v>55665574.350000001</v>
      </c>
      <c r="G529" s="9">
        <v>-14103135.460000001</v>
      </c>
      <c r="H529" s="10">
        <f t="shared" si="67"/>
        <v>41562438.890000001</v>
      </c>
      <c r="I529" s="9"/>
      <c r="J529" s="9"/>
      <c r="K529" s="170">
        <f t="shared" si="68"/>
        <v>41562438.890000001</v>
      </c>
      <c r="L529" s="170"/>
      <c r="M529" s="170"/>
      <c r="Q529" s="11"/>
    </row>
    <row r="530" spans="1:20" s="7" customFormat="1" outlineLevel="2">
      <c r="A530" s="7">
        <f t="shared" si="64"/>
        <v>525</v>
      </c>
      <c r="B530" s="7" t="s">
        <v>27</v>
      </c>
      <c r="C530" s="7" t="s">
        <v>73</v>
      </c>
      <c r="D530" s="11"/>
      <c r="E530" s="8" t="s">
        <v>1274</v>
      </c>
      <c r="F530" s="28">
        <v>9392149.0399999991</v>
      </c>
      <c r="G530" s="9">
        <v>-7097566.8899999997</v>
      </c>
      <c r="H530" s="10">
        <f t="shared" si="67"/>
        <v>2294582.1499999994</v>
      </c>
      <c r="I530" s="9"/>
      <c r="J530" s="9"/>
      <c r="K530" s="170">
        <f t="shared" si="68"/>
        <v>2294582.1499999994</v>
      </c>
      <c r="L530" s="170"/>
      <c r="M530" s="170"/>
      <c r="Q530" s="11"/>
    </row>
    <row r="531" spans="1:20" s="7" customFormat="1" outlineLevel="2">
      <c r="A531" s="7">
        <f t="shared" si="64"/>
        <v>526</v>
      </c>
      <c r="B531" s="7" t="s">
        <v>27</v>
      </c>
      <c r="C531" s="7" t="s">
        <v>73</v>
      </c>
      <c r="D531" s="11"/>
      <c r="E531" s="8" t="s">
        <v>990</v>
      </c>
      <c r="F531" s="28">
        <v>22135174.539999999</v>
      </c>
      <c r="G531" s="9">
        <v>-1824650.92</v>
      </c>
      <c r="H531" s="10">
        <f t="shared" si="67"/>
        <v>20310523.619999997</v>
      </c>
      <c r="I531" s="9"/>
      <c r="J531" s="9"/>
      <c r="K531" s="170">
        <f t="shared" si="68"/>
        <v>20310523.619999997</v>
      </c>
      <c r="L531" s="170"/>
      <c r="M531" s="170"/>
      <c r="Q531" s="11"/>
    </row>
    <row r="532" spans="1:20" s="3" customFormat="1" ht="13.5" outlineLevel="1" thickBot="1">
      <c r="A532" s="7">
        <f t="shared" si="64"/>
        <v>527</v>
      </c>
      <c r="B532" s="3" t="s">
        <v>27</v>
      </c>
      <c r="C532" s="14" t="s">
        <v>1275</v>
      </c>
      <c r="D532" s="16"/>
      <c r="E532" s="16" t="s">
        <v>1276</v>
      </c>
      <c r="F532" s="26">
        <f>SUM(F526:F531)</f>
        <v>132227654.45999998</v>
      </c>
      <c r="G532" s="26">
        <f t="shared" ref="G532:K532" si="69">SUM(G526:G531)</f>
        <v>-35629897.690000005</v>
      </c>
      <c r="H532" s="26">
        <f t="shared" si="69"/>
        <v>96597756.770000011</v>
      </c>
      <c r="I532" s="26">
        <f t="shared" si="69"/>
        <v>0</v>
      </c>
      <c r="J532" s="26">
        <f t="shared" si="69"/>
        <v>0</v>
      </c>
      <c r="K532" s="449">
        <f t="shared" si="69"/>
        <v>96597756.770000011</v>
      </c>
      <c r="L532" s="174"/>
      <c r="M532" s="174"/>
      <c r="N532" s="5"/>
    </row>
    <row r="533" spans="1:20" s="7" customFormat="1" ht="13.5" outlineLevel="2" thickTop="1">
      <c r="A533" s="7">
        <f t="shared" si="64"/>
        <v>528</v>
      </c>
      <c r="B533" s="7" t="s">
        <v>727</v>
      </c>
      <c r="C533" s="7" t="s">
        <v>73</v>
      </c>
      <c r="D533" s="11"/>
      <c r="E533" s="8" t="s">
        <v>1273</v>
      </c>
      <c r="F533" s="28">
        <f>16339603.3*0.5</f>
        <v>8169801.6500000004</v>
      </c>
      <c r="G533" s="9">
        <f>-11130874.82*0.5</f>
        <v>-5565437.4100000001</v>
      </c>
      <c r="H533" s="10">
        <f t="shared" ref="H533" si="70">F533+G533</f>
        <v>2604364.2400000002</v>
      </c>
      <c r="I533" s="9"/>
      <c r="J533" s="9"/>
      <c r="K533" s="170">
        <f t="shared" ref="K533" si="71">SUM(H533:J533)</f>
        <v>2604364.2400000002</v>
      </c>
      <c r="L533" s="170"/>
      <c r="M533" s="170"/>
      <c r="Q533" s="11"/>
    </row>
    <row r="534" spans="1:20" s="3" customFormat="1" ht="13.5" outlineLevel="1" thickBot="1">
      <c r="A534" s="7">
        <f t="shared" si="64"/>
        <v>529</v>
      </c>
      <c r="B534" s="3" t="s">
        <v>31</v>
      </c>
      <c r="C534" s="14" t="s">
        <v>1277</v>
      </c>
      <c r="D534" s="16"/>
      <c r="E534" s="16" t="s">
        <v>1278</v>
      </c>
      <c r="F534" s="26">
        <f>SUM(F533)</f>
        <v>8169801.6500000004</v>
      </c>
      <c r="G534" s="26">
        <f t="shared" ref="G534:K534" si="72">SUM(G533)</f>
        <v>-5565437.4100000001</v>
      </c>
      <c r="H534" s="26">
        <f t="shared" si="72"/>
        <v>2604364.2400000002</v>
      </c>
      <c r="I534" s="139">
        <f t="shared" si="72"/>
        <v>0</v>
      </c>
      <c r="J534" s="139">
        <f t="shared" si="72"/>
        <v>0</v>
      </c>
      <c r="K534" s="139">
        <f t="shared" si="72"/>
        <v>2604364.2400000002</v>
      </c>
      <c r="L534" s="174"/>
      <c r="M534" s="174"/>
      <c r="N534" s="5"/>
    </row>
    <row r="535" spans="1:20" s="3" customFormat="1" ht="14" thickTop="1" thickBot="1">
      <c r="A535" s="7">
        <f t="shared" si="64"/>
        <v>530</v>
      </c>
      <c r="B535" s="7"/>
      <c r="C535" s="80" t="s">
        <v>1279</v>
      </c>
      <c r="D535" s="81"/>
      <c r="E535" s="81" t="s">
        <v>1280</v>
      </c>
      <c r="F535" s="207">
        <f>F532+F534</f>
        <v>140397456.10999998</v>
      </c>
      <c r="G535" s="207">
        <f t="shared" ref="G535:K535" si="73">G532+G534</f>
        <v>-41195335.100000009</v>
      </c>
      <c r="H535" s="207">
        <f t="shared" si="73"/>
        <v>99202121.010000005</v>
      </c>
      <c r="I535" s="141">
        <f t="shared" si="73"/>
        <v>0</v>
      </c>
      <c r="J535" s="141">
        <f t="shared" si="73"/>
        <v>0</v>
      </c>
      <c r="K535" s="141">
        <f t="shared" si="73"/>
        <v>99202121.010000005</v>
      </c>
      <c r="L535" s="171"/>
      <c r="M535" s="171"/>
      <c r="N535" s="5"/>
    </row>
    <row r="536" spans="1:20" s="7" customFormat="1" ht="13.5" thickTop="1">
      <c r="A536" s="7">
        <f t="shared" si="64"/>
        <v>531</v>
      </c>
      <c r="D536" s="11"/>
      <c r="E536" s="1"/>
      <c r="F536" s="28"/>
      <c r="G536" s="28"/>
      <c r="H536" s="28"/>
      <c r="I536" s="138"/>
      <c r="J536" s="138"/>
      <c r="K536" s="138"/>
      <c r="L536" s="170"/>
      <c r="M536" s="170"/>
      <c r="N536" s="8"/>
      <c r="R536" s="8"/>
      <c r="S536" s="8"/>
      <c r="T536" s="8"/>
    </row>
    <row r="537" spans="1:20" s="7" customFormat="1">
      <c r="A537" s="7">
        <f t="shared" si="64"/>
        <v>532</v>
      </c>
      <c r="D537" s="11"/>
      <c r="E537" s="1" t="s">
        <v>1119</v>
      </c>
      <c r="F537" s="28"/>
      <c r="G537" s="27">
        <f>-(G535+G512)</f>
        <v>96176945.050000012</v>
      </c>
      <c r="H537" s="27"/>
      <c r="I537" s="27"/>
      <c r="J537" s="27"/>
      <c r="K537" s="137">
        <f>(K535+K512)</f>
        <v>1607843822.1799121</v>
      </c>
      <c r="L537" s="170"/>
      <c r="M537" s="170"/>
      <c r="N537" s="8"/>
      <c r="R537" s="8"/>
      <c r="S537" s="8"/>
      <c r="T537" s="8"/>
    </row>
    <row r="538" spans="1:20" s="7" customFormat="1">
      <c r="A538" s="7">
        <f t="shared" si="64"/>
        <v>533</v>
      </c>
      <c r="C538" s="388" t="s">
        <v>1281</v>
      </c>
      <c r="D538" s="11"/>
      <c r="F538" s="28"/>
      <c r="G538" s="27"/>
      <c r="H538" s="27"/>
      <c r="I538" s="28"/>
      <c r="J538" s="28"/>
      <c r="K538" s="170"/>
      <c r="L538" s="170"/>
      <c r="M538" s="170"/>
      <c r="N538" s="8"/>
      <c r="R538" s="8"/>
      <c r="S538" s="8"/>
      <c r="T538" s="8"/>
    </row>
    <row r="539" spans="1:20" s="7" customFormat="1">
      <c r="A539" s="7">
        <f t="shared" si="64"/>
        <v>534</v>
      </c>
      <c r="C539" s="388" t="s">
        <v>1282</v>
      </c>
      <c r="D539" s="11"/>
      <c r="E539" s="1"/>
      <c r="F539" s="28"/>
      <c r="G539" s="27"/>
      <c r="H539" s="27"/>
      <c r="I539" s="28"/>
      <c r="J539" s="28"/>
      <c r="K539" s="170"/>
      <c r="L539" s="170"/>
      <c r="M539" s="170"/>
      <c r="N539" s="8"/>
      <c r="R539" s="8"/>
      <c r="S539" s="8"/>
      <c r="T539" s="8"/>
    </row>
    <row r="540" spans="1:20" s="7" customFormat="1">
      <c r="D540" s="11"/>
      <c r="E540" s="1"/>
      <c r="F540" s="28"/>
      <c r="G540" s="27"/>
      <c r="H540" s="27"/>
      <c r="I540" s="27"/>
      <c r="J540" s="27"/>
      <c r="K540" s="170"/>
      <c r="L540" s="170"/>
      <c r="M540" s="170"/>
      <c r="N540" s="8"/>
      <c r="R540" s="8"/>
      <c r="S540" s="8"/>
      <c r="T540" s="8"/>
    </row>
    <row r="541" spans="1:20" s="7" customFormat="1">
      <c r="D541" s="11"/>
      <c r="E541" s="1"/>
      <c r="F541" s="28"/>
      <c r="G541" s="27"/>
      <c r="H541" s="27"/>
      <c r="I541" s="27"/>
      <c r="J541" s="27"/>
      <c r="K541" s="10"/>
      <c r="L541" s="10"/>
      <c r="M541" s="10"/>
      <c r="N541" s="8"/>
      <c r="R541" s="8"/>
      <c r="S541" s="8"/>
      <c r="T541" s="8"/>
    </row>
    <row r="542" spans="1:20">
      <c r="D542" s="8"/>
      <c r="E542" s="1"/>
      <c r="F542" s="209"/>
      <c r="G542" s="27"/>
      <c r="H542" s="27"/>
      <c r="N542" s="8"/>
      <c r="O542" s="27"/>
    </row>
    <row r="543" spans="1:20">
      <c r="D543" s="8"/>
      <c r="E543" s="1"/>
      <c r="F543" s="209"/>
      <c r="G543" s="82"/>
      <c r="H543" s="82"/>
      <c r="I543" s="82"/>
      <c r="J543" s="82"/>
      <c r="K543" s="9"/>
      <c r="L543" s="9"/>
      <c r="M543" s="9"/>
      <c r="N543" s="8"/>
      <c r="O543" s="27"/>
    </row>
    <row r="544" spans="1:20">
      <c r="D544" s="8"/>
      <c r="E544" s="74"/>
      <c r="F544" s="209"/>
      <c r="G544" s="82"/>
      <c r="H544" s="82"/>
      <c r="I544" s="82"/>
      <c r="J544" s="82"/>
      <c r="K544" s="82"/>
      <c r="L544" s="82"/>
      <c r="M544" s="82"/>
      <c r="N544" s="8"/>
      <c r="O544" s="27"/>
    </row>
    <row r="545" spans="4:21">
      <c r="D545" s="8"/>
      <c r="E545" s="74"/>
      <c r="F545" s="209"/>
      <c r="G545" s="10"/>
      <c r="H545" s="10"/>
      <c r="I545" s="10"/>
      <c r="J545" s="10"/>
      <c r="N545" s="8"/>
      <c r="O545" s="7"/>
    </row>
    <row r="546" spans="4:21">
      <c r="D546" s="8"/>
      <c r="E546" s="74"/>
      <c r="F546" s="209"/>
      <c r="G546" s="10"/>
      <c r="H546" s="10"/>
      <c r="I546" s="10"/>
      <c r="J546" s="10"/>
      <c r="N546" s="74"/>
      <c r="O546" s="7"/>
    </row>
    <row r="547" spans="4:21">
      <c r="D547" s="8"/>
      <c r="E547" s="74"/>
      <c r="F547" s="209"/>
      <c r="G547" s="10"/>
      <c r="H547" s="10"/>
      <c r="I547" s="10"/>
      <c r="J547" s="10"/>
      <c r="N547" s="8"/>
      <c r="O547" s="7"/>
    </row>
    <row r="548" spans="4:21">
      <c r="D548" s="8"/>
      <c r="E548" s="74"/>
      <c r="F548" s="209"/>
      <c r="G548" s="10"/>
      <c r="H548" s="10"/>
      <c r="I548" s="10"/>
      <c r="J548" s="10"/>
      <c r="N548" s="10"/>
      <c r="O548" s="7"/>
    </row>
    <row r="549" spans="4:21">
      <c r="D549" s="8"/>
      <c r="F549" s="209"/>
      <c r="G549" s="10"/>
      <c r="H549" s="10"/>
      <c r="I549" s="10"/>
      <c r="J549" s="10"/>
      <c r="N549" s="10"/>
      <c r="O549" s="7"/>
    </row>
    <row r="550" spans="4:21" s="7" customFormat="1">
      <c r="D550" s="8"/>
      <c r="E550" s="8"/>
      <c r="F550" s="209"/>
      <c r="G550" s="10"/>
      <c r="H550" s="10"/>
      <c r="I550" s="10"/>
      <c r="J550" s="10"/>
      <c r="K550" s="10"/>
      <c r="L550" s="10"/>
      <c r="M550" s="10"/>
      <c r="N550" s="10"/>
      <c r="R550" s="8"/>
      <c r="S550" s="8"/>
      <c r="T550" s="8"/>
      <c r="U550" s="8"/>
    </row>
    <row r="551" spans="4:21" s="7" customFormat="1">
      <c r="D551" s="8"/>
      <c r="E551" s="8"/>
      <c r="F551" s="209"/>
      <c r="G551" s="10"/>
      <c r="H551" s="10"/>
      <c r="I551" s="10"/>
      <c r="J551" s="10"/>
      <c r="K551" s="10"/>
      <c r="L551" s="10"/>
      <c r="M551" s="10"/>
      <c r="N551" s="10"/>
      <c r="R551" s="8"/>
      <c r="S551" s="8"/>
      <c r="T551" s="8"/>
      <c r="U551" s="8"/>
    </row>
    <row r="552" spans="4:21" s="7" customFormat="1">
      <c r="D552" s="8"/>
      <c r="E552" s="8"/>
      <c r="F552" s="209"/>
      <c r="G552" s="10"/>
      <c r="H552" s="10"/>
      <c r="I552" s="10"/>
      <c r="J552" s="10"/>
      <c r="K552" s="10"/>
      <c r="L552" s="10"/>
      <c r="M552" s="10"/>
      <c r="N552" s="10"/>
      <c r="O552" s="27"/>
      <c r="R552" s="8"/>
      <c r="S552" s="8"/>
      <c r="T552" s="8"/>
      <c r="U552" s="8"/>
    </row>
    <row r="553" spans="4:21" s="7" customFormat="1">
      <c r="D553" s="8"/>
      <c r="E553" s="8"/>
      <c r="F553" s="209"/>
      <c r="G553" s="10"/>
      <c r="H553" s="10"/>
      <c r="I553" s="10"/>
      <c r="J553" s="10"/>
      <c r="K553" s="10"/>
      <c r="L553" s="10"/>
      <c r="M553" s="10"/>
      <c r="N553" s="10"/>
      <c r="R553" s="8"/>
      <c r="S553" s="8"/>
      <c r="T553" s="8"/>
      <c r="U553" s="8"/>
    </row>
    <row r="554" spans="4:21" s="7" customFormat="1">
      <c r="D554" s="8"/>
      <c r="E554" s="8"/>
      <c r="F554" s="209"/>
      <c r="G554" s="10"/>
      <c r="H554" s="10"/>
      <c r="I554" s="10"/>
      <c r="J554" s="10"/>
      <c r="K554" s="10"/>
      <c r="L554" s="10"/>
      <c r="M554" s="10"/>
      <c r="N554" s="8"/>
      <c r="R554" s="8"/>
      <c r="S554" s="8"/>
      <c r="T554" s="8"/>
      <c r="U554" s="8"/>
    </row>
    <row r="555" spans="4:21" s="7" customFormat="1">
      <c r="D555" s="8"/>
      <c r="E555" s="8"/>
      <c r="F555" s="209"/>
      <c r="G555" s="10"/>
      <c r="H555" s="10"/>
      <c r="I555" s="10"/>
      <c r="J555" s="10"/>
      <c r="K555" s="10"/>
      <c r="L555" s="10"/>
      <c r="M555" s="10"/>
      <c r="N555" s="8"/>
      <c r="R555" s="8"/>
      <c r="S555" s="8"/>
      <c r="T555" s="8"/>
      <c r="U555" s="8"/>
    </row>
    <row r="556" spans="4:21" s="7" customFormat="1">
      <c r="D556" s="8"/>
      <c r="E556" s="8"/>
      <c r="F556" s="209"/>
      <c r="G556" s="9"/>
      <c r="H556" s="9"/>
      <c r="I556" s="9"/>
      <c r="J556" s="9"/>
      <c r="K556" s="10"/>
      <c r="L556" s="10"/>
      <c r="M556" s="10"/>
      <c r="N556" s="8"/>
      <c r="R556" s="8"/>
      <c r="S556" s="8"/>
      <c r="T556" s="8"/>
      <c r="U556" s="8"/>
    </row>
    <row r="557" spans="4:21" s="7" customFormat="1">
      <c r="D557" s="8"/>
      <c r="E557" s="8"/>
      <c r="F557" s="28"/>
      <c r="G557" s="9"/>
      <c r="H557" s="9"/>
      <c r="I557" s="9"/>
      <c r="J557" s="9"/>
      <c r="K557" s="10"/>
      <c r="L557" s="10"/>
      <c r="M557" s="10"/>
      <c r="N557" s="8"/>
      <c r="R557" s="8"/>
      <c r="S557" s="8"/>
      <c r="T557" s="8"/>
      <c r="U557" s="8"/>
    </row>
    <row r="558" spans="4:21" s="7" customFormat="1">
      <c r="D558" s="8"/>
      <c r="E558" s="8"/>
      <c r="F558" s="28"/>
      <c r="G558" s="9"/>
      <c r="H558" s="9"/>
      <c r="I558" s="9"/>
      <c r="J558" s="9"/>
      <c r="K558" s="10"/>
      <c r="L558" s="10"/>
      <c r="M558" s="10"/>
      <c r="N558" s="8"/>
      <c r="R558" s="8"/>
      <c r="S558" s="8"/>
      <c r="T558" s="8"/>
      <c r="U558" s="8"/>
    </row>
    <row r="559" spans="4:21" s="7" customFormat="1">
      <c r="D559" s="8"/>
      <c r="E559" s="8"/>
      <c r="F559" s="28"/>
      <c r="G559" s="9"/>
      <c r="H559" s="9"/>
      <c r="I559" s="9"/>
      <c r="J559" s="9"/>
      <c r="K559" s="10"/>
      <c r="L559" s="10"/>
      <c r="M559" s="10"/>
      <c r="N559" s="8"/>
      <c r="R559" s="8"/>
      <c r="S559" s="8"/>
      <c r="T559" s="8"/>
      <c r="U559" s="8"/>
    </row>
    <row r="560" spans="4:21" s="7" customFormat="1">
      <c r="D560" s="8"/>
      <c r="E560" s="8"/>
      <c r="F560" s="28"/>
      <c r="G560" s="9"/>
      <c r="H560" s="9"/>
      <c r="I560" s="9"/>
      <c r="J560" s="9"/>
      <c r="K560" s="10"/>
      <c r="L560" s="10"/>
      <c r="M560" s="10"/>
      <c r="N560" s="8"/>
      <c r="R560" s="8"/>
      <c r="S560" s="8"/>
      <c r="T560" s="8"/>
      <c r="U560" s="8"/>
    </row>
    <row r="561" spans="4:21" s="7" customFormat="1">
      <c r="D561" s="8"/>
      <c r="E561" s="8"/>
      <c r="F561" s="28"/>
      <c r="G561" s="9"/>
      <c r="H561" s="9"/>
      <c r="I561" s="9"/>
      <c r="J561" s="9"/>
      <c r="K561" s="10"/>
      <c r="L561" s="10"/>
      <c r="M561" s="10"/>
      <c r="N561" s="8"/>
      <c r="R561" s="8"/>
      <c r="S561" s="8"/>
      <c r="T561" s="8"/>
      <c r="U561" s="8"/>
    </row>
    <row r="562" spans="4:21" s="7" customFormat="1">
      <c r="D562" s="8"/>
      <c r="E562" s="8"/>
      <c r="F562" s="28"/>
      <c r="G562" s="9"/>
      <c r="H562" s="9"/>
      <c r="I562" s="9"/>
      <c r="J562" s="9"/>
      <c r="K562" s="10"/>
      <c r="L562" s="10"/>
      <c r="M562" s="10"/>
      <c r="N562" s="8"/>
      <c r="R562" s="8"/>
      <c r="S562" s="8"/>
      <c r="T562" s="8"/>
      <c r="U562" s="8"/>
    </row>
    <row r="563" spans="4:21" s="7" customFormat="1">
      <c r="D563" s="8"/>
      <c r="E563" s="8"/>
      <c r="F563" s="28"/>
      <c r="G563" s="9"/>
      <c r="H563" s="9"/>
      <c r="I563" s="9"/>
      <c r="J563" s="9"/>
      <c r="K563" s="10"/>
      <c r="L563" s="10"/>
      <c r="M563" s="10"/>
      <c r="N563" s="8"/>
      <c r="R563" s="8"/>
      <c r="S563" s="8"/>
      <c r="T563" s="8"/>
      <c r="U563" s="8"/>
    </row>
    <row r="564" spans="4:21" s="7" customFormat="1">
      <c r="D564" s="8"/>
      <c r="E564" s="8"/>
      <c r="F564" s="28"/>
      <c r="G564" s="9"/>
      <c r="H564" s="9"/>
      <c r="I564" s="9"/>
      <c r="J564" s="9"/>
      <c r="K564" s="10"/>
      <c r="L564" s="10"/>
      <c r="M564" s="10"/>
      <c r="N564" s="8"/>
      <c r="R564" s="8"/>
      <c r="S564" s="8"/>
      <c r="T564" s="8"/>
      <c r="U564" s="8"/>
    </row>
    <row r="565" spans="4:21" s="7" customFormat="1">
      <c r="D565" s="8"/>
      <c r="E565" s="8"/>
      <c r="F565" s="28"/>
      <c r="G565" s="9"/>
      <c r="H565" s="9"/>
      <c r="I565" s="9"/>
      <c r="J565" s="9"/>
      <c r="K565" s="10"/>
      <c r="L565" s="10"/>
      <c r="M565" s="10"/>
      <c r="N565" s="8"/>
      <c r="R565" s="8"/>
      <c r="S565" s="8"/>
      <c r="T565" s="8"/>
      <c r="U565" s="8"/>
    </row>
    <row r="566" spans="4:21" s="7" customFormat="1">
      <c r="D566" s="8"/>
      <c r="E566" s="8"/>
      <c r="F566" s="28"/>
      <c r="G566" s="9"/>
      <c r="H566" s="9"/>
      <c r="I566" s="9"/>
      <c r="J566" s="9"/>
      <c r="K566" s="10"/>
      <c r="L566" s="10"/>
      <c r="M566" s="10"/>
      <c r="N566" s="8"/>
      <c r="R566" s="8"/>
      <c r="S566" s="8"/>
      <c r="T566" s="8"/>
      <c r="U566" s="8"/>
    </row>
    <row r="567" spans="4:21" s="7" customFormat="1">
      <c r="D567" s="8"/>
      <c r="E567" s="8"/>
      <c r="F567" s="28"/>
      <c r="G567" s="9"/>
      <c r="H567" s="9"/>
      <c r="I567" s="9"/>
      <c r="J567" s="9"/>
      <c r="K567" s="10"/>
      <c r="L567" s="10"/>
      <c r="M567" s="10"/>
      <c r="N567" s="8"/>
      <c r="R567" s="8"/>
      <c r="S567" s="8"/>
      <c r="T567" s="8"/>
      <c r="U567" s="8"/>
    </row>
    <row r="568" spans="4:21" s="7" customFormat="1">
      <c r="D568" s="8"/>
      <c r="E568" s="8"/>
      <c r="F568" s="28"/>
      <c r="G568" s="9"/>
      <c r="H568" s="9"/>
      <c r="I568" s="9"/>
      <c r="J568" s="9"/>
      <c r="K568" s="10"/>
      <c r="L568" s="10"/>
      <c r="M568" s="10"/>
      <c r="N568" s="8"/>
      <c r="R568" s="8"/>
      <c r="S568" s="8"/>
      <c r="T568" s="8"/>
      <c r="U568" s="8"/>
    </row>
    <row r="569" spans="4:21" s="7" customFormat="1">
      <c r="D569" s="8"/>
      <c r="E569" s="8"/>
      <c r="F569" s="28"/>
      <c r="G569" s="9"/>
      <c r="H569" s="9"/>
      <c r="I569" s="9"/>
      <c r="J569" s="9"/>
      <c r="K569" s="10"/>
      <c r="L569" s="10"/>
      <c r="M569" s="10"/>
      <c r="N569" s="8"/>
      <c r="R569" s="8"/>
      <c r="S569" s="8"/>
      <c r="T569" s="8"/>
      <c r="U569" s="8"/>
    </row>
    <row r="570" spans="4:21" s="7" customFormat="1">
      <c r="D570" s="8"/>
      <c r="E570" s="8"/>
      <c r="F570" s="28"/>
      <c r="G570" s="9"/>
      <c r="H570" s="9"/>
      <c r="I570" s="9"/>
      <c r="J570" s="9"/>
      <c r="K570" s="10"/>
      <c r="L570" s="10"/>
      <c r="M570" s="10"/>
      <c r="N570" s="8"/>
      <c r="R570" s="8"/>
      <c r="S570" s="8"/>
      <c r="T570" s="8"/>
      <c r="U570" s="8"/>
    </row>
    <row r="571" spans="4:21" s="7" customFormat="1">
      <c r="D571" s="8"/>
      <c r="E571" s="8"/>
      <c r="F571" s="28"/>
      <c r="G571" s="9"/>
      <c r="H571" s="9"/>
      <c r="I571" s="9"/>
      <c r="J571" s="9"/>
      <c r="K571" s="10"/>
      <c r="L571" s="10"/>
      <c r="M571" s="10"/>
      <c r="N571" s="8"/>
      <c r="R571" s="8"/>
      <c r="S571" s="8"/>
      <c r="T571" s="8"/>
      <c r="U571" s="8"/>
    </row>
    <row r="572" spans="4:21" s="7" customFormat="1">
      <c r="D572" s="8"/>
      <c r="E572" s="8"/>
      <c r="F572" s="28"/>
      <c r="G572" s="9"/>
      <c r="H572" s="9"/>
      <c r="I572" s="9"/>
      <c r="J572" s="9"/>
      <c r="K572" s="10"/>
      <c r="L572" s="10"/>
      <c r="M572" s="10"/>
      <c r="N572" s="8"/>
      <c r="R572" s="8"/>
      <c r="S572" s="8"/>
      <c r="T572" s="8"/>
      <c r="U572" s="8"/>
    </row>
    <row r="573" spans="4:21" s="7" customFormat="1">
      <c r="D573" s="8"/>
      <c r="E573" s="8"/>
      <c r="F573" s="28"/>
      <c r="G573" s="9"/>
      <c r="H573" s="9"/>
      <c r="I573" s="9"/>
      <c r="J573" s="9"/>
      <c r="K573" s="10"/>
      <c r="L573" s="10"/>
      <c r="M573" s="10"/>
      <c r="N573" s="8"/>
      <c r="R573" s="8"/>
      <c r="S573" s="8"/>
      <c r="T573" s="8"/>
      <c r="U573" s="8"/>
    </row>
    <row r="574" spans="4:21" s="7" customFormat="1">
      <c r="D574" s="8"/>
      <c r="E574" s="8"/>
      <c r="F574" s="28"/>
      <c r="G574" s="9"/>
      <c r="H574" s="9"/>
      <c r="I574" s="9"/>
      <c r="J574" s="9"/>
      <c r="K574" s="10"/>
      <c r="L574" s="10"/>
      <c r="M574" s="10"/>
      <c r="N574" s="8"/>
      <c r="R574" s="8"/>
      <c r="S574" s="8"/>
      <c r="T574" s="8"/>
      <c r="U574" s="8"/>
    </row>
    <row r="575" spans="4:21" s="7" customFormat="1">
      <c r="D575" s="8"/>
      <c r="E575" s="8"/>
      <c r="F575" s="28"/>
      <c r="G575" s="9"/>
      <c r="H575" s="9"/>
      <c r="I575" s="9"/>
      <c r="J575" s="9"/>
      <c r="K575" s="10"/>
      <c r="L575" s="10"/>
      <c r="M575" s="10"/>
      <c r="N575" s="8"/>
      <c r="R575" s="8"/>
      <c r="S575" s="8"/>
      <c r="T575" s="8"/>
      <c r="U575" s="8"/>
    </row>
    <row r="576" spans="4:21" s="7" customFormat="1">
      <c r="D576" s="8"/>
      <c r="E576" s="8"/>
      <c r="F576" s="28"/>
      <c r="G576" s="9"/>
      <c r="H576" s="9"/>
      <c r="I576" s="9"/>
      <c r="J576" s="9"/>
      <c r="K576" s="10"/>
      <c r="L576" s="10"/>
      <c r="M576" s="10"/>
      <c r="N576" s="8"/>
      <c r="R576" s="8"/>
      <c r="S576" s="8"/>
      <c r="T576" s="8"/>
      <c r="U576" s="8"/>
    </row>
    <row r="577" spans="4:21" s="7" customFormat="1">
      <c r="D577" s="8"/>
      <c r="E577" s="8"/>
      <c r="F577" s="28"/>
      <c r="G577" s="9"/>
      <c r="H577" s="9"/>
      <c r="I577" s="9"/>
      <c r="J577" s="9"/>
      <c r="K577" s="10"/>
      <c r="L577" s="10"/>
      <c r="M577" s="10"/>
      <c r="N577" s="8"/>
      <c r="R577" s="8"/>
      <c r="S577" s="8"/>
      <c r="T577" s="8"/>
      <c r="U577" s="8"/>
    </row>
    <row r="578" spans="4:21" s="7" customFormat="1">
      <c r="D578" s="8"/>
      <c r="E578" s="8"/>
      <c r="F578" s="28"/>
      <c r="G578" s="9"/>
      <c r="H578" s="9"/>
      <c r="I578" s="9"/>
      <c r="J578" s="9"/>
      <c r="K578" s="10"/>
      <c r="L578" s="10"/>
      <c r="M578" s="10"/>
      <c r="N578" s="8"/>
      <c r="R578" s="8"/>
      <c r="S578" s="8"/>
      <c r="T578" s="8"/>
      <c r="U578" s="8"/>
    </row>
    <row r="579" spans="4:21" s="7" customFormat="1">
      <c r="D579" s="8"/>
      <c r="E579" s="8"/>
      <c r="F579" s="28"/>
      <c r="G579" s="9"/>
      <c r="H579" s="9"/>
      <c r="I579" s="9"/>
      <c r="J579" s="9"/>
      <c r="K579" s="10"/>
      <c r="L579" s="10"/>
      <c r="M579" s="10"/>
      <c r="N579" s="8"/>
      <c r="R579" s="8"/>
      <c r="S579" s="8"/>
      <c r="T579" s="8"/>
      <c r="U579" s="8"/>
    </row>
    <row r="580" spans="4:21" s="7" customFormat="1">
      <c r="D580" s="8"/>
      <c r="E580" s="8"/>
      <c r="F580" s="28"/>
      <c r="G580" s="9"/>
      <c r="H580" s="9"/>
      <c r="I580" s="9"/>
      <c r="J580" s="9"/>
      <c r="K580" s="10"/>
      <c r="L580" s="10"/>
      <c r="M580" s="10"/>
      <c r="N580" s="8"/>
      <c r="R580" s="8"/>
      <c r="S580" s="8"/>
      <c r="T580" s="8"/>
      <c r="U580" s="8"/>
    </row>
    <row r="581" spans="4:21" s="7" customFormat="1">
      <c r="D581" s="8"/>
      <c r="E581" s="8"/>
      <c r="F581" s="28"/>
      <c r="G581" s="9"/>
      <c r="H581" s="9"/>
      <c r="I581" s="9"/>
      <c r="J581" s="9"/>
      <c r="K581" s="10"/>
      <c r="L581" s="10"/>
      <c r="M581" s="10"/>
      <c r="N581" s="8"/>
      <c r="R581" s="8"/>
      <c r="S581" s="8"/>
      <c r="T581" s="8"/>
      <c r="U581" s="8"/>
    </row>
    <row r="582" spans="4:21" s="7" customFormat="1">
      <c r="D582" s="8"/>
      <c r="E582" s="8"/>
      <c r="F582" s="28"/>
      <c r="G582" s="9"/>
      <c r="H582" s="9"/>
      <c r="I582" s="9"/>
      <c r="J582" s="9"/>
      <c r="K582" s="10"/>
      <c r="L582" s="10"/>
      <c r="M582" s="10"/>
      <c r="N582" s="8"/>
      <c r="R582" s="8"/>
      <c r="S582" s="8"/>
      <c r="T582" s="8"/>
      <c r="U582" s="8"/>
    </row>
    <row r="583" spans="4:21" s="7" customFormat="1">
      <c r="D583" s="8"/>
      <c r="E583" s="8"/>
      <c r="F583" s="28"/>
      <c r="G583" s="9"/>
      <c r="H583" s="9"/>
      <c r="I583" s="9"/>
      <c r="J583" s="9"/>
      <c r="K583" s="10"/>
      <c r="L583" s="10"/>
      <c r="M583" s="10"/>
      <c r="N583" s="8"/>
      <c r="R583" s="8"/>
      <c r="S583" s="8"/>
      <c r="T583" s="8"/>
      <c r="U583" s="8"/>
    </row>
    <row r="584" spans="4:21" s="7" customFormat="1">
      <c r="D584" s="8"/>
      <c r="E584" s="8"/>
      <c r="F584" s="28"/>
      <c r="G584" s="9"/>
      <c r="H584" s="9"/>
      <c r="I584" s="9"/>
      <c r="J584" s="9"/>
      <c r="K584" s="10"/>
      <c r="L584" s="10"/>
      <c r="M584" s="10"/>
      <c r="N584" s="8"/>
      <c r="R584" s="8"/>
      <c r="S584" s="8"/>
      <c r="T584" s="8"/>
      <c r="U584" s="8"/>
    </row>
    <row r="585" spans="4:21" s="7" customFormat="1">
      <c r="D585" s="8"/>
      <c r="E585" s="8"/>
      <c r="F585" s="28"/>
      <c r="G585" s="9"/>
      <c r="H585" s="9"/>
      <c r="I585" s="9"/>
      <c r="J585" s="9"/>
      <c r="K585" s="10"/>
      <c r="L585" s="10"/>
      <c r="M585" s="10"/>
      <c r="N585" s="8"/>
      <c r="R585" s="8"/>
      <c r="S585" s="8"/>
      <c r="T585" s="8"/>
      <c r="U585" s="8"/>
    </row>
    <row r="586" spans="4:21" s="7" customFormat="1">
      <c r="D586" s="8"/>
      <c r="E586" s="8"/>
      <c r="F586" s="28"/>
      <c r="G586" s="9"/>
      <c r="H586" s="9"/>
      <c r="I586" s="9"/>
      <c r="J586" s="9"/>
      <c r="K586" s="10"/>
      <c r="L586" s="10"/>
      <c r="M586" s="10"/>
      <c r="N586" s="8"/>
      <c r="R586" s="8"/>
      <c r="S586" s="8"/>
      <c r="T586" s="8"/>
      <c r="U586" s="8"/>
    </row>
    <row r="587" spans="4:21" s="7" customFormat="1">
      <c r="D587" s="8"/>
      <c r="E587" s="8"/>
      <c r="F587" s="28"/>
      <c r="G587" s="9"/>
      <c r="H587" s="9"/>
      <c r="I587" s="9"/>
      <c r="J587" s="9"/>
      <c r="K587" s="10"/>
      <c r="L587" s="10"/>
      <c r="M587" s="10"/>
      <c r="N587" s="8"/>
      <c r="R587" s="8"/>
      <c r="S587" s="8"/>
      <c r="T587" s="8"/>
      <c r="U587" s="8"/>
    </row>
    <row r="588" spans="4:21" s="7" customFormat="1">
      <c r="D588" s="8"/>
      <c r="E588" s="8"/>
      <c r="F588" s="28"/>
      <c r="G588" s="9"/>
      <c r="H588" s="9"/>
      <c r="I588" s="9"/>
      <c r="J588" s="9"/>
      <c r="K588" s="10"/>
      <c r="L588" s="10"/>
      <c r="M588" s="10"/>
      <c r="N588" s="8"/>
      <c r="R588" s="8"/>
      <c r="S588" s="8"/>
      <c r="T588" s="8"/>
      <c r="U588" s="8"/>
    </row>
    <row r="589" spans="4:21" s="7" customFormat="1">
      <c r="D589" s="8"/>
      <c r="E589" s="8"/>
      <c r="F589" s="28"/>
      <c r="G589" s="9"/>
      <c r="H589" s="9"/>
      <c r="I589" s="9"/>
      <c r="J589" s="9"/>
      <c r="K589" s="10"/>
      <c r="L589" s="10"/>
      <c r="M589" s="10"/>
      <c r="N589" s="8"/>
      <c r="R589" s="8"/>
      <c r="S589" s="8"/>
      <c r="T589" s="8"/>
      <c r="U589" s="8"/>
    </row>
    <row r="590" spans="4:21" s="7" customFormat="1">
      <c r="D590" s="8"/>
      <c r="E590" s="8"/>
      <c r="F590" s="28"/>
      <c r="G590" s="9"/>
      <c r="H590" s="9"/>
      <c r="I590" s="9"/>
      <c r="J590" s="9"/>
      <c r="K590" s="10"/>
      <c r="L590" s="10"/>
      <c r="M590" s="10"/>
      <c r="N590" s="8"/>
      <c r="R590" s="8"/>
      <c r="S590" s="8"/>
      <c r="T590" s="8"/>
      <c r="U590" s="8"/>
    </row>
    <row r="591" spans="4:21" s="7" customFormat="1">
      <c r="D591" s="8"/>
      <c r="E591" s="8"/>
      <c r="F591" s="28"/>
      <c r="G591" s="9"/>
      <c r="H591" s="9"/>
      <c r="I591" s="9"/>
      <c r="J591" s="9"/>
      <c r="K591" s="10"/>
      <c r="L591" s="10"/>
      <c r="M591" s="10"/>
      <c r="N591" s="8"/>
      <c r="R591" s="8"/>
      <c r="S591" s="8"/>
      <c r="T591" s="8"/>
      <c r="U591" s="8"/>
    </row>
    <row r="592" spans="4:21" s="7" customFormat="1">
      <c r="D592" s="8"/>
      <c r="E592" s="8"/>
      <c r="F592" s="28"/>
      <c r="G592" s="9"/>
      <c r="H592" s="9"/>
      <c r="I592" s="9"/>
      <c r="J592" s="9"/>
      <c r="K592" s="10"/>
      <c r="L592" s="10"/>
      <c r="M592" s="10"/>
      <c r="N592" s="8"/>
      <c r="R592" s="8"/>
      <c r="S592" s="8"/>
      <c r="T592" s="8"/>
      <c r="U592" s="8"/>
    </row>
    <row r="593" spans="4:21" s="7" customFormat="1">
      <c r="D593" s="8"/>
      <c r="E593" s="8"/>
      <c r="F593" s="28"/>
      <c r="G593" s="9"/>
      <c r="H593" s="9"/>
      <c r="I593" s="9"/>
      <c r="J593" s="9"/>
      <c r="K593" s="10"/>
      <c r="L593" s="10"/>
      <c r="M593" s="10"/>
      <c r="N593" s="8"/>
      <c r="R593" s="8"/>
      <c r="S593" s="8"/>
      <c r="T593" s="8"/>
      <c r="U593" s="8"/>
    </row>
    <row r="594" spans="4:21" s="7" customFormat="1">
      <c r="D594" s="8"/>
      <c r="E594" s="8"/>
      <c r="F594" s="28"/>
      <c r="G594" s="9"/>
      <c r="H594" s="9"/>
      <c r="I594" s="9"/>
      <c r="J594" s="9"/>
      <c r="K594" s="10"/>
      <c r="L594" s="10"/>
      <c r="M594" s="10"/>
      <c r="N594" s="8"/>
      <c r="R594" s="8"/>
      <c r="S594" s="8"/>
      <c r="T594" s="8"/>
      <c r="U594" s="8"/>
    </row>
    <row r="595" spans="4:21" s="7" customFormat="1">
      <c r="D595" s="8"/>
      <c r="E595" s="8"/>
      <c r="F595" s="28"/>
      <c r="G595" s="9"/>
      <c r="H595" s="9"/>
      <c r="I595" s="9"/>
      <c r="J595" s="9"/>
      <c r="K595" s="10"/>
      <c r="L595" s="10"/>
      <c r="M595" s="10"/>
      <c r="N595" s="8"/>
      <c r="R595" s="8"/>
      <c r="S595" s="8"/>
      <c r="T595" s="8"/>
      <c r="U595" s="8"/>
    </row>
    <row r="596" spans="4:21" s="7" customFormat="1">
      <c r="D596" s="8"/>
      <c r="E596" s="8"/>
      <c r="F596" s="28"/>
      <c r="G596" s="9"/>
      <c r="H596" s="9"/>
      <c r="I596" s="9"/>
      <c r="J596" s="9"/>
      <c r="K596" s="10"/>
      <c r="L596" s="10"/>
      <c r="M596" s="10"/>
      <c r="N596" s="8"/>
      <c r="R596" s="8"/>
      <c r="S596" s="8"/>
      <c r="T596" s="8"/>
      <c r="U596" s="8"/>
    </row>
    <row r="597" spans="4:21" s="7" customFormat="1">
      <c r="D597" s="8"/>
      <c r="E597" s="8"/>
      <c r="F597" s="28"/>
      <c r="G597" s="9"/>
      <c r="H597" s="9"/>
      <c r="I597" s="9"/>
      <c r="J597" s="9"/>
      <c r="K597" s="10"/>
      <c r="L597" s="10"/>
      <c r="M597" s="10"/>
      <c r="N597" s="8"/>
      <c r="R597" s="8"/>
      <c r="S597" s="8"/>
      <c r="T597" s="8"/>
      <c r="U597" s="8"/>
    </row>
    <row r="598" spans="4:21" s="7" customFormat="1">
      <c r="D598" s="8"/>
      <c r="E598" s="8"/>
      <c r="F598" s="28"/>
      <c r="G598" s="9"/>
      <c r="H598" s="9"/>
      <c r="I598" s="9"/>
      <c r="J598" s="9"/>
      <c r="K598" s="10"/>
      <c r="L598" s="10"/>
      <c r="M598" s="10"/>
      <c r="N598" s="8"/>
      <c r="R598" s="8"/>
      <c r="S598" s="8"/>
      <c r="T598" s="8"/>
      <c r="U598" s="8"/>
    </row>
    <row r="599" spans="4:21" s="7" customFormat="1">
      <c r="D599" s="8"/>
      <c r="E599" s="8"/>
      <c r="F599" s="28"/>
      <c r="G599" s="9"/>
      <c r="H599" s="9"/>
      <c r="I599" s="9"/>
      <c r="J599" s="9"/>
      <c r="K599" s="10"/>
      <c r="L599" s="10"/>
      <c r="M599" s="10"/>
      <c r="N599" s="8"/>
      <c r="R599" s="8"/>
      <c r="S599" s="8"/>
      <c r="T599" s="8"/>
      <c r="U599" s="8"/>
    </row>
    <row r="600" spans="4:21" s="7" customFormat="1">
      <c r="D600" s="8"/>
      <c r="E600" s="8"/>
      <c r="F600" s="28"/>
      <c r="G600" s="9"/>
      <c r="H600" s="9"/>
      <c r="I600" s="9"/>
      <c r="J600" s="9"/>
      <c r="K600" s="10"/>
      <c r="L600" s="10"/>
      <c r="M600" s="10"/>
      <c r="N600" s="8"/>
      <c r="R600" s="8"/>
      <c r="S600" s="8"/>
      <c r="T600" s="8"/>
      <c r="U600" s="8"/>
    </row>
    <row r="601" spans="4:21" s="7" customFormat="1">
      <c r="D601" s="8"/>
      <c r="E601" s="8"/>
      <c r="F601" s="28"/>
      <c r="G601" s="9"/>
      <c r="H601" s="9"/>
      <c r="I601" s="9"/>
      <c r="J601" s="9"/>
      <c r="K601" s="10"/>
      <c r="L601" s="10"/>
      <c r="M601" s="10"/>
      <c r="N601" s="8"/>
      <c r="R601" s="8"/>
      <c r="S601" s="8"/>
      <c r="T601" s="8"/>
      <c r="U601" s="8"/>
    </row>
    <row r="602" spans="4:21" s="7" customFormat="1">
      <c r="D602" s="8"/>
      <c r="E602" s="8"/>
      <c r="F602" s="28"/>
      <c r="G602" s="9"/>
      <c r="H602" s="9"/>
      <c r="I602" s="9"/>
      <c r="J602" s="9"/>
      <c r="K602" s="10"/>
      <c r="L602" s="10"/>
      <c r="M602" s="10"/>
      <c r="N602" s="8"/>
      <c r="R602" s="8"/>
      <c r="S602" s="8"/>
      <c r="T602" s="8"/>
      <c r="U602" s="8"/>
    </row>
    <row r="603" spans="4:21" s="7" customFormat="1">
      <c r="D603" s="8"/>
      <c r="E603" s="8"/>
      <c r="F603" s="28"/>
      <c r="G603" s="9"/>
      <c r="H603" s="9"/>
      <c r="I603" s="9"/>
      <c r="J603" s="9"/>
      <c r="K603" s="10"/>
      <c r="L603" s="10"/>
      <c r="M603" s="10"/>
      <c r="N603" s="8"/>
      <c r="R603" s="8"/>
      <c r="S603" s="8"/>
      <c r="T603" s="8"/>
      <c r="U603" s="8"/>
    </row>
    <row r="604" spans="4:21" s="7" customFormat="1">
      <c r="D604" s="8"/>
      <c r="E604" s="8"/>
      <c r="F604" s="28"/>
      <c r="G604" s="9"/>
      <c r="H604" s="9"/>
      <c r="I604" s="9"/>
      <c r="J604" s="9"/>
      <c r="K604" s="10"/>
      <c r="L604" s="10"/>
      <c r="M604" s="10"/>
      <c r="N604" s="8"/>
      <c r="R604" s="8"/>
      <c r="S604" s="8"/>
      <c r="T604" s="8"/>
      <c r="U604" s="8"/>
    </row>
    <row r="605" spans="4:21" s="7" customFormat="1">
      <c r="D605" s="8"/>
      <c r="E605" s="8"/>
      <c r="F605" s="28"/>
      <c r="G605" s="9"/>
      <c r="H605" s="9"/>
      <c r="I605" s="9"/>
      <c r="J605" s="9"/>
      <c r="K605" s="10"/>
      <c r="L605" s="10"/>
      <c r="M605" s="10"/>
      <c r="N605" s="8"/>
      <c r="R605" s="8"/>
      <c r="S605" s="8"/>
      <c r="T605" s="8"/>
      <c r="U605" s="8"/>
    </row>
    <row r="606" spans="4:21" s="7" customFormat="1">
      <c r="D606" s="8"/>
      <c r="E606" s="8"/>
      <c r="F606" s="28"/>
      <c r="G606" s="9"/>
      <c r="H606" s="9"/>
      <c r="I606" s="9"/>
      <c r="J606" s="9"/>
      <c r="K606" s="10"/>
      <c r="L606" s="10"/>
      <c r="M606" s="10"/>
      <c r="N606" s="8"/>
      <c r="R606" s="8"/>
      <c r="S606" s="8"/>
      <c r="T606" s="8"/>
      <c r="U606" s="8"/>
    </row>
    <row r="607" spans="4:21" s="7" customFormat="1">
      <c r="D607" s="8"/>
      <c r="E607" s="8"/>
      <c r="F607" s="28"/>
      <c r="G607" s="9"/>
      <c r="H607" s="9"/>
      <c r="I607" s="9"/>
      <c r="J607" s="9"/>
      <c r="K607" s="10"/>
      <c r="L607" s="10"/>
      <c r="M607" s="10"/>
      <c r="N607" s="8"/>
      <c r="R607" s="8"/>
      <c r="S607" s="8"/>
      <c r="T607" s="8"/>
      <c r="U607" s="8"/>
    </row>
    <row r="608" spans="4:21" s="7" customFormat="1">
      <c r="D608" s="8"/>
      <c r="E608" s="8"/>
      <c r="F608" s="28"/>
      <c r="G608" s="9"/>
      <c r="H608" s="9"/>
      <c r="I608" s="9"/>
      <c r="J608" s="9"/>
      <c r="K608" s="10"/>
      <c r="L608" s="10"/>
      <c r="M608" s="10"/>
      <c r="N608" s="8"/>
      <c r="R608" s="8"/>
      <c r="S608" s="8"/>
      <c r="T608" s="8"/>
      <c r="U608" s="8"/>
    </row>
    <row r="609" spans="4:21" s="7" customFormat="1">
      <c r="D609" s="8"/>
      <c r="E609" s="8"/>
      <c r="F609" s="28"/>
      <c r="G609" s="9"/>
      <c r="H609" s="9"/>
      <c r="I609" s="9"/>
      <c r="J609" s="9"/>
      <c r="K609" s="10"/>
      <c r="L609" s="10"/>
      <c r="M609" s="10"/>
      <c r="N609" s="8"/>
      <c r="R609" s="8"/>
      <c r="S609" s="8"/>
      <c r="T609" s="8"/>
      <c r="U609" s="8"/>
    </row>
    <row r="610" spans="4:21" s="7" customFormat="1">
      <c r="D610" s="8"/>
      <c r="E610" s="8"/>
      <c r="F610" s="28"/>
      <c r="G610" s="9"/>
      <c r="H610" s="9"/>
      <c r="I610" s="9"/>
      <c r="J610" s="9"/>
      <c r="K610" s="10"/>
      <c r="L610" s="10"/>
      <c r="M610" s="10"/>
      <c r="N610" s="8"/>
      <c r="R610" s="8"/>
      <c r="S610" s="8"/>
      <c r="T610" s="8"/>
      <c r="U610" s="8"/>
    </row>
    <row r="611" spans="4:21" s="7" customFormat="1">
      <c r="D611" s="8"/>
      <c r="E611" s="8"/>
      <c r="F611" s="28"/>
      <c r="G611" s="9"/>
      <c r="H611" s="9"/>
      <c r="I611" s="9"/>
      <c r="J611" s="9"/>
      <c r="K611" s="10"/>
      <c r="L611" s="10"/>
      <c r="M611" s="10"/>
      <c r="N611" s="8"/>
      <c r="R611" s="8"/>
      <c r="S611" s="8"/>
      <c r="T611" s="8"/>
      <c r="U611" s="8"/>
    </row>
    <row r="612" spans="4:21" s="7" customFormat="1">
      <c r="D612" s="8"/>
      <c r="E612" s="8"/>
      <c r="F612" s="28"/>
      <c r="G612" s="9"/>
      <c r="H612" s="9"/>
      <c r="I612" s="9"/>
      <c r="J612" s="9"/>
      <c r="K612" s="10"/>
      <c r="L612" s="10"/>
      <c r="M612" s="10"/>
      <c r="N612" s="8"/>
      <c r="R612" s="8"/>
      <c r="S612" s="8"/>
      <c r="T612" s="8"/>
      <c r="U612" s="8"/>
    </row>
    <row r="613" spans="4:21" s="7" customFormat="1">
      <c r="D613" s="8"/>
      <c r="E613" s="8"/>
      <c r="F613" s="28"/>
      <c r="G613" s="9"/>
      <c r="H613" s="9"/>
      <c r="I613" s="9"/>
      <c r="J613" s="9"/>
      <c r="K613" s="10"/>
      <c r="L613" s="10"/>
      <c r="M613" s="10"/>
      <c r="N613" s="13"/>
      <c r="R613" s="8"/>
      <c r="S613" s="8"/>
      <c r="T613" s="8"/>
      <c r="U613" s="8"/>
    </row>
    <row r="614" spans="4:21" s="7" customFormat="1">
      <c r="D614" s="8"/>
      <c r="E614" s="8"/>
      <c r="F614" s="28"/>
      <c r="G614" s="9"/>
      <c r="H614" s="9"/>
      <c r="I614" s="9"/>
      <c r="J614" s="9"/>
      <c r="K614" s="10"/>
      <c r="L614" s="10"/>
      <c r="M614" s="10"/>
      <c r="N614" s="13"/>
      <c r="R614" s="8"/>
      <c r="S614" s="8"/>
      <c r="T614" s="8"/>
      <c r="U614" s="8"/>
    </row>
    <row r="615" spans="4:21" s="7" customFormat="1">
      <c r="D615" s="8"/>
      <c r="E615" s="8"/>
      <c r="F615" s="28"/>
      <c r="G615" s="9"/>
      <c r="H615" s="9"/>
      <c r="I615" s="9"/>
      <c r="J615" s="9"/>
      <c r="K615" s="10"/>
      <c r="L615" s="10"/>
      <c r="M615" s="10"/>
      <c r="N615" s="13"/>
      <c r="R615" s="8"/>
      <c r="S615" s="8"/>
      <c r="T615" s="8"/>
      <c r="U615" s="8"/>
    </row>
    <row r="616" spans="4:21" s="7" customFormat="1">
      <c r="D616" s="8"/>
      <c r="E616" s="8"/>
      <c r="F616" s="28"/>
      <c r="G616" s="9"/>
      <c r="H616" s="9"/>
      <c r="I616" s="9"/>
      <c r="J616" s="9"/>
      <c r="K616" s="10"/>
      <c r="L616" s="10"/>
      <c r="M616" s="10"/>
      <c r="N616" s="13"/>
      <c r="R616" s="8"/>
      <c r="S616" s="8"/>
      <c r="T616" s="8"/>
      <c r="U616" s="8"/>
    </row>
    <row r="617" spans="4:21" s="7" customFormat="1">
      <c r="D617" s="13"/>
      <c r="E617" s="8"/>
      <c r="F617" s="28"/>
      <c r="G617" s="9"/>
      <c r="H617" s="9"/>
      <c r="I617" s="9"/>
      <c r="J617" s="9"/>
      <c r="K617" s="10"/>
      <c r="L617" s="10"/>
      <c r="M617" s="10"/>
      <c r="N617" s="13"/>
      <c r="R617" s="8"/>
      <c r="S617" s="8"/>
      <c r="T617" s="8"/>
      <c r="U617" s="8"/>
    </row>
  </sheetData>
  <mergeCells count="4">
    <mergeCell ref="N258:N260"/>
    <mergeCell ref="N281:N283"/>
    <mergeCell ref="N421:N423"/>
    <mergeCell ref="N514:N522"/>
  </mergeCells>
  <hyperlinks>
    <hyperlink ref="F1" location="'Cover Sheets'!A18" display="(Back to Worksheet Links)" xr:uid="{00000000-0004-0000-0900-000000000000}"/>
  </hyperlinks>
  <printOptions horizontalCentered="1"/>
  <pageMargins left="0.75" right="0.75" top="0.75" bottom="0.65" header="0.5" footer="0.5"/>
  <pageSetup paperSize="17" scale="87" fitToHeight="9"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186"/>
  <sheetViews>
    <sheetView view="pageBreakPreview" zoomScale="90" zoomScaleNormal="100" zoomScaleSheetLayoutView="90" workbookViewId="0"/>
  </sheetViews>
  <sheetFormatPr defaultColWidth="9.1796875" defaultRowHeight="13"/>
  <cols>
    <col min="1" max="3" width="10.453125" style="30" customWidth="1"/>
    <col min="4" max="4" width="22.453125" style="30" customWidth="1"/>
    <col min="5" max="5" width="42.54296875" style="30" customWidth="1"/>
    <col min="6" max="6" width="27.81640625" style="30" customWidth="1"/>
    <col min="7" max="7" width="22.54296875" style="236" bestFit="1" customWidth="1"/>
    <col min="8" max="8" width="16.54296875" style="30" customWidth="1"/>
    <col min="9" max="9" width="15" style="237" customWidth="1"/>
    <col min="10" max="10" width="22.54296875" style="30" customWidth="1"/>
    <col min="11" max="11" width="21.453125" style="238" customWidth="1"/>
    <col min="12" max="12" width="12.54296875" style="30" bestFit="1" customWidth="1"/>
    <col min="13" max="13" width="11.54296875" style="30" bestFit="1" customWidth="1"/>
    <col min="14" max="16384" width="9.1796875" style="30"/>
  </cols>
  <sheetData>
    <row r="1" spans="1:16" ht="14.5">
      <c r="A1" s="538" t="str">
        <f>'Cover Sheets'!A10:D10</f>
        <v>WAPA-UGP 2023 Rate True-up Calculation</v>
      </c>
      <c r="B1" s="115"/>
      <c r="C1" s="115"/>
      <c r="D1" s="35"/>
      <c r="E1" s="93" t="s">
        <v>52</v>
      </c>
      <c r="F1" s="35"/>
      <c r="G1" s="142"/>
      <c r="H1" s="35"/>
      <c r="I1" s="76"/>
      <c r="J1" s="35"/>
      <c r="K1" s="230"/>
    </row>
    <row r="2" spans="1:16">
      <c r="A2" s="538" t="s">
        <v>2334</v>
      </c>
      <c r="B2" s="115"/>
      <c r="C2" s="115"/>
      <c r="D2" s="35"/>
      <c r="E2" s="35"/>
      <c r="F2" s="35"/>
      <c r="G2" s="142"/>
      <c r="H2" s="35"/>
      <c r="I2" s="76"/>
      <c r="J2" s="35"/>
      <c r="K2" s="230"/>
    </row>
    <row r="3" spans="1:16">
      <c r="A3" s="35" t="str">
        <f>'Summary-TrueUp'!A3</f>
        <v>12 Months Ending 09/30/2023 True-up</v>
      </c>
      <c r="B3" s="35"/>
      <c r="C3" s="35"/>
      <c r="D3" s="35"/>
      <c r="E3" s="112"/>
      <c r="F3" s="112"/>
      <c r="G3" s="112"/>
      <c r="H3" s="112"/>
      <c r="I3" s="112"/>
      <c r="J3" s="112"/>
      <c r="K3" s="231"/>
    </row>
    <row r="4" spans="1:16">
      <c r="A4" s="35"/>
      <c r="B4" s="229">
        <v>-1</v>
      </c>
      <c r="C4" s="229">
        <v>-2</v>
      </c>
      <c r="D4" s="229">
        <v>-3</v>
      </c>
      <c r="E4" s="229">
        <v>-4</v>
      </c>
      <c r="F4" s="229">
        <v>-5</v>
      </c>
      <c r="G4" s="229">
        <v>-6</v>
      </c>
      <c r="H4" s="229">
        <v>-7</v>
      </c>
      <c r="I4" s="229">
        <v>-8</v>
      </c>
      <c r="J4" s="229">
        <v>-9</v>
      </c>
      <c r="K4" s="229">
        <v>-10</v>
      </c>
    </row>
    <row r="5" spans="1:16" ht="39">
      <c r="A5" s="245" t="s">
        <v>65</v>
      </c>
      <c r="B5" s="245" t="s">
        <v>1283</v>
      </c>
      <c r="C5" s="245" t="s">
        <v>55</v>
      </c>
      <c r="D5" s="456" t="s">
        <v>239</v>
      </c>
      <c r="E5" s="246" t="s">
        <v>2425</v>
      </c>
      <c r="F5" s="247"/>
      <c r="G5" s="248" t="s">
        <v>1284</v>
      </c>
      <c r="H5" s="247"/>
      <c r="I5" s="249"/>
      <c r="J5" s="249"/>
      <c r="K5" s="248" t="s">
        <v>2426</v>
      </c>
    </row>
    <row r="6" spans="1:16">
      <c r="A6" s="226">
        <v>1</v>
      </c>
      <c r="B6" s="226" t="s">
        <v>27</v>
      </c>
      <c r="C6" s="226" t="s">
        <v>76</v>
      </c>
      <c r="D6" s="232" t="s">
        <v>1285</v>
      </c>
      <c r="E6" s="233" t="s">
        <v>1286</v>
      </c>
      <c r="F6" s="112"/>
      <c r="G6" s="97">
        <v>51813.31</v>
      </c>
      <c r="H6" s="112"/>
      <c r="I6" s="112"/>
      <c r="J6" s="112"/>
      <c r="K6" s="234">
        <f>SUM(G6:J6)</f>
        <v>51813.31</v>
      </c>
    </row>
    <row r="7" spans="1:16">
      <c r="A7" s="227">
        <f>A6+1</f>
        <v>2</v>
      </c>
      <c r="B7" s="227" t="s">
        <v>27</v>
      </c>
      <c r="C7" s="227" t="s">
        <v>76</v>
      </c>
      <c r="D7" s="232" t="s">
        <v>632</v>
      </c>
      <c r="E7" s="79" t="s">
        <v>1287</v>
      </c>
      <c r="F7" s="112"/>
      <c r="G7" s="97">
        <f>(1840648+1461978.4)*0.67</f>
        <v>2212759.6880000001</v>
      </c>
      <c r="H7" s="112"/>
      <c r="I7" s="112"/>
      <c r="J7" s="112"/>
      <c r="K7" s="234">
        <f t="shared" ref="K7:K9" si="0">SUM(G7:J7)</f>
        <v>2212759.6880000001</v>
      </c>
    </row>
    <row r="8" spans="1:16">
      <c r="A8" s="227">
        <f>A7+1</f>
        <v>3</v>
      </c>
      <c r="B8" s="227" t="s">
        <v>27</v>
      </c>
      <c r="C8" s="227" t="s">
        <v>76</v>
      </c>
      <c r="D8" s="232" t="s">
        <v>632</v>
      </c>
      <c r="E8" s="79" t="s">
        <v>1288</v>
      </c>
      <c r="F8" s="112"/>
      <c r="G8" s="97">
        <f>2827344+2245680.4</f>
        <v>5073024.4000000004</v>
      </c>
      <c r="H8" s="112"/>
      <c r="I8" s="112"/>
      <c r="J8" s="112"/>
      <c r="K8" s="234">
        <f t="shared" si="0"/>
        <v>5073024.4000000004</v>
      </c>
    </row>
    <row r="9" spans="1:16">
      <c r="A9" s="227">
        <f t="shared" ref="A9:A25" si="1">A8+1</f>
        <v>4</v>
      </c>
      <c r="B9" s="227" t="s">
        <v>27</v>
      </c>
      <c r="C9" s="227" t="s">
        <v>76</v>
      </c>
      <c r="D9" s="232" t="s">
        <v>698</v>
      </c>
      <c r="E9" s="79" t="s">
        <v>1289</v>
      </c>
      <c r="F9" s="112"/>
      <c r="G9" s="40">
        <v>403</v>
      </c>
      <c r="H9" s="112"/>
      <c r="I9" s="112"/>
      <c r="J9" s="112"/>
      <c r="K9" s="234">
        <f t="shared" si="0"/>
        <v>403</v>
      </c>
    </row>
    <row r="10" spans="1:16" ht="13.5" thickBot="1">
      <c r="A10" s="227">
        <f t="shared" si="1"/>
        <v>5</v>
      </c>
      <c r="B10" s="227"/>
      <c r="C10" s="227"/>
      <c r="D10" s="39"/>
      <c r="E10" s="255" t="s">
        <v>84</v>
      </c>
      <c r="F10" s="239"/>
      <c r="G10" s="143">
        <f>SUM(G6:G9)</f>
        <v>7338000.398</v>
      </c>
      <c r="H10" s="240"/>
      <c r="I10" s="241"/>
      <c r="J10" s="242"/>
      <c r="K10" s="243">
        <f>SUM(K6:K9)</f>
        <v>7338000.398</v>
      </c>
      <c r="L10" s="10"/>
      <c r="M10" s="458"/>
      <c r="N10" s="7"/>
      <c r="O10" s="7"/>
      <c r="P10" s="11"/>
    </row>
    <row r="11" spans="1:16" s="610" customFormat="1" ht="13.5" thickTop="1">
      <c r="A11" s="159">
        <f t="shared" si="1"/>
        <v>6</v>
      </c>
      <c r="B11" s="159" t="s">
        <v>31</v>
      </c>
      <c r="C11" s="159" t="s">
        <v>76</v>
      </c>
      <c r="D11" s="39"/>
      <c r="E11" s="634" t="s">
        <v>2419</v>
      </c>
      <c r="F11" s="37"/>
      <c r="G11" s="123">
        <v>1.0000000000000001E-5</v>
      </c>
      <c r="H11" s="635"/>
      <c r="I11" s="39"/>
      <c r="J11" s="444"/>
      <c r="K11" s="234">
        <f t="shared" ref="K11" si="2">SUM(G11:J11)</f>
        <v>1.0000000000000001E-5</v>
      </c>
      <c r="L11" s="606"/>
      <c r="M11" s="607"/>
      <c r="N11" s="608"/>
      <c r="O11" s="608"/>
      <c r="P11" s="609"/>
    </row>
    <row r="12" spans="1:16" ht="13.5" thickBot="1">
      <c r="A12" s="227">
        <f t="shared" si="1"/>
        <v>7</v>
      </c>
      <c r="B12" s="227"/>
      <c r="C12" s="227"/>
      <c r="D12" s="39"/>
      <c r="E12" s="255" t="s">
        <v>84</v>
      </c>
      <c r="F12" s="239"/>
      <c r="G12" s="143">
        <f>SUM(G11:G11)</f>
        <v>1.0000000000000001E-5</v>
      </c>
      <c r="H12" s="240"/>
      <c r="I12" s="241"/>
      <c r="J12" s="242"/>
      <c r="K12" s="243">
        <f>SUM(K11:K11)</f>
        <v>1.0000000000000001E-5</v>
      </c>
      <c r="L12" s="10"/>
      <c r="M12" s="589"/>
      <c r="N12" s="7"/>
      <c r="O12" s="7"/>
      <c r="P12" s="11"/>
    </row>
    <row r="13" spans="1:16" ht="13.5" thickTop="1">
      <c r="A13" s="227">
        <f t="shared" si="1"/>
        <v>8</v>
      </c>
      <c r="B13" s="227" t="s">
        <v>27</v>
      </c>
      <c r="C13" s="227" t="s">
        <v>80</v>
      </c>
      <c r="D13" s="232" t="s">
        <v>632</v>
      </c>
      <c r="E13" s="79" t="s">
        <v>1287</v>
      </c>
      <c r="F13" s="112"/>
      <c r="G13" s="40">
        <f>(1840648+1461978.4)*0.33</f>
        <v>1089866.7120000001</v>
      </c>
      <c r="H13" s="112"/>
      <c r="I13" s="112"/>
      <c r="J13" s="112"/>
      <c r="K13" s="234">
        <f t="shared" ref="K13" si="3">SUM(G13:J13)</f>
        <v>1089866.7120000001</v>
      </c>
    </row>
    <row r="14" spans="1:16" ht="13.5" thickBot="1">
      <c r="A14" s="227">
        <f t="shared" si="1"/>
        <v>9</v>
      </c>
      <c r="B14" s="227"/>
      <c r="C14" s="227"/>
      <c r="D14" s="39"/>
      <c r="E14" s="255" t="s">
        <v>84</v>
      </c>
      <c r="F14" s="239"/>
      <c r="G14" s="143">
        <f>SUM(G13)</f>
        <v>1089866.7120000001</v>
      </c>
      <c r="H14" s="240"/>
      <c r="I14" s="241"/>
      <c r="J14" s="242"/>
      <c r="K14" s="243">
        <f>SUM(K13)</f>
        <v>1089866.7120000001</v>
      </c>
      <c r="L14" s="10"/>
      <c r="M14" s="458"/>
      <c r="N14" s="7"/>
      <c r="O14" s="7"/>
      <c r="P14" s="11"/>
    </row>
    <row r="15" spans="1:16" s="610" customFormat="1" ht="13.5" thickTop="1">
      <c r="A15" s="159">
        <f t="shared" si="1"/>
        <v>10</v>
      </c>
      <c r="B15" s="159" t="s">
        <v>31</v>
      </c>
      <c r="C15" s="159" t="s">
        <v>80</v>
      </c>
      <c r="D15" s="256"/>
      <c r="E15" s="79" t="s">
        <v>2419</v>
      </c>
      <c r="F15" s="112"/>
      <c r="G15" s="40">
        <v>1.0000000000000001E-5</v>
      </c>
      <c r="H15" s="112"/>
      <c r="I15" s="112"/>
      <c r="J15" s="112"/>
      <c r="K15" s="234">
        <f>SUM(G15:J15)</f>
        <v>1.0000000000000001E-5</v>
      </c>
    </row>
    <row r="16" spans="1:16" ht="13.5" thickBot="1">
      <c r="A16" s="227">
        <f t="shared" si="1"/>
        <v>11</v>
      </c>
      <c r="B16" s="227"/>
      <c r="C16" s="227"/>
      <c r="D16" s="39"/>
      <c r="E16" s="255" t="s">
        <v>84</v>
      </c>
      <c r="F16" s="239"/>
      <c r="G16" s="143">
        <f>SUM(G15:G15)</f>
        <v>1.0000000000000001E-5</v>
      </c>
      <c r="H16" s="240"/>
      <c r="I16" s="241"/>
      <c r="J16" s="242"/>
      <c r="K16" s="243">
        <f>SUM(K15:K15)</f>
        <v>1.0000000000000001E-5</v>
      </c>
      <c r="L16" s="10"/>
      <c r="M16" s="589"/>
      <c r="N16" s="7"/>
      <c r="O16" s="7"/>
      <c r="P16" s="11"/>
    </row>
    <row r="17" spans="1:16" ht="26.5" thickTop="1">
      <c r="A17" s="227"/>
      <c r="B17" s="227"/>
      <c r="C17" s="227"/>
      <c r="D17" s="39"/>
      <c r="E17" s="438" t="s">
        <v>240</v>
      </c>
      <c r="F17" s="37"/>
      <c r="G17" s="439" t="s">
        <v>1284</v>
      </c>
      <c r="H17" s="635"/>
      <c r="I17" s="39"/>
      <c r="J17" s="642" t="s">
        <v>2424</v>
      </c>
      <c r="K17" s="642" t="s">
        <v>2426</v>
      </c>
      <c r="L17" s="10"/>
      <c r="M17" s="620"/>
      <c r="N17" s="7"/>
      <c r="O17" s="7"/>
      <c r="P17" s="11"/>
    </row>
    <row r="18" spans="1:16" ht="15" customHeight="1">
      <c r="A18" s="227">
        <f>A16+1</f>
        <v>12</v>
      </c>
      <c r="B18" s="227" t="s">
        <v>2316</v>
      </c>
      <c r="C18" s="227" t="s">
        <v>82</v>
      </c>
      <c r="D18" s="256" t="s">
        <v>754</v>
      </c>
      <c r="E18" s="79" t="s">
        <v>755</v>
      </c>
      <c r="F18" s="111"/>
      <c r="G18" s="123">
        <f>G65</f>
        <v>7134157.3499999996</v>
      </c>
      <c r="H18" s="38"/>
      <c r="I18" s="123"/>
      <c r="J18" s="136">
        <f>K18-G18</f>
        <v>0</v>
      </c>
      <c r="K18" s="123">
        <f>K65</f>
        <v>7134157.3499999996</v>
      </c>
      <c r="L18" s="457"/>
      <c r="N18" s="7"/>
      <c r="O18" s="7"/>
      <c r="P18" s="7"/>
    </row>
    <row r="19" spans="1:16">
      <c r="A19" s="227">
        <f t="shared" si="1"/>
        <v>13</v>
      </c>
      <c r="B19" s="227" t="s">
        <v>2316</v>
      </c>
      <c r="C19" s="227" t="s">
        <v>82</v>
      </c>
      <c r="D19" s="256" t="s">
        <v>757</v>
      </c>
      <c r="E19" s="37" t="s">
        <v>1290</v>
      </c>
      <c r="F19" s="111"/>
      <c r="G19" s="123">
        <f>G71+G82</f>
        <v>1785957.7100000002</v>
      </c>
      <c r="H19" s="40"/>
      <c r="I19" s="123"/>
      <c r="J19" s="136">
        <f>K19-G19</f>
        <v>-355271.20799000026</v>
      </c>
      <c r="K19" s="123">
        <f>K71+K82</f>
        <v>1430686.5020099999</v>
      </c>
      <c r="L19" s="458"/>
      <c r="N19" s="7"/>
      <c r="O19" s="7"/>
      <c r="P19" s="11"/>
    </row>
    <row r="20" spans="1:16">
      <c r="A20" s="227">
        <f t="shared" si="1"/>
        <v>14</v>
      </c>
      <c r="B20" s="226" t="s">
        <v>2316</v>
      </c>
      <c r="C20" s="226" t="s">
        <v>82</v>
      </c>
      <c r="D20" s="256" t="s">
        <v>759</v>
      </c>
      <c r="E20" s="37" t="s">
        <v>1291</v>
      </c>
      <c r="F20" s="111"/>
      <c r="G20" s="123">
        <f>G137+G156</f>
        <v>12261115.650000002</v>
      </c>
      <c r="H20" s="40"/>
      <c r="I20" s="123"/>
      <c r="J20" s="136">
        <f>K20-G20</f>
        <v>-1588854.0393500011</v>
      </c>
      <c r="K20" s="123">
        <f>K137+K156</f>
        <v>10672261.610650001</v>
      </c>
      <c r="L20" s="458"/>
      <c r="N20" s="7"/>
      <c r="O20" s="7"/>
      <c r="P20" s="11"/>
    </row>
    <row r="21" spans="1:16" ht="13.5" thickBot="1">
      <c r="A21" s="227">
        <f t="shared" si="1"/>
        <v>15</v>
      </c>
      <c r="B21" s="227"/>
      <c r="C21" s="227"/>
      <c r="D21" s="39"/>
      <c r="E21" s="255" t="s">
        <v>84</v>
      </c>
      <c r="F21" s="239"/>
      <c r="G21" s="143">
        <f>SUM(G18:G20)</f>
        <v>21181230.710000001</v>
      </c>
      <c r="H21" s="240"/>
      <c r="I21" s="243"/>
      <c r="J21" s="242">
        <f>SUM(J18:J20)</f>
        <v>-1944125.2473400014</v>
      </c>
      <c r="K21" s="243">
        <f>SUM(K18:K20)</f>
        <v>19237105.46266</v>
      </c>
      <c r="L21" s="10"/>
      <c r="M21" s="458"/>
      <c r="N21" s="7"/>
      <c r="O21" s="7"/>
      <c r="P21" s="11"/>
    </row>
    <row r="22" spans="1:16" ht="33.65" customHeight="1" thickTop="1">
      <c r="A22" s="227">
        <f t="shared" si="1"/>
        <v>16</v>
      </c>
      <c r="B22" s="227"/>
      <c r="C22" s="227"/>
      <c r="D22" s="250" t="s">
        <v>239</v>
      </c>
      <c r="E22" s="246" t="s">
        <v>1292</v>
      </c>
      <c r="F22" s="251"/>
      <c r="G22" s="252" t="s">
        <v>1293</v>
      </c>
      <c r="H22" s="253" t="s">
        <v>1294</v>
      </c>
      <c r="I22" s="254" t="s">
        <v>1295</v>
      </c>
      <c r="J22" s="456" t="s">
        <v>1296</v>
      </c>
      <c r="K22" s="367" t="s">
        <v>1297</v>
      </c>
    </row>
    <row r="23" spans="1:16">
      <c r="A23" s="227">
        <f t="shared" si="1"/>
        <v>17</v>
      </c>
      <c r="B23" s="226" t="s">
        <v>2316</v>
      </c>
      <c r="C23" s="227"/>
      <c r="D23" s="244" t="s">
        <v>1298</v>
      </c>
      <c r="E23" s="78" t="s">
        <v>1299</v>
      </c>
      <c r="F23" s="37"/>
      <c r="G23" s="123">
        <f>298.8</f>
        <v>298.8</v>
      </c>
      <c r="H23" s="94">
        <v>1</v>
      </c>
      <c r="I23" s="76">
        <f>H23*G23</f>
        <v>298.8</v>
      </c>
      <c r="J23" s="94">
        <v>1</v>
      </c>
      <c r="K23" s="235">
        <f>G23*J23</f>
        <v>298.8</v>
      </c>
    </row>
    <row r="24" spans="1:16">
      <c r="A24" s="227">
        <f t="shared" si="1"/>
        <v>18</v>
      </c>
      <c r="B24" s="226" t="s">
        <v>2316</v>
      </c>
      <c r="C24" s="227"/>
      <c r="D24" s="244" t="s">
        <v>1298</v>
      </c>
      <c r="E24" s="78" t="s">
        <v>1300</v>
      </c>
      <c r="F24" s="37"/>
      <c r="G24" s="123">
        <f>9789.59</f>
        <v>9789.59</v>
      </c>
      <c r="H24" s="94">
        <v>1</v>
      </c>
      <c r="I24" s="76">
        <f t="shared" ref="I24:I64" si="4">H24*G24</f>
        <v>9789.59</v>
      </c>
      <c r="J24" s="94">
        <v>1</v>
      </c>
      <c r="K24" s="235">
        <f t="shared" ref="K24:K64" si="5">G24*J24</f>
        <v>9789.59</v>
      </c>
    </row>
    <row r="25" spans="1:16">
      <c r="A25" s="227">
        <f t="shared" si="1"/>
        <v>19</v>
      </c>
      <c r="B25" s="226" t="s">
        <v>2316</v>
      </c>
      <c r="C25" s="227"/>
      <c r="D25" s="244" t="s">
        <v>1298</v>
      </c>
      <c r="E25" s="78" t="s">
        <v>1301</v>
      </c>
      <c r="F25" s="37"/>
      <c r="G25" s="123">
        <f>1538.62</f>
        <v>1538.62</v>
      </c>
      <c r="H25" s="94">
        <v>1</v>
      </c>
      <c r="I25" s="76">
        <f t="shared" si="4"/>
        <v>1538.62</v>
      </c>
      <c r="J25" s="94">
        <v>1</v>
      </c>
      <c r="K25" s="235">
        <f t="shared" si="5"/>
        <v>1538.62</v>
      </c>
    </row>
    <row r="26" spans="1:16">
      <c r="A26" s="227">
        <v>9</v>
      </c>
      <c r="B26" s="226" t="s">
        <v>2316</v>
      </c>
      <c r="C26" s="227"/>
      <c r="D26" s="244" t="s">
        <v>1298</v>
      </c>
      <c r="E26" s="78" t="s">
        <v>1302</v>
      </c>
      <c r="F26" s="37"/>
      <c r="G26" s="123">
        <f>295485.92</f>
        <v>295485.92</v>
      </c>
      <c r="H26" s="94">
        <v>1</v>
      </c>
      <c r="I26" s="76">
        <f t="shared" si="4"/>
        <v>295485.92</v>
      </c>
      <c r="J26" s="94">
        <v>1</v>
      </c>
      <c r="K26" s="235">
        <f t="shared" si="5"/>
        <v>295485.92</v>
      </c>
    </row>
    <row r="27" spans="1:16">
      <c r="A27" s="227">
        <v>10</v>
      </c>
      <c r="B27" s="226" t="s">
        <v>2316</v>
      </c>
      <c r="C27" s="227"/>
      <c r="D27" s="244" t="s">
        <v>1298</v>
      </c>
      <c r="E27" s="78" t="s">
        <v>1303</v>
      </c>
      <c r="F27" s="37"/>
      <c r="G27" s="123">
        <f>57816.18</f>
        <v>57816.18</v>
      </c>
      <c r="H27" s="94">
        <v>1</v>
      </c>
      <c r="I27" s="76">
        <f t="shared" si="4"/>
        <v>57816.18</v>
      </c>
      <c r="J27" s="94">
        <v>1</v>
      </c>
      <c r="K27" s="235">
        <f t="shared" si="5"/>
        <v>57816.18</v>
      </c>
    </row>
    <row r="28" spans="1:16">
      <c r="A28" s="227">
        <v>11</v>
      </c>
      <c r="B28" s="226" t="s">
        <v>2316</v>
      </c>
      <c r="C28" s="227"/>
      <c r="D28" s="244" t="s">
        <v>1298</v>
      </c>
      <c r="E28" s="78" t="s">
        <v>1303</v>
      </c>
      <c r="F28" s="37"/>
      <c r="G28" s="123">
        <f>5246.19</f>
        <v>5246.19</v>
      </c>
      <c r="H28" s="94">
        <v>1</v>
      </c>
      <c r="I28" s="76">
        <f t="shared" si="4"/>
        <v>5246.19</v>
      </c>
      <c r="J28" s="94">
        <v>1</v>
      </c>
      <c r="K28" s="235">
        <f t="shared" si="5"/>
        <v>5246.19</v>
      </c>
    </row>
    <row r="29" spans="1:16">
      <c r="A29" s="227">
        <v>12</v>
      </c>
      <c r="B29" s="226" t="s">
        <v>2316</v>
      </c>
      <c r="C29" s="227"/>
      <c r="D29" s="244" t="s">
        <v>1298</v>
      </c>
      <c r="E29" s="78" t="s">
        <v>1304</v>
      </c>
      <c r="F29" s="37"/>
      <c r="G29" s="123">
        <f>17479.6</f>
        <v>17479.599999999999</v>
      </c>
      <c r="H29" s="94">
        <v>1</v>
      </c>
      <c r="I29" s="76">
        <f t="shared" si="4"/>
        <v>17479.599999999999</v>
      </c>
      <c r="J29" s="94">
        <v>1</v>
      </c>
      <c r="K29" s="235">
        <f t="shared" si="5"/>
        <v>17479.599999999999</v>
      </c>
    </row>
    <row r="30" spans="1:16">
      <c r="A30" s="227">
        <v>13</v>
      </c>
      <c r="B30" s="226" t="s">
        <v>2316</v>
      </c>
      <c r="C30" s="227"/>
      <c r="D30" s="244" t="s">
        <v>1298</v>
      </c>
      <c r="E30" s="78" t="s">
        <v>1305</v>
      </c>
      <c r="F30" s="37"/>
      <c r="G30" s="123">
        <f>122582.16</f>
        <v>122582.16</v>
      </c>
      <c r="H30" s="94">
        <v>1</v>
      </c>
      <c r="I30" s="76">
        <f t="shared" si="4"/>
        <v>122582.16</v>
      </c>
      <c r="J30" s="94">
        <v>1</v>
      </c>
      <c r="K30" s="235">
        <f t="shared" si="5"/>
        <v>122582.16</v>
      </c>
    </row>
    <row r="31" spans="1:16">
      <c r="A31" s="227">
        <v>14</v>
      </c>
      <c r="B31" s="226" t="s">
        <v>2316</v>
      </c>
      <c r="C31" s="227"/>
      <c r="D31" s="244" t="s">
        <v>1298</v>
      </c>
      <c r="E31" s="78" t="s">
        <v>1305</v>
      </c>
      <c r="F31" s="37"/>
      <c r="G31" s="123">
        <f>12407.04</f>
        <v>12407.04</v>
      </c>
      <c r="H31" s="94">
        <v>1</v>
      </c>
      <c r="I31" s="76">
        <f t="shared" si="4"/>
        <v>12407.04</v>
      </c>
      <c r="J31" s="94">
        <v>1</v>
      </c>
      <c r="K31" s="235">
        <f t="shared" si="5"/>
        <v>12407.04</v>
      </c>
    </row>
    <row r="32" spans="1:16">
      <c r="A32" s="227">
        <v>15</v>
      </c>
      <c r="B32" s="226" t="s">
        <v>2316</v>
      </c>
      <c r="C32" s="227"/>
      <c r="D32" s="244" t="s">
        <v>1298</v>
      </c>
      <c r="E32" s="78" t="s">
        <v>1306</v>
      </c>
      <c r="F32" s="37"/>
      <c r="G32" s="123">
        <f>20216.81</f>
        <v>20216.810000000001</v>
      </c>
      <c r="H32" s="94">
        <v>1</v>
      </c>
      <c r="I32" s="76">
        <f t="shared" si="4"/>
        <v>20216.810000000001</v>
      </c>
      <c r="J32" s="94">
        <v>1</v>
      </c>
      <c r="K32" s="235">
        <f t="shared" si="5"/>
        <v>20216.810000000001</v>
      </c>
    </row>
    <row r="33" spans="1:11">
      <c r="A33" s="227">
        <v>16</v>
      </c>
      <c r="B33" s="226" t="s">
        <v>2316</v>
      </c>
      <c r="C33" s="227"/>
      <c r="D33" s="244" t="s">
        <v>1298</v>
      </c>
      <c r="E33" s="78" t="s">
        <v>1303</v>
      </c>
      <c r="F33" s="37"/>
      <c r="G33" s="123">
        <v>2474.7800000000002</v>
      </c>
      <c r="H33" s="94">
        <v>1</v>
      </c>
      <c r="I33" s="76">
        <f t="shared" si="4"/>
        <v>2474.7800000000002</v>
      </c>
      <c r="J33" s="94">
        <v>1</v>
      </c>
      <c r="K33" s="235">
        <f t="shared" si="5"/>
        <v>2474.7800000000002</v>
      </c>
    </row>
    <row r="34" spans="1:11">
      <c r="A34" s="227">
        <v>17</v>
      </c>
      <c r="B34" s="226" t="s">
        <v>2316</v>
      </c>
      <c r="C34" s="227"/>
      <c r="D34" s="244" t="s">
        <v>1298</v>
      </c>
      <c r="E34" s="78" t="s">
        <v>1307</v>
      </c>
      <c r="F34" s="37"/>
      <c r="G34" s="123">
        <v>43699.33</v>
      </c>
      <c r="H34" s="94">
        <v>1</v>
      </c>
      <c r="I34" s="76">
        <f t="shared" si="4"/>
        <v>43699.33</v>
      </c>
      <c r="J34" s="94">
        <v>1</v>
      </c>
      <c r="K34" s="235">
        <f t="shared" si="5"/>
        <v>43699.33</v>
      </c>
    </row>
    <row r="35" spans="1:11">
      <c r="A35" s="227">
        <v>18</v>
      </c>
      <c r="B35" s="226" t="s">
        <v>2316</v>
      </c>
      <c r="C35" s="227"/>
      <c r="D35" s="244" t="s">
        <v>1298</v>
      </c>
      <c r="E35" s="78" t="s">
        <v>1300</v>
      </c>
      <c r="F35" s="37"/>
      <c r="G35" s="123">
        <f>54137.52</f>
        <v>54137.52</v>
      </c>
      <c r="H35" s="94">
        <v>1</v>
      </c>
      <c r="I35" s="76">
        <f t="shared" si="4"/>
        <v>54137.52</v>
      </c>
      <c r="J35" s="94">
        <v>1</v>
      </c>
      <c r="K35" s="235">
        <f t="shared" si="5"/>
        <v>54137.52</v>
      </c>
    </row>
    <row r="36" spans="1:11">
      <c r="A36" s="227">
        <v>19</v>
      </c>
      <c r="B36" s="226" t="s">
        <v>2316</v>
      </c>
      <c r="C36" s="227"/>
      <c r="D36" s="244" t="s">
        <v>1298</v>
      </c>
      <c r="E36" s="78" t="s">
        <v>1308</v>
      </c>
      <c r="F36" s="37"/>
      <c r="G36" s="123">
        <f>531049.1</f>
        <v>531049.1</v>
      </c>
      <c r="H36" s="94">
        <v>1</v>
      </c>
      <c r="I36" s="76">
        <f t="shared" si="4"/>
        <v>531049.1</v>
      </c>
      <c r="J36" s="94">
        <v>1</v>
      </c>
      <c r="K36" s="235">
        <f t="shared" si="5"/>
        <v>531049.1</v>
      </c>
    </row>
    <row r="37" spans="1:11">
      <c r="A37" s="227">
        <v>20</v>
      </c>
      <c r="B37" s="226" t="s">
        <v>2316</v>
      </c>
      <c r="C37" s="227"/>
      <c r="D37" s="244" t="s">
        <v>1298</v>
      </c>
      <c r="E37" s="78" t="s">
        <v>1308</v>
      </c>
      <c r="F37" s="37"/>
      <c r="G37" s="123">
        <f>90309.47</f>
        <v>90309.47</v>
      </c>
      <c r="H37" s="94">
        <v>1</v>
      </c>
      <c r="I37" s="76">
        <f t="shared" si="4"/>
        <v>90309.47</v>
      </c>
      <c r="J37" s="94">
        <v>1</v>
      </c>
      <c r="K37" s="235">
        <f t="shared" si="5"/>
        <v>90309.47</v>
      </c>
    </row>
    <row r="38" spans="1:11">
      <c r="A38" s="227">
        <v>21</v>
      </c>
      <c r="B38" s="226" t="s">
        <v>2316</v>
      </c>
      <c r="C38" s="227"/>
      <c r="D38" s="244" t="s">
        <v>1298</v>
      </c>
      <c r="E38" s="78" t="s">
        <v>1309</v>
      </c>
      <c r="F38" s="37"/>
      <c r="G38" s="123">
        <f>54257.11</f>
        <v>54257.11</v>
      </c>
      <c r="H38" s="94">
        <v>1</v>
      </c>
      <c r="I38" s="76">
        <f t="shared" si="4"/>
        <v>54257.11</v>
      </c>
      <c r="J38" s="94">
        <v>1</v>
      </c>
      <c r="K38" s="235">
        <f t="shared" si="5"/>
        <v>54257.11</v>
      </c>
    </row>
    <row r="39" spans="1:11">
      <c r="A39" s="227">
        <v>22</v>
      </c>
      <c r="B39" s="226" t="s">
        <v>2316</v>
      </c>
      <c r="C39" s="227"/>
      <c r="D39" s="244" t="s">
        <v>1298</v>
      </c>
      <c r="E39" s="78" t="s">
        <v>1309</v>
      </c>
      <c r="F39" s="37"/>
      <c r="G39" s="123">
        <f>475745.99</f>
        <v>475745.99</v>
      </c>
      <c r="H39" s="94">
        <v>1</v>
      </c>
      <c r="I39" s="76">
        <f t="shared" si="4"/>
        <v>475745.99</v>
      </c>
      <c r="J39" s="94">
        <v>1</v>
      </c>
      <c r="K39" s="235">
        <f t="shared" si="5"/>
        <v>475745.99</v>
      </c>
    </row>
    <row r="40" spans="1:11">
      <c r="A40" s="227">
        <v>23</v>
      </c>
      <c r="B40" s="226" t="s">
        <v>2316</v>
      </c>
      <c r="C40" s="227"/>
      <c r="D40" s="244" t="s">
        <v>1298</v>
      </c>
      <c r="E40" s="78" t="s">
        <v>1310</v>
      </c>
      <c r="F40" s="37"/>
      <c r="G40" s="123">
        <f>95962.39</f>
        <v>95962.39</v>
      </c>
      <c r="H40" s="94">
        <v>1</v>
      </c>
      <c r="I40" s="76">
        <f t="shared" si="4"/>
        <v>95962.39</v>
      </c>
      <c r="J40" s="94">
        <v>1</v>
      </c>
      <c r="K40" s="235">
        <f t="shared" si="5"/>
        <v>95962.39</v>
      </c>
    </row>
    <row r="41" spans="1:11">
      <c r="A41" s="227">
        <v>24</v>
      </c>
      <c r="B41" s="226" t="s">
        <v>2316</v>
      </c>
      <c r="C41" s="227"/>
      <c r="D41" s="244" t="s">
        <v>1298</v>
      </c>
      <c r="E41" s="78" t="s">
        <v>1306</v>
      </c>
      <c r="F41" s="37"/>
      <c r="G41" s="123">
        <f>12679.49</f>
        <v>12679.49</v>
      </c>
      <c r="H41" s="94">
        <v>1</v>
      </c>
      <c r="I41" s="76">
        <f t="shared" si="4"/>
        <v>12679.49</v>
      </c>
      <c r="J41" s="94">
        <v>1</v>
      </c>
      <c r="K41" s="235">
        <f t="shared" si="5"/>
        <v>12679.49</v>
      </c>
    </row>
    <row r="42" spans="1:11">
      <c r="A42" s="227">
        <v>25</v>
      </c>
      <c r="B42" s="226" t="s">
        <v>2316</v>
      </c>
      <c r="C42" s="227"/>
      <c r="D42" s="244" t="s">
        <v>1298</v>
      </c>
      <c r="E42" s="78" t="s">
        <v>1306</v>
      </c>
      <c r="F42" s="37"/>
      <c r="G42" s="123">
        <f>1022154.12</f>
        <v>1022154.12</v>
      </c>
      <c r="H42" s="94">
        <v>1</v>
      </c>
      <c r="I42" s="76">
        <f t="shared" si="4"/>
        <v>1022154.12</v>
      </c>
      <c r="J42" s="94">
        <v>1</v>
      </c>
      <c r="K42" s="235">
        <f t="shared" si="5"/>
        <v>1022154.12</v>
      </c>
    </row>
    <row r="43" spans="1:11">
      <c r="A43" s="227">
        <v>26</v>
      </c>
      <c r="B43" s="226" t="s">
        <v>2316</v>
      </c>
      <c r="C43" s="227"/>
      <c r="D43" s="244" t="s">
        <v>1298</v>
      </c>
      <c r="E43" s="78" t="s">
        <v>1306</v>
      </c>
      <c r="F43" s="37"/>
      <c r="G43" s="123">
        <f>122476.25</f>
        <v>122476.25</v>
      </c>
      <c r="H43" s="94">
        <v>1</v>
      </c>
      <c r="I43" s="76">
        <f t="shared" si="4"/>
        <v>122476.25</v>
      </c>
      <c r="J43" s="94">
        <v>1</v>
      </c>
      <c r="K43" s="235">
        <f t="shared" si="5"/>
        <v>122476.25</v>
      </c>
    </row>
    <row r="44" spans="1:11">
      <c r="A44" s="227">
        <v>27</v>
      </c>
      <c r="B44" s="226" t="s">
        <v>2316</v>
      </c>
      <c r="C44" s="227"/>
      <c r="D44" s="244" t="s">
        <v>1298</v>
      </c>
      <c r="E44" s="78" t="s">
        <v>1311</v>
      </c>
      <c r="F44" s="37"/>
      <c r="G44" s="123">
        <f>733679.47</f>
        <v>733679.47</v>
      </c>
      <c r="H44" s="94">
        <v>1</v>
      </c>
      <c r="I44" s="76">
        <f t="shared" si="4"/>
        <v>733679.47</v>
      </c>
      <c r="J44" s="94">
        <v>1</v>
      </c>
      <c r="K44" s="235">
        <f t="shared" si="5"/>
        <v>733679.47</v>
      </c>
    </row>
    <row r="45" spans="1:11">
      <c r="A45" s="227">
        <v>28</v>
      </c>
      <c r="B45" s="226" t="s">
        <v>2316</v>
      </c>
      <c r="C45" s="227"/>
      <c r="D45" s="244" t="s">
        <v>1298</v>
      </c>
      <c r="E45" s="78" t="s">
        <v>1311</v>
      </c>
      <c r="F45" s="37"/>
      <c r="G45" s="123">
        <f>35291.83</f>
        <v>35291.83</v>
      </c>
      <c r="H45" s="94">
        <v>1</v>
      </c>
      <c r="I45" s="76">
        <f t="shared" si="4"/>
        <v>35291.83</v>
      </c>
      <c r="J45" s="94">
        <v>1</v>
      </c>
      <c r="K45" s="235">
        <f t="shared" si="5"/>
        <v>35291.83</v>
      </c>
    </row>
    <row r="46" spans="1:11">
      <c r="A46" s="227">
        <v>29</v>
      </c>
      <c r="B46" s="226" t="s">
        <v>2316</v>
      </c>
      <c r="C46" s="227"/>
      <c r="D46" s="244" t="s">
        <v>1298</v>
      </c>
      <c r="E46" s="78" t="s">
        <v>1311</v>
      </c>
      <c r="F46" s="37"/>
      <c r="G46" s="123">
        <f>13959.4</f>
        <v>13959.4</v>
      </c>
      <c r="H46" s="94">
        <v>1</v>
      </c>
      <c r="I46" s="76">
        <f t="shared" si="4"/>
        <v>13959.4</v>
      </c>
      <c r="J46" s="94">
        <v>1</v>
      </c>
      <c r="K46" s="235">
        <f t="shared" si="5"/>
        <v>13959.4</v>
      </c>
    </row>
    <row r="47" spans="1:11">
      <c r="A47" s="227">
        <v>30</v>
      </c>
      <c r="B47" s="226" t="s">
        <v>2316</v>
      </c>
      <c r="C47" s="227"/>
      <c r="D47" s="244" t="s">
        <v>1298</v>
      </c>
      <c r="E47" s="78" t="s">
        <v>1311</v>
      </c>
      <c r="F47" s="37"/>
      <c r="G47" s="123">
        <v>69225.740000000005</v>
      </c>
      <c r="H47" s="94">
        <v>1</v>
      </c>
      <c r="I47" s="76">
        <f t="shared" si="4"/>
        <v>69225.740000000005</v>
      </c>
      <c r="J47" s="94">
        <v>1</v>
      </c>
      <c r="K47" s="235">
        <f t="shared" si="5"/>
        <v>69225.740000000005</v>
      </c>
    </row>
    <row r="48" spans="1:11">
      <c r="A48" s="227">
        <v>31</v>
      </c>
      <c r="B48" s="226" t="s">
        <v>2316</v>
      </c>
      <c r="C48" s="227"/>
      <c r="D48" s="244" t="s">
        <v>1298</v>
      </c>
      <c r="E48" s="78" t="s">
        <v>1303</v>
      </c>
      <c r="F48" s="37"/>
      <c r="G48" s="123">
        <v>924.04</v>
      </c>
      <c r="H48" s="94">
        <v>1</v>
      </c>
      <c r="I48" s="76">
        <f t="shared" si="4"/>
        <v>924.04</v>
      </c>
      <c r="J48" s="94">
        <v>1</v>
      </c>
      <c r="K48" s="235">
        <f t="shared" si="5"/>
        <v>924.04</v>
      </c>
    </row>
    <row r="49" spans="1:11">
      <c r="A49" s="227">
        <v>32</v>
      </c>
      <c r="B49" s="226" t="s">
        <v>2316</v>
      </c>
      <c r="C49" s="227"/>
      <c r="D49" s="244" t="s">
        <v>1298</v>
      </c>
      <c r="E49" s="78" t="s">
        <v>1312</v>
      </c>
      <c r="F49" s="37"/>
      <c r="G49" s="123">
        <f>53112.38</f>
        <v>53112.38</v>
      </c>
      <c r="H49" s="94">
        <v>1</v>
      </c>
      <c r="I49" s="76">
        <f t="shared" si="4"/>
        <v>53112.38</v>
      </c>
      <c r="J49" s="94">
        <v>1</v>
      </c>
      <c r="K49" s="235">
        <f t="shared" si="5"/>
        <v>53112.38</v>
      </c>
    </row>
    <row r="50" spans="1:11">
      <c r="A50" s="227">
        <v>33</v>
      </c>
      <c r="B50" s="226" t="s">
        <v>2316</v>
      </c>
      <c r="C50" s="227"/>
      <c r="D50" s="244" t="s">
        <v>1298</v>
      </c>
      <c r="E50" s="78" t="s">
        <v>1313</v>
      </c>
      <c r="F50" s="37"/>
      <c r="G50" s="123">
        <f>184306.99</f>
        <v>184306.99</v>
      </c>
      <c r="H50" s="94">
        <v>1</v>
      </c>
      <c r="I50" s="76">
        <f t="shared" si="4"/>
        <v>184306.99</v>
      </c>
      <c r="J50" s="94">
        <v>1</v>
      </c>
      <c r="K50" s="235">
        <f t="shared" si="5"/>
        <v>184306.99</v>
      </c>
    </row>
    <row r="51" spans="1:11">
      <c r="A51" s="227">
        <v>34</v>
      </c>
      <c r="B51" s="226" t="s">
        <v>2316</v>
      </c>
      <c r="C51" s="227"/>
      <c r="D51" s="244" t="s">
        <v>1298</v>
      </c>
      <c r="E51" s="78" t="s">
        <v>1306</v>
      </c>
      <c r="F51" s="37"/>
      <c r="G51" s="123">
        <v>37201.019999999997</v>
      </c>
      <c r="H51" s="94">
        <v>1</v>
      </c>
      <c r="I51" s="76">
        <f t="shared" si="4"/>
        <v>37201.019999999997</v>
      </c>
      <c r="J51" s="94">
        <v>1</v>
      </c>
      <c r="K51" s="235">
        <f t="shared" si="5"/>
        <v>37201.019999999997</v>
      </c>
    </row>
    <row r="52" spans="1:11">
      <c r="A52" s="227">
        <v>35</v>
      </c>
      <c r="B52" s="226" t="s">
        <v>2316</v>
      </c>
      <c r="C52" s="227"/>
      <c r="D52" s="244" t="s">
        <v>1298</v>
      </c>
      <c r="E52" s="78" t="s">
        <v>1303</v>
      </c>
      <c r="F52" s="37"/>
      <c r="G52" s="123">
        <v>1064.76</v>
      </c>
      <c r="H52" s="94">
        <v>1</v>
      </c>
      <c r="I52" s="76">
        <f t="shared" si="4"/>
        <v>1064.76</v>
      </c>
      <c r="J52" s="94">
        <v>1</v>
      </c>
      <c r="K52" s="235">
        <f t="shared" si="5"/>
        <v>1064.76</v>
      </c>
    </row>
    <row r="53" spans="1:11">
      <c r="A53" s="227">
        <v>36</v>
      </c>
      <c r="B53" s="226" t="s">
        <v>2316</v>
      </c>
      <c r="C53" s="227"/>
      <c r="D53" s="244" t="s">
        <v>1298</v>
      </c>
      <c r="E53" s="78" t="s">
        <v>1313</v>
      </c>
      <c r="F53" s="37"/>
      <c r="G53" s="123">
        <f>28884.55</f>
        <v>28884.55</v>
      </c>
      <c r="H53" s="94">
        <v>1</v>
      </c>
      <c r="I53" s="76">
        <f t="shared" si="4"/>
        <v>28884.55</v>
      </c>
      <c r="J53" s="94">
        <v>1</v>
      </c>
      <c r="K53" s="235">
        <f t="shared" si="5"/>
        <v>28884.55</v>
      </c>
    </row>
    <row r="54" spans="1:11">
      <c r="A54" s="227">
        <v>37</v>
      </c>
      <c r="B54" s="226" t="s">
        <v>2316</v>
      </c>
      <c r="C54" s="227"/>
      <c r="D54" s="244" t="s">
        <v>1298</v>
      </c>
      <c r="E54" s="78" t="s">
        <v>1313</v>
      </c>
      <c r="F54" s="37"/>
      <c r="G54" s="123">
        <f>41065.94</f>
        <v>41065.94</v>
      </c>
      <c r="H54" s="94">
        <v>1</v>
      </c>
      <c r="I54" s="76">
        <f t="shared" si="4"/>
        <v>41065.94</v>
      </c>
      <c r="J54" s="94">
        <v>1</v>
      </c>
      <c r="K54" s="235">
        <f t="shared" si="5"/>
        <v>41065.94</v>
      </c>
    </row>
    <row r="55" spans="1:11">
      <c r="A55" s="227">
        <v>38</v>
      </c>
      <c r="B55" s="226" t="s">
        <v>2316</v>
      </c>
      <c r="C55" s="227"/>
      <c r="D55" s="244" t="s">
        <v>1298</v>
      </c>
      <c r="E55" s="78" t="s">
        <v>1313</v>
      </c>
      <c r="F55" s="37"/>
      <c r="G55" s="123">
        <v>93750.14</v>
      </c>
      <c r="H55" s="94">
        <v>1</v>
      </c>
      <c r="I55" s="76">
        <f t="shared" si="4"/>
        <v>93750.14</v>
      </c>
      <c r="J55" s="94">
        <v>1</v>
      </c>
      <c r="K55" s="235">
        <f t="shared" si="5"/>
        <v>93750.14</v>
      </c>
    </row>
    <row r="56" spans="1:11">
      <c r="A56" s="227">
        <v>39</v>
      </c>
      <c r="B56" s="226" t="s">
        <v>2316</v>
      </c>
      <c r="C56" s="227"/>
      <c r="D56" s="244" t="s">
        <v>1298</v>
      </c>
      <c r="E56" s="78" t="s">
        <v>1303</v>
      </c>
      <c r="F56" s="37"/>
      <c r="G56" s="123">
        <v>2600.2199999999998</v>
      </c>
      <c r="H56" s="94">
        <v>1</v>
      </c>
      <c r="I56" s="76">
        <f t="shared" si="4"/>
        <v>2600.2199999999998</v>
      </c>
      <c r="J56" s="94">
        <v>1</v>
      </c>
      <c r="K56" s="235">
        <f t="shared" si="5"/>
        <v>2600.2199999999998</v>
      </c>
    </row>
    <row r="57" spans="1:11">
      <c r="A57" s="227">
        <v>40</v>
      </c>
      <c r="B57" s="226" t="s">
        <v>2316</v>
      </c>
      <c r="C57" s="227"/>
      <c r="D57" s="244" t="s">
        <v>1298</v>
      </c>
      <c r="E57" s="78" t="s">
        <v>1308</v>
      </c>
      <c r="F57" s="37"/>
      <c r="G57" s="123">
        <f>1320912.96</f>
        <v>1320912.96</v>
      </c>
      <c r="H57" s="94">
        <v>1</v>
      </c>
      <c r="I57" s="76">
        <f t="shared" si="4"/>
        <v>1320912.96</v>
      </c>
      <c r="J57" s="94">
        <v>1</v>
      </c>
      <c r="K57" s="235">
        <f t="shared" si="5"/>
        <v>1320912.96</v>
      </c>
    </row>
    <row r="58" spans="1:11">
      <c r="A58" s="227">
        <v>41</v>
      </c>
      <c r="B58" s="226" t="s">
        <v>2316</v>
      </c>
      <c r="C58" s="227"/>
      <c r="D58" s="244" t="s">
        <v>1298</v>
      </c>
      <c r="E58" s="78" t="s">
        <v>1303</v>
      </c>
      <c r="F58" s="37"/>
      <c r="G58" s="123">
        <v>445914.6</v>
      </c>
      <c r="H58" s="94">
        <v>1</v>
      </c>
      <c r="I58" s="76">
        <f t="shared" si="4"/>
        <v>445914.6</v>
      </c>
      <c r="J58" s="94">
        <v>1</v>
      </c>
      <c r="K58" s="235">
        <f t="shared" si="5"/>
        <v>445914.6</v>
      </c>
    </row>
    <row r="59" spans="1:11">
      <c r="A59" s="227">
        <v>42</v>
      </c>
      <c r="B59" s="226" t="s">
        <v>2316</v>
      </c>
      <c r="C59" s="227"/>
      <c r="D59" s="244" t="s">
        <v>754</v>
      </c>
      <c r="E59" s="78" t="s">
        <v>1307</v>
      </c>
      <c r="F59" s="37"/>
      <c r="G59" s="123">
        <f>40641.57</f>
        <v>40641.57</v>
      </c>
      <c r="H59" s="94">
        <v>1</v>
      </c>
      <c r="I59" s="76">
        <f t="shared" si="4"/>
        <v>40641.57</v>
      </c>
      <c r="J59" s="94">
        <v>1</v>
      </c>
      <c r="K59" s="235">
        <f t="shared" si="5"/>
        <v>40641.57</v>
      </c>
    </row>
    <row r="60" spans="1:11">
      <c r="A60" s="227">
        <v>43</v>
      </c>
      <c r="B60" s="226" t="s">
        <v>2316</v>
      </c>
      <c r="C60" s="227"/>
      <c r="D60" s="244" t="s">
        <v>754</v>
      </c>
      <c r="E60" s="78" t="s">
        <v>1303</v>
      </c>
      <c r="F60" s="37"/>
      <c r="G60" s="123">
        <f>577.47</f>
        <v>577.47</v>
      </c>
      <c r="H60" s="94">
        <v>1</v>
      </c>
      <c r="I60" s="76">
        <f t="shared" si="4"/>
        <v>577.47</v>
      </c>
      <c r="J60" s="94">
        <v>1</v>
      </c>
      <c r="K60" s="235">
        <f t="shared" si="5"/>
        <v>577.47</v>
      </c>
    </row>
    <row r="61" spans="1:11">
      <c r="A61" s="227">
        <v>44</v>
      </c>
      <c r="B61" s="226" t="s">
        <v>2316</v>
      </c>
      <c r="C61" s="227"/>
      <c r="D61" s="244" t="s">
        <v>754</v>
      </c>
      <c r="E61" s="78" t="s">
        <v>1306</v>
      </c>
      <c r="F61" s="37"/>
      <c r="G61" s="123">
        <v>65248.99</v>
      </c>
      <c r="H61" s="94">
        <v>1</v>
      </c>
      <c r="I61" s="76">
        <f t="shared" si="4"/>
        <v>65248.99</v>
      </c>
      <c r="J61" s="94">
        <v>1</v>
      </c>
      <c r="K61" s="235">
        <f t="shared" si="5"/>
        <v>65248.99</v>
      </c>
    </row>
    <row r="62" spans="1:11">
      <c r="A62" s="227">
        <v>45</v>
      </c>
      <c r="B62" s="226" t="s">
        <v>2316</v>
      </c>
      <c r="C62" s="227"/>
      <c r="D62" s="244" t="s">
        <v>754</v>
      </c>
      <c r="E62" s="78" t="s">
        <v>1303</v>
      </c>
      <c r="F62" s="37"/>
      <c r="G62" s="123">
        <v>2363.0300000000002</v>
      </c>
      <c r="H62" s="94">
        <v>1</v>
      </c>
      <c r="I62" s="76">
        <f t="shared" si="4"/>
        <v>2363.0300000000002</v>
      </c>
      <c r="J62" s="94">
        <v>1</v>
      </c>
      <c r="K62" s="235">
        <f t="shared" si="5"/>
        <v>2363.0300000000002</v>
      </c>
    </row>
    <row r="63" spans="1:11">
      <c r="A63" s="227">
        <v>46</v>
      </c>
      <c r="B63" s="226" t="s">
        <v>2316</v>
      </c>
      <c r="C63" s="227"/>
      <c r="D63" s="244" t="s">
        <v>754</v>
      </c>
      <c r="E63" s="78" t="s">
        <v>1310</v>
      </c>
      <c r="F63" s="37"/>
      <c r="G63" s="123">
        <v>884802.54</v>
      </c>
      <c r="H63" s="94">
        <v>1</v>
      </c>
      <c r="I63" s="76">
        <f t="shared" si="4"/>
        <v>884802.54</v>
      </c>
      <c r="J63" s="94">
        <v>1</v>
      </c>
      <c r="K63" s="235">
        <f t="shared" si="5"/>
        <v>884802.54</v>
      </c>
    </row>
    <row r="64" spans="1:11">
      <c r="A64" s="227">
        <v>47</v>
      </c>
      <c r="B64" s="226" t="s">
        <v>2316</v>
      </c>
      <c r="C64" s="227"/>
      <c r="D64" s="244" t="s">
        <v>754</v>
      </c>
      <c r="E64" s="78" t="s">
        <v>1303</v>
      </c>
      <c r="F64" s="37"/>
      <c r="G64" s="123">
        <v>30823.25</v>
      </c>
      <c r="H64" s="94">
        <v>1</v>
      </c>
      <c r="I64" s="76">
        <f t="shared" si="4"/>
        <v>30823.25</v>
      </c>
      <c r="J64" s="94">
        <v>1</v>
      </c>
      <c r="K64" s="235">
        <f t="shared" si="5"/>
        <v>30823.25</v>
      </c>
    </row>
    <row r="65" spans="1:11" ht="13.5" thickBot="1">
      <c r="A65" s="227">
        <v>48</v>
      </c>
      <c r="B65" s="226"/>
      <c r="C65" s="227"/>
      <c r="D65" s="244"/>
      <c r="E65" s="255" t="s">
        <v>84</v>
      </c>
      <c r="F65" s="77"/>
      <c r="G65" s="143">
        <f>SUM(G23:G64)</f>
        <v>7134157.3499999996</v>
      </c>
      <c r="H65" s="257"/>
      <c r="I65" s="241">
        <f>SUM(I23:I64)</f>
        <v>7134157.3499999996</v>
      </c>
      <c r="J65" s="257"/>
      <c r="K65" s="243">
        <f>SUM(K23:K64)</f>
        <v>7134157.3499999996</v>
      </c>
    </row>
    <row r="66" spans="1:11" ht="13.5" thickTop="1">
      <c r="A66" s="227">
        <v>49</v>
      </c>
      <c r="B66" s="226" t="s">
        <v>2316</v>
      </c>
      <c r="C66" s="227"/>
      <c r="D66" s="244" t="s">
        <v>757</v>
      </c>
      <c r="E66" s="78" t="s">
        <v>1314</v>
      </c>
      <c r="F66" s="37"/>
      <c r="G66" s="123">
        <v>146013.4</v>
      </c>
      <c r="H66" s="95">
        <v>0.66300000000000003</v>
      </c>
      <c r="I66" s="76">
        <f t="shared" ref="I66:I70" si="6">H66*G66</f>
        <v>96806.8842</v>
      </c>
      <c r="J66" s="95">
        <v>0.75900000000000001</v>
      </c>
      <c r="K66" s="235">
        <f t="shared" ref="K66:K70" si="7">G66*J66</f>
        <v>110824.1706</v>
      </c>
    </row>
    <row r="67" spans="1:11">
      <c r="A67" s="227">
        <v>50</v>
      </c>
      <c r="B67" s="226" t="s">
        <v>2316</v>
      </c>
      <c r="C67" s="227"/>
      <c r="D67" s="244" t="s">
        <v>757</v>
      </c>
      <c r="E67" s="78" t="s">
        <v>1303</v>
      </c>
      <c r="F67" s="37"/>
      <c r="G67" s="123">
        <v>10941.32</v>
      </c>
      <c r="H67" s="95">
        <v>0.66300000000000003</v>
      </c>
      <c r="I67" s="76">
        <f t="shared" si="6"/>
        <v>7254.0951599999999</v>
      </c>
      <c r="J67" s="95">
        <v>0.75900000000000001</v>
      </c>
      <c r="K67" s="235">
        <f t="shared" si="7"/>
        <v>8304.4618800000007</v>
      </c>
    </row>
    <row r="68" spans="1:11">
      <c r="A68" s="227">
        <v>51</v>
      </c>
      <c r="B68" s="226" t="s">
        <v>2316</v>
      </c>
      <c r="C68" s="227"/>
      <c r="D68" s="244" t="s">
        <v>757</v>
      </c>
      <c r="E68" s="78" t="s">
        <v>1315</v>
      </c>
      <c r="F68" s="37"/>
      <c r="G68" s="123">
        <v>676146.99</v>
      </c>
      <c r="H68" s="95">
        <v>0.66300000000000003</v>
      </c>
      <c r="I68" s="76">
        <f t="shared" si="6"/>
        <v>448285.45436999999</v>
      </c>
      <c r="J68" s="95">
        <v>0.75900000000000001</v>
      </c>
      <c r="K68" s="235">
        <f t="shared" si="7"/>
        <v>513195.56540999998</v>
      </c>
    </row>
    <row r="69" spans="1:11">
      <c r="A69" s="227">
        <v>52</v>
      </c>
      <c r="B69" s="226" t="s">
        <v>2316</v>
      </c>
      <c r="C69" s="227"/>
      <c r="D69" s="244" t="s">
        <v>757</v>
      </c>
      <c r="E69" s="78" t="s">
        <v>1316</v>
      </c>
      <c r="F69" s="37"/>
      <c r="G69" s="123">
        <v>67520.789999999994</v>
      </c>
      <c r="H69" s="95">
        <v>0.66300000000000003</v>
      </c>
      <c r="I69" s="76">
        <f t="shared" si="6"/>
        <v>44766.283769999995</v>
      </c>
      <c r="J69" s="95">
        <v>0.75900000000000001</v>
      </c>
      <c r="K69" s="235">
        <f t="shared" si="7"/>
        <v>51248.279609999998</v>
      </c>
    </row>
    <row r="70" spans="1:11">
      <c r="A70" s="227">
        <v>53</v>
      </c>
      <c r="B70" s="226" t="s">
        <v>2316</v>
      </c>
      <c r="C70" s="227"/>
      <c r="D70" s="244" t="s">
        <v>757</v>
      </c>
      <c r="E70" s="78" t="s">
        <v>1317</v>
      </c>
      <c r="F70" s="37"/>
      <c r="G70" s="123">
        <v>573531.89</v>
      </c>
      <c r="H70" s="95">
        <v>0.66300000000000003</v>
      </c>
      <c r="I70" s="76">
        <f t="shared" si="6"/>
        <v>380251.64307000005</v>
      </c>
      <c r="J70" s="95">
        <v>0.75900000000000001</v>
      </c>
      <c r="K70" s="235">
        <f t="shared" si="7"/>
        <v>435310.70451000001</v>
      </c>
    </row>
    <row r="71" spans="1:11" ht="13.5" thickBot="1">
      <c r="A71" s="227">
        <v>54</v>
      </c>
      <c r="B71" s="226"/>
      <c r="C71" s="227"/>
      <c r="D71" s="244"/>
      <c r="E71" s="255" t="s">
        <v>84</v>
      </c>
      <c r="F71" s="77"/>
      <c r="G71" s="143">
        <f>SUM(G66:G70)</f>
        <v>1474154.3900000001</v>
      </c>
      <c r="H71" s="257"/>
      <c r="I71" s="241">
        <f>SUM(I66:I70)</f>
        <v>977364.36057000002</v>
      </c>
      <c r="J71" s="257"/>
      <c r="K71" s="243">
        <f>SUM(K66:K70)</f>
        <v>1118883.1820099999</v>
      </c>
    </row>
    <row r="72" spans="1:11" ht="13.5" thickTop="1">
      <c r="A72" s="227">
        <v>55</v>
      </c>
      <c r="B72" s="226" t="s">
        <v>2316</v>
      </c>
      <c r="C72" s="227"/>
      <c r="D72" s="244" t="s">
        <v>757</v>
      </c>
      <c r="E72" s="78" t="s">
        <v>1318</v>
      </c>
      <c r="F72" s="37"/>
      <c r="G72" s="123">
        <v>54316.73</v>
      </c>
      <c r="H72" s="94">
        <v>1</v>
      </c>
      <c r="I72" s="76">
        <f t="shared" ref="I72:I81" si="8">H72*G72</f>
        <v>54316.73</v>
      </c>
      <c r="J72" s="94">
        <v>1</v>
      </c>
      <c r="K72" s="235">
        <f t="shared" ref="K72:K81" si="9">G72*J72</f>
        <v>54316.73</v>
      </c>
    </row>
    <row r="73" spans="1:11">
      <c r="A73" s="227">
        <v>56</v>
      </c>
      <c r="B73" s="226" t="s">
        <v>2316</v>
      </c>
      <c r="C73" s="227"/>
      <c r="D73" s="244" t="s">
        <v>757</v>
      </c>
      <c r="E73" s="78" t="s">
        <v>1303</v>
      </c>
      <c r="F73" s="37"/>
      <c r="G73" s="123">
        <v>20639.32</v>
      </c>
      <c r="H73" s="94">
        <v>1</v>
      </c>
      <c r="I73" s="76">
        <f t="shared" si="8"/>
        <v>20639.32</v>
      </c>
      <c r="J73" s="94">
        <v>1</v>
      </c>
      <c r="K73" s="235">
        <f t="shared" si="9"/>
        <v>20639.32</v>
      </c>
    </row>
    <row r="74" spans="1:11">
      <c r="A74" s="227">
        <v>57</v>
      </c>
      <c r="B74" s="226" t="s">
        <v>2316</v>
      </c>
      <c r="C74" s="227"/>
      <c r="D74" s="244" t="s">
        <v>757</v>
      </c>
      <c r="E74" s="78" t="s">
        <v>1318</v>
      </c>
      <c r="F74" s="37"/>
      <c r="G74" s="123">
        <v>141933.62</v>
      </c>
      <c r="H74" s="94">
        <v>1</v>
      </c>
      <c r="I74" s="76">
        <f t="shared" si="8"/>
        <v>141933.62</v>
      </c>
      <c r="J74" s="94">
        <v>1</v>
      </c>
      <c r="K74" s="235">
        <f t="shared" si="9"/>
        <v>141933.62</v>
      </c>
    </row>
    <row r="75" spans="1:11">
      <c r="A75" s="227">
        <v>58</v>
      </c>
      <c r="B75" s="226" t="s">
        <v>2316</v>
      </c>
      <c r="C75" s="227"/>
      <c r="D75" s="244" t="s">
        <v>757</v>
      </c>
      <c r="E75" s="78" t="s">
        <v>1303</v>
      </c>
      <c r="F75" s="37"/>
      <c r="G75" s="123">
        <v>3902.43</v>
      </c>
      <c r="H75" s="94">
        <v>1</v>
      </c>
      <c r="I75" s="76">
        <f t="shared" si="8"/>
        <v>3902.43</v>
      </c>
      <c r="J75" s="94">
        <v>1</v>
      </c>
      <c r="K75" s="235">
        <f t="shared" si="9"/>
        <v>3902.43</v>
      </c>
    </row>
    <row r="76" spans="1:11">
      <c r="A76" s="227">
        <v>59</v>
      </c>
      <c r="B76" s="226" t="s">
        <v>2316</v>
      </c>
      <c r="C76" s="227"/>
      <c r="D76" s="244" t="s">
        <v>757</v>
      </c>
      <c r="E76" s="78" t="s">
        <v>1306</v>
      </c>
      <c r="F76" s="37"/>
      <c r="G76" s="123">
        <v>61037.2</v>
      </c>
      <c r="H76" s="94">
        <v>1</v>
      </c>
      <c r="I76" s="76">
        <f t="shared" si="8"/>
        <v>61037.2</v>
      </c>
      <c r="J76" s="94">
        <v>1</v>
      </c>
      <c r="K76" s="235">
        <f t="shared" si="9"/>
        <v>61037.2</v>
      </c>
    </row>
    <row r="77" spans="1:11">
      <c r="A77" s="227">
        <v>60</v>
      </c>
      <c r="B77" s="226" t="s">
        <v>2316</v>
      </c>
      <c r="C77" s="227"/>
      <c r="D77" s="244" t="s">
        <v>757</v>
      </c>
      <c r="E77" s="78" t="s">
        <v>1303</v>
      </c>
      <c r="F77" s="37"/>
      <c r="G77" s="123">
        <v>770.9</v>
      </c>
      <c r="H77" s="94">
        <v>1</v>
      </c>
      <c r="I77" s="76">
        <f t="shared" si="8"/>
        <v>770.9</v>
      </c>
      <c r="J77" s="94">
        <v>1</v>
      </c>
      <c r="K77" s="235">
        <f t="shared" si="9"/>
        <v>770.9</v>
      </c>
    </row>
    <row r="78" spans="1:11">
      <c r="A78" s="227">
        <v>61</v>
      </c>
      <c r="B78" s="226" t="s">
        <v>2316</v>
      </c>
      <c r="C78" s="227"/>
      <c r="D78" s="244" t="s">
        <v>757</v>
      </c>
      <c r="E78" s="78" t="s">
        <v>1303</v>
      </c>
      <c r="F78" s="37"/>
      <c r="G78" s="123">
        <v>2877.74</v>
      </c>
      <c r="H78" s="94">
        <v>1</v>
      </c>
      <c r="I78" s="76">
        <f t="shared" si="8"/>
        <v>2877.74</v>
      </c>
      <c r="J78" s="94">
        <v>1</v>
      </c>
      <c r="K78" s="235">
        <f t="shared" si="9"/>
        <v>2877.74</v>
      </c>
    </row>
    <row r="79" spans="1:11">
      <c r="A79" s="227">
        <v>62</v>
      </c>
      <c r="B79" s="226" t="s">
        <v>2316</v>
      </c>
      <c r="C79" s="227"/>
      <c r="D79" s="244" t="s">
        <v>757</v>
      </c>
      <c r="E79" s="78" t="s">
        <v>1319</v>
      </c>
      <c r="F79" s="37"/>
      <c r="G79" s="123">
        <v>16160.95</v>
      </c>
      <c r="H79" s="94">
        <v>1</v>
      </c>
      <c r="I79" s="76">
        <f t="shared" si="8"/>
        <v>16160.95</v>
      </c>
      <c r="J79" s="94">
        <v>1</v>
      </c>
      <c r="K79" s="235">
        <f t="shared" si="9"/>
        <v>16160.95</v>
      </c>
    </row>
    <row r="80" spans="1:11">
      <c r="A80" s="227">
        <v>63</v>
      </c>
      <c r="B80" s="226" t="s">
        <v>2316</v>
      </c>
      <c r="C80" s="227"/>
      <c r="D80" s="244" t="s">
        <v>757</v>
      </c>
      <c r="E80" s="78" t="s">
        <v>1306</v>
      </c>
      <c r="F80" s="37"/>
      <c r="G80" s="123">
        <v>8952.5300000000007</v>
      </c>
      <c r="H80" s="94">
        <v>1</v>
      </c>
      <c r="I80" s="76">
        <f t="shared" si="8"/>
        <v>8952.5300000000007</v>
      </c>
      <c r="J80" s="94">
        <v>1</v>
      </c>
      <c r="K80" s="235">
        <f t="shared" si="9"/>
        <v>8952.5300000000007</v>
      </c>
    </row>
    <row r="81" spans="1:11">
      <c r="A81" s="227">
        <v>64</v>
      </c>
      <c r="B81" s="226" t="s">
        <v>2316</v>
      </c>
      <c r="C81" s="227"/>
      <c r="D81" s="244" t="s">
        <v>757</v>
      </c>
      <c r="E81" s="78" t="s">
        <v>1303</v>
      </c>
      <c r="F81" s="37"/>
      <c r="G81" s="123">
        <v>1211.9000000000001</v>
      </c>
      <c r="H81" s="94">
        <v>1</v>
      </c>
      <c r="I81" s="76">
        <f t="shared" si="8"/>
        <v>1211.9000000000001</v>
      </c>
      <c r="J81" s="94">
        <v>1</v>
      </c>
      <c r="K81" s="235">
        <f t="shared" si="9"/>
        <v>1211.9000000000001</v>
      </c>
    </row>
    <row r="82" spans="1:11" ht="13.5" thickBot="1">
      <c r="A82" s="227">
        <v>65</v>
      </c>
      <c r="B82" s="226"/>
      <c r="C82" s="227"/>
      <c r="D82" s="244"/>
      <c r="E82" s="255" t="s">
        <v>84</v>
      </c>
      <c r="F82" s="77"/>
      <c r="G82" s="143">
        <f>SUM(G72:G81)</f>
        <v>311803.32000000007</v>
      </c>
      <c r="H82" s="257"/>
      <c r="I82" s="241">
        <f>SUM(I72:I81)</f>
        <v>311803.32000000007</v>
      </c>
      <c r="J82" s="77"/>
      <c r="K82" s="243">
        <f>SUM(K72:K81)</f>
        <v>311803.32000000007</v>
      </c>
    </row>
    <row r="83" spans="1:11" ht="13.5" thickTop="1">
      <c r="A83" s="227">
        <v>66</v>
      </c>
      <c r="B83" s="226" t="s">
        <v>2316</v>
      </c>
      <c r="C83" s="227"/>
      <c r="D83" s="244" t="s">
        <v>759</v>
      </c>
      <c r="E83" s="83" t="s">
        <v>1320</v>
      </c>
      <c r="F83" s="37"/>
      <c r="G83" s="123">
        <f>134174.04</f>
        <v>134174.04</v>
      </c>
      <c r="H83" s="94">
        <v>1</v>
      </c>
      <c r="I83" s="76">
        <f>G83*H83</f>
        <v>134174.04</v>
      </c>
      <c r="J83" s="94">
        <v>1</v>
      </c>
      <c r="K83" s="235">
        <f>G83*J83</f>
        <v>134174.04</v>
      </c>
    </row>
    <row r="84" spans="1:11">
      <c r="A84" s="227">
        <v>67</v>
      </c>
      <c r="B84" s="226" t="s">
        <v>2316</v>
      </c>
      <c r="C84" s="227"/>
      <c r="D84" s="244" t="s">
        <v>759</v>
      </c>
      <c r="E84" s="83" t="s">
        <v>1321</v>
      </c>
      <c r="F84" s="37"/>
      <c r="G84" s="123">
        <f>59005.31</f>
        <v>59005.31</v>
      </c>
      <c r="H84" s="94">
        <v>1</v>
      </c>
      <c r="I84" s="76">
        <f t="shared" ref="I84:I136" si="10">G84*H84</f>
        <v>59005.31</v>
      </c>
      <c r="J84" s="94">
        <v>1</v>
      </c>
      <c r="K84" s="235">
        <f t="shared" ref="K84:K136" si="11">G84*J84</f>
        <v>59005.31</v>
      </c>
    </row>
    <row r="85" spans="1:11">
      <c r="A85" s="227">
        <v>68</v>
      </c>
      <c r="B85" s="226" t="s">
        <v>2316</v>
      </c>
      <c r="C85" s="227"/>
      <c r="D85" s="244" t="s">
        <v>759</v>
      </c>
      <c r="E85" s="83" t="s">
        <v>1322</v>
      </c>
      <c r="F85" s="37"/>
      <c r="G85" s="123">
        <f>119667.35</f>
        <v>119667.35</v>
      </c>
      <c r="H85" s="94">
        <v>1</v>
      </c>
      <c r="I85" s="76">
        <f t="shared" si="10"/>
        <v>119667.35</v>
      </c>
      <c r="J85" s="94">
        <v>1</v>
      </c>
      <c r="K85" s="235">
        <f t="shared" si="11"/>
        <v>119667.35</v>
      </c>
    </row>
    <row r="86" spans="1:11">
      <c r="A86" s="227">
        <v>69</v>
      </c>
      <c r="B86" s="226" t="s">
        <v>2316</v>
      </c>
      <c r="C86" s="227"/>
      <c r="D86" s="244" t="s">
        <v>759</v>
      </c>
      <c r="E86" s="83" t="s">
        <v>1319</v>
      </c>
      <c r="F86" s="37"/>
      <c r="G86" s="123">
        <v>39790.21</v>
      </c>
      <c r="H86" s="94">
        <v>1</v>
      </c>
      <c r="I86" s="76">
        <f t="shared" si="10"/>
        <v>39790.21</v>
      </c>
      <c r="J86" s="94">
        <v>1</v>
      </c>
      <c r="K86" s="235">
        <f t="shared" si="11"/>
        <v>39790.21</v>
      </c>
    </row>
    <row r="87" spans="1:11">
      <c r="A87" s="227">
        <v>70</v>
      </c>
      <c r="B87" s="226" t="s">
        <v>2316</v>
      </c>
      <c r="C87" s="227"/>
      <c r="D87" s="244" t="s">
        <v>759</v>
      </c>
      <c r="E87" s="83" t="s">
        <v>1299</v>
      </c>
      <c r="F87" s="37"/>
      <c r="G87" s="123">
        <v>1601.37</v>
      </c>
      <c r="H87" s="94">
        <v>1</v>
      </c>
      <c r="I87" s="76">
        <f t="shared" si="10"/>
        <v>1601.37</v>
      </c>
      <c r="J87" s="94">
        <v>1</v>
      </c>
      <c r="K87" s="235">
        <f t="shared" si="11"/>
        <v>1601.37</v>
      </c>
    </row>
    <row r="88" spans="1:11">
      <c r="A88" s="227">
        <v>71</v>
      </c>
      <c r="B88" s="226" t="s">
        <v>2316</v>
      </c>
      <c r="C88" s="227"/>
      <c r="D88" s="244" t="s">
        <v>759</v>
      </c>
      <c r="E88" s="83" t="s">
        <v>1313</v>
      </c>
      <c r="F88" s="37"/>
      <c r="G88" s="123">
        <f>53164.52</f>
        <v>53164.52</v>
      </c>
      <c r="H88" s="94">
        <v>1</v>
      </c>
      <c r="I88" s="76">
        <f t="shared" si="10"/>
        <v>53164.52</v>
      </c>
      <c r="J88" s="94">
        <v>1</v>
      </c>
      <c r="K88" s="235">
        <f t="shared" si="11"/>
        <v>53164.52</v>
      </c>
    </row>
    <row r="89" spans="1:11">
      <c r="A89" s="227">
        <v>72</v>
      </c>
      <c r="B89" s="226" t="s">
        <v>2316</v>
      </c>
      <c r="C89" s="227"/>
      <c r="D89" s="244" t="s">
        <v>759</v>
      </c>
      <c r="E89" s="83" t="s">
        <v>1313</v>
      </c>
      <c r="F89" s="37"/>
      <c r="G89" s="123">
        <f>307465.42</f>
        <v>307465.42</v>
      </c>
      <c r="H89" s="94">
        <v>1</v>
      </c>
      <c r="I89" s="76">
        <f t="shared" si="10"/>
        <v>307465.42</v>
      </c>
      <c r="J89" s="94">
        <v>1</v>
      </c>
      <c r="K89" s="235">
        <f t="shared" si="11"/>
        <v>307465.42</v>
      </c>
    </row>
    <row r="90" spans="1:11">
      <c r="A90" s="227">
        <v>73</v>
      </c>
      <c r="B90" s="226" t="s">
        <v>2316</v>
      </c>
      <c r="C90" s="227"/>
      <c r="D90" s="244" t="s">
        <v>759</v>
      </c>
      <c r="E90" s="83" t="s">
        <v>1313</v>
      </c>
      <c r="F90" s="37"/>
      <c r="G90" s="123">
        <f>12819.56</f>
        <v>12819.56</v>
      </c>
      <c r="H90" s="94">
        <v>1</v>
      </c>
      <c r="I90" s="76">
        <f t="shared" si="10"/>
        <v>12819.56</v>
      </c>
      <c r="J90" s="94">
        <v>1</v>
      </c>
      <c r="K90" s="235">
        <f t="shared" si="11"/>
        <v>12819.56</v>
      </c>
    </row>
    <row r="91" spans="1:11">
      <c r="A91" s="227">
        <v>74</v>
      </c>
      <c r="B91" s="226" t="s">
        <v>2316</v>
      </c>
      <c r="C91" s="227"/>
      <c r="D91" s="244" t="s">
        <v>759</v>
      </c>
      <c r="E91" s="83" t="s">
        <v>1313</v>
      </c>
      <c r="F91" s="37"/>
      <c r="G91" s="123">
        <f>415983</f>
        <v>415983</v>
      </c>
      <c r="H91" s="94">
        <v>1</v>
      </c>
      <c r="I91" s="76">
        <f t="shared" si="10"/>
        <v>415983</v>
      </c>
      <c r="J91" s="94">
        <v>1</v>
      </c>
      <c r="K91" s="235">
        <f t="shared" si="11"/>
        <v>415983</v>
      </c>
    </row>
    <row r="92" spans="1:11">
      <c r="A92" s="227">
        <v>75</v>
      </c>
      <c r="B92" s="226" t="s">
        <v>2316</v>
      </c>
      <c r="C92" s="227"/>
      <c r="D92" s="244" t="s">
        <v>759</v>
      </c>
      <c r="E92" s="83" t="s">
        <v>1299</v>
      </c>
      <c r="F92" s="37"/>
      <c r="G92" s="123">
        <v>146434.79999999999</v>
      </c>
      <c r="H92" s="94">
        <v>1</v>
      </c>
      <c r="I92" s="76">
        <f t="shared" si="10"/>
        <v>146434.79999999999</v>
      </c>
      <c r="J92" s="94">
        <v>1</v>
      </c>
      <c r="K92" s="235">
        <f t="shared" si="11"/>
        <v>146434.79999999999</v>
      </c>
    </row>
    <row r="93" spans="1:11">
      <c r="A93" s="227">
        <v>76</v>
      </c>
      <c r="B93" s="226" t="s">
        <v>2316</v>
      </c>
      <c r="C93" s="227"/>
      <c r="D93" s="244" t="s">
        <v>759</v>
      </c>
      <c r="E93" s="83" t="s">
        <v>1299</v>
      </c>
      <c r="F93" s="37"/>
      <c r="G93" s="123">
        <f>2533.43</f>
        <v>2533.4299999999998</v>
      </c>
      <c r="H93" s="94">
        <v>1</v>
      </c>
      <c r="I93" s="76">
        <f t="shared" si="10"/>
        <v>2533.4299999999998</v>
      </c>
      <c r="J93" s="94">
        <v>1</v>
      </c>
      <c r="K93" s="235">
        <f t="shared" si="11"/>
        <v>2533.4299999999998</v>
      </c>
    </row>
    <row r="94" spans="1:11">
      <c r="A94" s="227">
        <v>77</v>
      </c>
      <c r="B94" s="226" t="s">
        <v>2316</v>
      </c>
      <c r="C94" s="227"/>
      <c r="D94" s="244" t="s">
        <v>759</v>
      </c>
      <c r="E94" s="83" t="s">
        <v>1312</v>
      </c>
      <c r="F94" s="37"/>
      <c r="G94" s="123">
        <f>31657.69</f>
        <v>31657.69</v>
      </c>
      <c r="H94" s="94">
        <v>1</v>
      </c>
      <c r="I94" s="76">
        <f t="shared" si="10"/>
        <v>31657.69</v>
      </c>
      <c r="J94" s="94">
        <v>1</v>
      </c>
      <c r="K94" s="235">
        <f t="shared" si="11"/>
        <v>31657.69</v>
      </c>
    </row>
    <row r="95" spans="1:11">
      <c r="A95" s="227">
        <v>78</v>
      </c>
      <c r="B95" s="226" t="s">
        <v>2316</v>
      </c>
      <c r="C95" s="227"/>
      <c r="D95" s="244" t="s">
        <v>759</v>
      </c>
      <c r="E95" s="83" t="s">
        <v>1311</v>
      </c>
      <c r="F95" s="37"/>
      <c r="G95" s="123">
        <f>85009.25</f>
        <v>85009.25</v>
      </c>
      <c r="H95" s="94">
        <v>1</v>
      </c>
      <c r="I95" s="76">
        <f t="shared" si="10"/>
        <v>85009.25</v>
      </c>
      <c r="J95" s="94">
        <v>1</v>
      </c>
      <c r="K95" s="235">
        <f t="shared" si="11"/>
        <v>85009.25</v>
      </c>
    </row>
    <row r="96" spans="1:11">
      <c r="A96" s="227">
        <v>79</v>
      </c>
      <c r="B96" s="226" t="s">
        <v>2316</v>
      </c>
      <c r="C96" s="227"/>
      <c r="D96" s="244" t="s">
        <v>759</v>
      </c>
      <c r="E96" s="83" t="s">
        <v>1318</v>
      </c>
      <c r="F96" s="37"/>
      <c r="G96" s="123">
        <f>108684.58</f>
        <v>108684.58</v>
      </c>
      <c r="H96" s="94">
        <v>1</v>
      </c>
      <c r="I96" s="76">
        <f t="shared" si="10"/>
        <v>108684.58</v>
      </c>
      <c r="J96" s="94">
        <v>1</v>
      </c>
      <c r="K96" s="235">
        <f t="shared" si="11"/>
        <v>108684.58</v>
      </c>
    </row>
    <row r="97" spans="1:11">
      <c r="A97" s="227">
        <v>80</v>
      </c>
      <c r="B97" s="226" t="s">
        <v>2316</v>
      </c>
      <c r="C97" s="227"/>
      <c r="D97" s="244" t="s">
        <v>759</v>
      </c>
      <c r="E97" s="83" t="s">
        <v>1318</v>
      </c>
      <c r="F97" s="37"/>
      <c r="G97" s="123">
        <f>1933.73</f>
        <v>1933.73</v>
      </c>
      <c r="H97" s="94">
        <v>1</v>
      </c>
      <c r="I97" s="76">
        <f t="shared" si="10"/>
        <v>1933.73</v>
      </c>
      <c r="J97" s="94">
        <v>1</v>
      </c>
      <c r="K97" s="235">
        <f t="shared" si="11"/>
        <v>1933.73</v>
      </c>
    </row>
    <row r="98" spans="1:11">
      <c r="A98" s="227">
        <v>81</v>
      </c>
      <c r="B98" s="226" t="s">
        <v>2316</v>
      </c>
      <c r="C98" s="227"/>
      <c r="D98" s="244" t="s">
        <v>759</v>
      </c>
      <c r="E98" s="83" t="s">
        <v>1318</v>
      </c>
      <c r="F98" s="37"/>
      <c r="G98" s="123">
        <f>38122.92</f>
        <v>38122.92</v>
      </c>
      <c r="H98" s="94">
        <v>1</v>
      </c>
      <c r="I98" s="76">
        <f t="shared" si="10"/>
        <v>38122.92</v>
      </c>
      <c r="J98" s="94">
        <v>1</v>
      </c>
      <c r="K98" s="235">
        <f t="shared" si="11"/>
        <v>38122.92</v>
      </c>
    </row>
    <row r="99" spans="1:11">
      <c r="A99" s="227">
        <v>82</v>
      </c>
      <c r="B99" s="226" t="s">
        <v>2316</v>
      </c>
      <c r="C99" s="227"/>
      <c r="D99" s="244" t="s">
        <v>759</v>
      </c>
      <c r="E99" s="83" t="s">
        <v>1299</v>
      </c>
      <c r="F99" s="37"/>
      <c r="G99" s="123">
        <f>23485.53</f>
        <v>23485.53</v>
      </c>
      <c r="H99" s="94">
        <v>1</v>
      </c>
      <c r="I99" s="76">
        <f t="shared" si="10"/>
        <v>23485.53</v>
      </c>
      <c r="J99" s="94">
        <v>1</v>
      </c>
      <c r="K99" s="235">
        <f t="shared" si="11"/>
        <v>23485.53</v>
      </c>
    </row>
    <row r="100" spans="1:11">
      <c r="A100" s="227">
        <v>83</v>
      </c>
      <c r="B100" s="226" t="s">
        <v>2316</v>
      </c>
      <c r="C100" s="227"/>
      <c r="D100" s="244" t="s">
        <v>759</v>
      </c>
      <c r="E100" s="83" t="s">
        <v>1323</v>
      </c>
      <c r="F100" s="37"/>
      <c r="G100" s="123">
        <f>25031.95</f>
        <v>25031.95</v>
      </c>
      <c r="H100" s="94">
        <v>1</v>
      </c>
      <c r="I100" s="76">
        <f t="shared" si="10"/>
        <v>25031.95</v>
      </c>
      <c r="J100" s="94">
        <v>1</v>
      </c>
      <c r="K100" s="235">
        <f t="shared" si="11"/>
        <v>25031.95</v>
      </c>
    </row>
    <row r="101" spans="1:11">
      <c r="A101" s="227">
        <v>84</v>
      </c>
      <c r="B101" s="226" t="s">
        <v>2316</v>
      </c>
      <c r="C101" s="227"/>
      <c r="D101" s="244" t="s">
        <v>759</v>
      </c>
      <c r="E101" s="83" t="s">
        <v>1324</v>
      </c>
      <c r="F101" s="37"/>
      <c r="G101" s="123">
        <f>513.75</f>
        <v>513.75</v>
      </c>
      <c r="H101" s="94">
        <v>1</v>
      </c>
      <c r="I101" s="76">
        <f t="shared" si="10"/>
        <v>513.75</v>
      </c>
      <c r="J101" s="94">
        <v>1</v>
      </c>
      <c r="K101" s="235">
        <f t="shared" si="11"/>
        <v>513.75</v>
      </c>
    </row>
    <row r="102" spans="1:11">
      <c r="A102" s="227">
        <v>85</v>
      </c>
      <c r="B102" s="226" t="s">
        <v>2316</v>
      </c>
      <c r="C102" s="227"/>
      <c r="D102" s="244" t="s">
        <v>759</v>
      </c>
      <c r="E102" s="83" t="s">
        <v>1299</v>
      </c>
      <c r="F102" s="37"/>
      <c r="G102" s="123">
        <f>18649.85</f>
        <v>18649.849999999999</v>
      </c>
      <c r="H102" s="94">
        <v>1</v>
      </c>
      <c r="I102" s="76">
        <f t="shared" si="10"/>
        <v>18649.849999999999</v>
      </c>
      <c r="J102" s="94">
        <v>1</v>
      </c>
      <c r="K102" s="235">
        <f t="shared" si="11"/>
        <v>18649.849999999999</v>
      </c>
    </row>
    <row r="103" spans="1:11">
      <c r="A103" s="227">
        <v>86</v>
      </c>
      <c r="B103" s="226" t="s">
        <v>2316</v>
      </c>
      <c r="C103" s="227"/>
      <c r="D103" s="244" t="s">
        <v>759</v>
      </c>
      <c r="E103" s="83" t="s">
        <v>1325</v>
      </c>
      <c r="F103" s="37"/>
      <c r="G103" s="123">
        <f>2849.9</f>
        <v>2849.9</v>
      </c>
      <c r="H103" s="94">
        <v>1</v>
      </c>
      <c r="I103" s="76">
        <f t="shared" si="10"/>
        <v>2849.9</v>
      </c>
      <c r="J103" s="94">
        <v>1</v>
      </c>
      <c r="K103" s="235">
        <f t="shared" si="11"/>
        <v>2849.9</v>
      </c>
    </row>
    <row r="104" spans="1:11">
      <c r="A104" s="227">
        <v>87</v>
      </c>
      <c r="B104" s="226" t="s">
        <v>2316</v>
      </c>
      <c r="C104" s="227"/>
      <c r="D104" s="244" t="s">
        <v>759</v>
      </c>
      <c r="E104" s="83" t="s">
        <v>1326</v>
      </c>
      <c r="F104" s="37"/>
      <c r="G104" s="123">
        <f>6624.56</f>
        <v>6624.56</v>
      </c>
      <c r="H104" s="94">
        <v>1</v>
      </c>
      <c r="I104" s="76">
        <f t="shared" si="10"/>
        <v>6624.56</v>
      </c>
      <c r="J104" s="94">
        <v>1</v>
      </c>
      <c r="K104" s="235">
        <f t="shared" si="11"/>
        <v>6624.56</v>
      </c>
    </row>
    <row r="105" spans="1:11">
      <c r="A105" s="227">
        <v>88</v>
      </c>
      <c r="B105" s="226" t="s">
        <v>2316</v>
      </c>
      <c r="C105" s="227"/>
      <c r="D105" s="244" t="s">
        <v>759</v>
      </c>
      <c r="E105" s="83" t="s">
        <v>1306</v>
      </c>
      <c r="F105" s="37"/>
      <c r="G105" s="123">
        <v>-8952.5300000000007</v>
      </c>
      <c r="H105" s="94">
        <v>1</v>
      </c>
      <c r="I105" s="135">
        <f t="shared" si="10"/>
        <v>-8952.5300000000007</v>
      </c>
      <c r="J105" s="94">
        <v>1</v>
      </c>
      <c r="K105" s="235">
        <f t="shared" si="11"/>
        <v>-8952.5300000000007</v>
      </c>
    </row>
    <row r="106" spans="1:11">
      <c r="A106" s="227">
        <v>89</v>
      </c>
      <c r="B106" s="226" t="s">
        <v>2316</v>
      </c>
      <c r="C106" s="227"/>
      <c r="D106" s="244" t="s">
        <v>759</v>
      </c>
      <c r="E106" s="83" t="s">
        <v>1299</v>
      </c>
      <c r="F106" s="37"/>
      <c r="G106" s="123">
        <v>-1211.9000000000001</v>
      </c>
      <c r="H106" s="94">
        <v>1</v>
      </c>
      <c r="I106" s="135">
        <f t="shared" si="10"/>
        <v>-1211.9000000000001</v>
      </c>
      <c r="J106" s="94">
        <v>1</v>
      </c>
      <c r="K106" s="235">
        <f t="shared" si="11"/>
        <v>-1211.9000000000001</v>
      </c>
    </row>
    <row r="107" spans="1:11">
      <c r="A107" s="227">
        <v>90</v>
      </c>
      <c r="B107" s="226" t="s">
        <v>2316</v>
      </c>
      <c r="C107" s="227"/>
      <c r="D107" s="244" t="s">
        <v>759</v>
      </c>
      <c r="E107" s="83" t="s">
        <v>1311</v>
      </c>
      <c r="F107" s="37"/>
      <c r="G107" s="123">
        <f>226333.26</f>
        <v>226333.26</v>
      </c>
      <c r="H107" s="94">
        <v>1</v>
      </c>
      <c r="I107" s="135">
        <f t="shared" si="10"/>
        <v>226333.26</v>
      </c>
      <c r="J107" s="94">
        <v>1</v>
      </c>
      <c r="K107" s="235">
        <f t="shared" si="11"/>
        <v>226333.26</v>
      </c>
    </row>
    <row r="108" spans="1:11">
      <c r="A108" s="227">
        <v>91</v>
      </c>
      <c r="B108" s="226" t="s">
        <v>2316</v>
      </c>
      <c r="C108" s="227"/>
      <c r="D108" s="244" t="s">
        <v>759</v>
      </c>
      <c r="E108" s="83" t="s">
        <v>1299</v>
      </c>
      <c r="F108" s="37"/>
      <c r="G108" s="123">
        <f>13470.93</f>
        <v>13470.93</v>
      </c>
      <c r="H108" s="94">
        <v>1</v>
      </c>
      <c r="I108" s="76">
        <f t="shared" si="10"/>
        <v>13470.93</v>
      </c>
      <c r="J108" s="94">
        <v>1</v>
      </c>
      <c r="K108" s="235">
        <f t="shared" si="11"/>
        <v>13470.93</v>
      </c>
    </row>
    <row r="109" spans="1:11">
      <c r="A109" s="227">
        <v>92</v>
      </c>
      <c r="B109" s="226" t="s">
        <v>2316</v>
      </c>
      <c r="C109" s="227"/>
      <c r="D109" s="244" t="s">
        <v>759</v>
      </c>
      <c r="E109" s="83" t="s">
        <v>1327</v>
      </c>
      <c r="F109" s="37"/>
      <c r="G109" s="123">
        <f>70114.66</f>
        <v>70114.66</v>
      </c>
      <c r="H109" s="94">
        <v>1</v>
      </c>
      <c r="I109" s="76">
        <f t="shared" si="10"/>
        <v>70114.66</v>
      </c>
      <c r="J109" s="94">
        <v>1</v>
      </c>
      <c r="K109" s="235">
        <f t="shared" si="11"/>
        <v>70114.66</v>
      </c>
    </row>
    <row r="110" spans="1:11">
      <c r="A110" s="227">
        <v>93</v>
      </c>
      <c r="B110" s="226" t="s">
        <v>2316</v>
      </c>
      <c r="C110" s="227"/>
      <c r="D110" s="244" t="s">
        <v>759</v>
      </c>
      <c r="E110" s="83" t="s">
        <v>1299</v>
      </c>
      <c r="F110" s="37"/>
      <c r="G110" s="123">
        <f>1421.38</f>
        <v>1421.38</v>
      </c>
      <c r="H110" s="94">
        <v>1</v>
      </c>
      <c r="I110" s="76">
        <f t="shared" si="10"/>
        <v>1421.38</v>
      </c>
      <c r="J110" s="94">
        <v>1</v>
      </c>
      <c r="K110" s="235">
        <f t="shared" si="11"/>
        <v>1421.38</v>
      </c>
    </row>
    <row r="111" spans="1:11">
      <c r="A111" s="227">
        <v>94</v>
      </c>
      <c r="B111" s="226" t="s">
        <v>2316</v>
      </c>
      <c r="C111" s="227"/>
      <c r="D111" s="244" t="s">
        <v>759</v>
      </c>
      <c r="E111" s="83" t="s">
        <v>1328</v>
      </c>
      <c r="F111" s="37"/>
      <c r="G111" s="123">
        <f>61004.73</f>
        <v>61004.73</v>
      </c>
      <c r="H111" s="94">
        <v>1</v>
      </c>
      <c r="I111" s="76">
        <f t="shared" si="10"/>
        <v>61004.73</v>
      </c>
      <c r="J111" s="94">
        <v>1</v>
      </c>
      <c r="K111" s="235">
        <f t="shared" si="11"/>
        <v>61004.73</v>
      </c>
    </row>
    <row r="112" spans="1:11">
      <c r="A112" s="227">
        <v>95</v>
      </c>
      <c r="B112" s="226" t="s">
        <v>2316</v>
      </c>
      <c r="C112" s="227"/>
      <c r="D112" s="244" t="s">
        <v>759</v>
      </c>
      <c r="E112" s="83" t="s">
        <v>1329</v>
      </c>
      <c r="F112" s="37"/>
      <c r="G112" s="123">
        <f>202050</f>
        <v>202050</v>
      </c>
      <c r="H112" s="94">
        <v>1</v>
      </c>
      <c r="I112" s="76">
        <f t="shared" si="10"/>
        <v>202050</v>
      </c>
      <c r="J112" s="94">
        <v>1</v>
      </c>
      <c r="K112" s="235">
        <f t="shared" si="11"/>
        <v>202050</v>
      </c>
    </row>
    <row r="113" spans="1:11">
      <c r="A113" s="227">
        <v>96</v>
      </c>
      <c r="B113" s="226" t="s">
        <v>2316</v>
      </c>
      <c r="C113" s="227"/>
      <c r="D113" s="244" t="s">
        <v>759</v>
      </c>
      <c r="E113" s="83" t="s">
        <v>1299</v>
      </c>
      <c r="F113" s="37"/>
      <c r="G113" s="123">
        <f>6760.85</f>
        <v>6760.85</v>
      </c>
      <c r="H113" s="94">
        <v>1</v>
      </c>
      <c r="I113" s="76">
        <f t="shared" si="10"/>
        <v>6760.85</v>
      </c>
      <c r="J113" s="94">
        <v>1</v>
      </c>
      <c r="K113" s="235">
        <f t="shared" si="11"/>
        <v>6760.85</v>
      </c>
    </row>
    <row r="114" spans="1:11">
      <c r="A114" s="227">
        <v>97</v>
      </c>
      <c r="B114" s="226" t="s">
        <v>2316</v>
      </c>
      <c r="C114" s="227"/>
      <c r="D114" s="244" t="s">
        <v>759</v>
      </c>
      <c r="E114" s="83" t="s">
        <v>1330</v>
      </c>
      <c r="F114" s="37"/>
      <c r="G114" s="123">
        <f>121027.36</f>
        <v>121027.36</v>
      </c>
      <c r="H114" s="94">
        <v>1</v>
      </c>
      <c r="I114" s="76">
        <f t="shared" si="10"/>
        <v>121027.36</v>
      </c>
      <c r="J114" s="94">
        <v>1</v>
      </c>
      <c r="K114" s="235">
        <f t="shared" si="11"/>
        <v>121027.36</v>
      </c>
    </row>
    <row r="115" spans="1:11">
      <c r="A115" s="227">
        <v>98</v>
      </c>
      <c r="B115" s="226" t="s">
        <v>2316</v>
      </c>
      <c r="C115" s="227"/>
      <c r="D115" s="244" t="s">
        <v>759</v>
      </c>
      <c r="E115" s="83" t="s">
        <v>1299</v>
      </c>
      <c r="F115" s="37"/>
      <c r="G115" s="123">
        <f>2483.93</f>
        <v>2483.9299999999998</v>
      </c>
      <c r="H115" s="94">
        <v>1</v>
      </c>
      <c r="I115" s="76">
        <f t="shared" si="10"/>
        <v>2483.9299999999998</v>
      </c>
      <c r="J115" s="94">
        <v>1</v>
      </c>
      <c r="K115" s="235">
        <f t="shared" si="11"/>
        <v>2483.9299999999998</v>
      </c>
    </row>
    <row r="116" spans="1:11">
      <c r="A116" s="227">
        <v>99</v>
      </c>
      <c r="B116" s="226" t="s">
        <v>2316</v>
      </c>
      <c r="C116" s="227"/>
      <c r="D116" s="244" t="s">
        <v>759</v>
      </c>
      <c r="E116" s="83" t="s">
        <v>1331</v>
      </c>
      <c r="F116" s="37"/>
      <c r="G116" s="123">
        <f>454503.96</f>
        <v>454503.96</v>
      </c>
      <c r="H116" s="94">
        <v>1</v>
      </c>
      <c r="I116" s="76">
        <f t="shared" si="10"/>
        <v>454503.96</v>
      </c>
      <c r="J116" s="94">
        <v>1</v>
      </c>
      <c r="K116" s="235">
        <f t="shared" si="11"/>
        <v>454503.96</v>
      </c>
    </row>
    <row r="117" spans="1:11">
      <c r="A117" s="227">
        <v>100</v>
      </c>
      <c r="B117" s="226" t="s">
        <v>2316</v>
      </c>
      <c r="C117" s="227"/>
      <c r="D117" s="244" t="s">
        <v>759</v>
      </c>
      <c r="E117" s="83" t="s">
        <v>1299</v>
      </c>
      <c r="F117" s="37"/>
      <c r="G117" s="123">
        <f>12877</f>
        <v>12877</v>
      </c>
      <c r="H117" s="94">
        <v>1</v>
      </c>
      <c r="I117" s="76">
        <f t="shared" si="10"/>
        <v>12877</v>
      </c>
      <c r="J117" s="94">
        <v>1</v>
      </c>
      <c r="K117" s="235">
        <f t="shared" si="11"/>
        <v>12877</v>
      </c>
    </row>
    <row r="118" spans="1:11">
      <c r="A118" s="227">
        <v>101</v>
      </c>
      <c r="B118" s="226" t="s">
        <v>2316</v>
      </c>
      <c r="C118" s="227"/>
      <c r="D118" s="244" t="s">
        <v>759</v>
      </c>
      <c r="E118" s="83" t="s">
        <v>1332</v>
      </c>
      <c r="F118" s="37"/>
      <c r="G118" s="123">
        <f>20216.8</f>
        <v>20216.8</v>
      </c>
      <c r="H118" s="94">
        <v>1</v>
      </c>
      <c r="I118" s="76">
        <f t="shared" si="10"/>
        <v>20216.8</v>
      </c>
      <c r="J118" s="94">
        <v>1</v>
      </c>
      <c r="K118" s="235">
        <f t="shared" si="11"/>
        <v>20216.8</v>
      </c>
    </row>
    <row r="119" spans="1:11">
      <c r="A119" s="227">
        <v>102</v>
      </c>
      <c r="B119" s="226" t="s">
        <v>2316</v>
      </c>
      <c r="C119" s="227"/>
      <c r="D119" s="244" t="s">
        <v>759</v>
      </c>
      <c r="E119" s="83" t="s">
        <v>1299</v>
      </c>
      <c r="F119" s="37"/>
      <c r="G119" s="123">
        <f>1978.87</f>
        <v>1978.87</v>
      </c>
      <c r="H119" s="94">
        <v>1</v>
      </c>
      <c r="I119" s="76">
        <f t="shared" si="10"/>
        <v>1978.87</v>
      </c>
      <c r="J119" s="94">
        <v>1</v>
      </c>
      <c r="K119" s="235">
        <f t="shared" si="11"/>
        <v>1978.87</v>
      </c>
    </row>
    <row r="120" spans="1:11">
      <c r="A120" s="227">
        <v>103</v>
      </c>
      <c r="B120" s="226" t="s">
        <v>2316</v>
      </c>
      <c r="C120" s="227"/>
      <c r="D120" s="244" t="s">
        <v>759</v>
      </c>
      <c r="E120" s="83" t="s">
        <v>1333</v>
      </c>
      <c r="F120" s="37"/>
      <c r="G120" s="123">
        <f>36320.07</f>
        <v>36320.07</v>
      </c>
      <c r="H120" s="94">
        <v>1</v>
      </c>
      <c r="I120" s="76">
        <f t="shared" si="10"/>
        <v>36320.07</v>
      </c>
      <c r="J120" s="94">
        <v>1</v>
      </c>
      <c r="K120" s="235">
        <f t="shared" si="11"/>
        <v>36320.07</v>
      </c>
    </row>
    <row r="121" spans="1:11">
      <c r="A121" s="227">
        <v>104</v>
      </c>
      <c r="B121" s="226" t="s">
        <v>2316</v>
      </c>
      <c r="C121" s="227"/>
      <c r="D121" s="244" t="s">
        <v>759</v>
      </c>
      <c r="E121" s="83" t="s">
        <v>1299</v>
      </c>
      <c r="F121" s="37"/>
      <c r="G121" s="123">
        <f>630.74</f>
        <v>630.74</v>
      </c>
      <c r="H121" s="94">
        <v>1</v>
      </c>
      <c r="I121" s="76">
        <f t="shared" si="10"/>
        <v>630.74</v>
      </c>
      <c r="J121" s="94">
        <v>1</v>
      </c>
      <c r="K121" s="235">
        <f t="shared" si="11"/>
        <v>630.74</v>
      </c>
    </row>
    <row r="122" spans="1:11">
      <c r="A122" s="227">
        <v>105</v>
      </c>
      <c r="B122" s="226" t="s">
        <v>2316</v>
      </c>
      <c r="C122" s="227"/>
      <c r="D122" s="244" t="s">
        <v>759</v>
      </c>
      <c r="E122" s="83" t="s">
        <v>1334</v>
      </c>
      <c r="F122" s="37"/>
      <c r="G122" s="123">
        <f>23846.74</f>
        <v>23846.74</v>
      </c>
      <c r="H122" s="94">
        <v>1</v>
      </c>
      <c r="I122" s="76">
        <f t="shared" si="10"/>
        <v>23846.74</v>
      </c>
      <c r="J122" s="94">
        <v>1</v>
      </c>
      <c r="K122" s="235">
        <f t="shared" si="11"/>
        <v>23846.74</v>
      </c>
    </row>
    <row r="123" spans="1:11">
      <c r="A123" s="227">
        <v>106</v>
      </c>
      <c r="B123" s="226" t="s">
        <v>2316</v>
      </c>
      <c r="C123" s="227"/>
      <c r="D123" s="244" t="s">
        <v>759</v>
      </c>
      <c r="E123" s="83" t="s">
        <v>1335</v>
      </c>
      <c r="F123" s="37"/>
      <c r="G123" s="123">
        <f>57731</f>
        <v>57731</v>
      </c>
      <c r="H123" s="94">
        <v>1</v>
      </c>
      <c r="I123" s="76">
        <f t="shared" si="10"/>
        <v>57731</v>
      </c>
      <c r="J123" s="94">
        <v>1</v>
      </c>
      <c r="K123" s="235">
        <f t="shared" si="11"/>
        <v>57731</v>
      </c>
    </row>
    <row r="124" spans="1:11">
      <c r="A124" s="227">
        <v>107</v>
      </c>
      <c r="B124" s="226" t="s">
        <v>2316</v>
      </c>
      <c r="C124" s="227"/>
      <c r="D124" s="244" t="s">
        <v>759</v>
      </c>
      <c r="E124" s="83" t="s">
        <v>1312</v>
      </c>
      <c r="F124" s="37"/>
      <c r="G124" s="123">
        <f>144190.32</f>
        <v>144190.32</v>
      </c>
      <c r="H124" s="94">
        <v>1</v>
      </c>
      <c r="I124" s="76">
        <f t="shared" si="10"/>
        <v>144190.32</v>
      </c>
      <c r="J124" s="94">
        <v>1</v>
      </c>
      <c r="K124" s="235">
        <f t="shared" si="11"/>
        <v>144190.32</v>
      </c>
    </row>
    <row r="125" spans="1:11">
      <c r="A125" s="227">
        <v>108</v>
      </c>
      <c r="B125" s="226" t="s">
        <v>2316</v>
      </c>
      <c r="C125" s="227"/>
      <c r="D125" s="244" t="s">
        <v>759</v>
      </c>
      <c r="E125" s="83" t="s">
        <v>1307</v>
      </c>
      <c r="F125" s="37"/>
      <c r="G125" s="123">
        <f>167020.06</f>
        <v>167020.06</v>
      </c>
      <c r="H125" s="94">
        <v>1</v>
      </c>
      <c r="I125" s="76">
        <f t="shared" si="10"/>
        <v>167020.06</v>
      </c>
      <c r="J125" s="94">
        <v>1</v>
      </c>
      <c r="K125" s="235">
        <f t="shared" si="11"/>
        <v>167020.06</v>
      </c>
    </row>
    <row r="126" spans="1:11">
      <c r="A126" s="227">
        <v>109</v>
      </c>
      <c r="B126" s="226" t="s">
        <v>2316</v>
      </c>
      <c r="C126" s="227"/>
      <c r="D126" s="244" t="s">
        <v>759</v>
      </c>
      <c r="E126" s="83" t="s">
        <v>1299</v>
      </c>
      <c r="F126" s="37"/>
      <c r="G126" s="123">
        <f>2373.14</f>
        <v>2373.14</v>
      </c>
      <c r="H126" s="94">
        <v>1</v>
      </c>
      <c r="I126" s="76">
        <f t="shared" si="10"/>
        <v>2373.14</v>
      </c>
      <c r="J126" s="94">
        <v>1</v>
      </c>
      <c r="K126" s="235">
        <f t="shared" si="11"/>
        <v>2373.14</v>
      </c>
    </row>
    <row r="127" spans="1:11">
      <c r="A127" s="227">
        <v>110</v>
      </c>
      <c r="B127" s="226" t="s">
        <v>2316</v>
      </c>
      <c r="C127" s="227"/>
      <c r="D127" s="244" t="s">
        <v>759</v>
      </c>
      <c r="E127" s="83" t="s">
        <v>1336</v>
      </c>
      <c r="F127" s="37"/>
      <c r="G127" s="123">
        <v>267248.89</v>
      </c>
      <c r="H127" s="94">
        <v>1</v>
      </c>
      <c r="I127" s="76">
        <f t="shared" si="10"/>
        <v>267248.89</v>
      </c>
      <c r="J127" s="94">
        <v>1</v>
      </c>
      <c r="K127" s="235">
        <f t="shared" si="11"/>
        <v>267248.89</v>
      </c>
    </row>
    <row r="128" spans="1:11">
      <c r="A128" s="227">
        <v>111</v>
      </c>
      <c r="B128" s="226" t="s">
        <v>2316</v>
      </c>
      <c r="C128" s="227"/>
      <c r="D128" s="244" t="s">
        <v>759</v>
      </c>
      <c r="E128" s="83" t="s">
        <v>1299</v>
      </c>
      <c r="F128" s="37"/>
      <c r="G128" s="123">
        <v>16353.85</v>
      </c>
      <c r="H128" s="94">
        <v>1</v>
      </c>
      <c r="I128" s="76">
        <f t="shared" si="10"/>
        <v>16353.85</v>
      </c>
      <c r="J128" s="94">
        <v>1</v>
      </c>
      <c r="K128" s="235">
        <f t="shared" si="11"/>
        <v>16353.85</v>
      </c>
    </row>
    <row r="129" spans="1:11">
      <c r="A129" s="227">
        <v>112</v>
      </c>
      <c r="B129" s="226" t="s">
        <v>2316</v>
      </c>
      <c r="C129" s="227"/>
      <c r="D129" s="244" t="s">
        <v>759</v>
      </c>
      <c r="E129" s="83" t="s">
        <v>1306</v>
      </c>
      <c r="F129" s="37"/>
      <c r="G129" s="123">
        <v>24731.8</v>
      </c>
      <c r="H129" s="94">
        <v>1</v>
      </c>
      <c r="I129" s="76">
        <f>G129*H129</f>
        <v>24731.8</v>
      </c>
      <c r="J129" s="94">
        <v>1</v>
      </c>
      <c r="K129" s="235">
        <f>G129*J129</f>
        <v>24731.8</v>
      </c>
    </row>
    <row r="130" spans="1:11">
      <c r="A130" s="227">
        <v>113</v>
      </c>
      <c r="B130" s="226" t="s">
        <v>2316</v>
      </c>
      <c r="C130" s="227"/>
      <c r="D130" s="244" t="s">
        <v>759</v>
      </c>
      <c r="E130" s="83" t="s">
        <v>1299</v>
      </c>
      <c r="F130" s="37"/>
      <c r="G130" s="123">
        <v>312.37</v>
      </c>
      <c r="H130" s="94">
        <v>1</v>
      </c>
      <c r="I130" s="76">
        <f>G130*H130</f>
        <v>312.37</v>
      </c>
      <c r="J130" s="94">
        <v>1</v>
      </c>
      <c r="K130" s="235">
        <f>G130*J130</f>
        <v>312.37</v>
      </c>
    </row>
    <row r="131" spans="1:11">
      <c r="A131" s="227">
        <v>114</v>
      </c>
      <c r="B131" s="226" t="s">
        <v>2316</v>
      </c>
      <c r="C131" s="227"/>
      <c r="D131" s="244" t="s">
        <v>759</v>
      </c>
      <c r="E131" s="83" t="s">
        <v>1337</v>
      </c>
      <c r="F131" s="37"/>
      <c r="G131" s="123">
        <v>559892.23</v>
      </c>
      <c r="H131" s="94">
        <v>1</v>
      </c>
      <c r="I131" s="76">
        <f t="shared" si="10"/>
        <v>559892.23</v>
      </c>
      <c r="J131" s="94">
        <v>1</v>
      </c>
      <c r="K131" s="235">
        <f t="shared" si="11"/>
        <v>559892.23</v>
      </c>
    </row>
    <row r="132" spans="1:11">
      <c r="A132" s="227">
        <v>115</v>
      </c>
      <c r="B132" s="226" t="s">
        <v>2316</v>
      </c>
      <c r="C132" s="227"/>
      <c r="D132" s="244" t="s">
        <v>759</v>
      </c>
      <c r="E132" s="83" t="s">
        <v>1299</v>
      </c>
      <c r="F132" s="37"/>
      <c r="G132" s="123">
        <v>33279.980000000003</v>
      </c>
      <c r="H132" s="94">
        <v>1</v>
      </c>
      <c r="I132" s="76">
        <f t="shared" si="10"/>
        <v>33279.980000000003</v>
      </c>
      <c r="J132" s="94">
        <v>1</v>
      </c>
      <c r="K132" s="235">
        <f t="shared" si="11"/>
        <v>33279.980000000003</v>
      </c>
    </row>
    <row r="133" spans="1:11">
      <c r="A133" s="227">
        <v>116</v>
      </c>
      <c r="B133" s="226" t="s">
        <v>2316</v>
      </c>
      <c r="C133" s="227"/>
      <c r="D133" s="244" t="s">
        <v>759</v>
      </c>
      <c r="E133" s="83" t="s">
        <v>1330</v>
      </c>
      <c r="F133" s="37"/>
      <c r="G133" s="123">
        <v>1215753.6000000001</v>
      </c>
      <c r="H133" s="94">
        <v>1</v>
      </c>
      <c r="I133" s="76">
        <f t="shared" si="10"/>
        <v>1215753.6000000001</v>
      </c>
      <c r="J133" s="94">
        <v>1</v>
      </c>
      <c r="K133" s="235">
        <f t="shared" si="11"/>
        <v>1215753.6000000001</v>
      </c>
    </row>
    <row r="134" spans="1:11">
      <c r="A134" s="227">
        <v>117</v>
      </c>
      <c r="B134" s="226" t="s">
        <v>2316</v>
      </c>
      <c r="C134" s="227"/>
      <c r="D134" s="244" t="s">
        <v>759</v>
      </c>
      <c r="E134" s="83" t="s">
        <v>1299</v>
      </c>
      <c r="F134" s="37"/>
      <c r="G134" s="123">
        <v>15472.91</v>
      </c>
      <c r="H134" s="94">
        <v>1</v>
      </c>
      <c r="I134" s="76">
        <f t="shared" si="10"/>
        <v>15472.91</v>
      </c>
      <c r="J134" s="94">
        <v>1</v>
      </c>
      <c r="K134" s="235">
        <f t="shared" si="11"/>
        <v>15472.91</v>
      </c>
    </row>
    <row r="135" spans="1:11">
      <c r="A135" s="227">
        <v>118</v>
      </c>
      <c r="B135" s="226" t="s">
        <v>2316</v>
      </c>
      <c r="C135" s="227"/>
      <c r="D135" s="244" t="s">
        <v>759</v>
      </c>
      <c r="E135" s="83" t="s">
        <v>1310</v>
      </c>
      <c r="F135" s="37"/>
      <c r="G135" s="123">
        <v>280379.48</v>
      </c>
      <c r="H135" s="94">
        <v>1</v>
      </c>
      <c r="I135" s="76">
        <f t="shared" si="10"/>
        <v>280379.48</v>
      </c>
      <c r="J135" s="94">
        <v>1</v>
      </c>
      <c r="K135" s="235">
        <f t="shared" si="11"/>
        <v>280379.48</v>
      </c>
    </row>
    <row r="136" spans="1:11">
      <c r="A136" s="227">
        <v>119</v>
      </c>
      <c r="B136" s="226" t="s">
        <v>2316</v>
      </c>
      <c r="C136" s="227"/>
      <c r="D136" s="244" t="s">
        <v>759</v>
      </c>
      <c r="E136" s="83" t="s">
        <v>1303</v>
      </c>
      <c r="F136" s="37"/>
      <c r="G136" s="123">
        <v>3541.1</v>
      </c>
      <c r="H136" s="94">
        <v>1</v>
      </c>
      <c r="I136" s="76">
        <f t="shared" si="10"/>
        <v>3541.1</v>
      </c>
      <c r="J136" s="94">
        <v>1</v>
      </c>
      <c r="K136" s="235">
        <f t="shared" si="11"/>
        <v>3541.1</v>
      </c>
    </row>
    <row r="137" spans="1:11" s="98" customFormat="1" ht="13.5" thickBot="1">
      <c r="A137" s="227">
        <v>120</v>
      </c>
      <c r="B137" s="226"/>
      <c r="C137" s="227"/>
      <c r="D137" s="244"/>
      <c r="E137" s="255" t="s">
        <v>84</v>
      </c>
      <c r="F137" s="77"/>
      <c r="G137" s="143">
        <f>SUM(G83:G136)</f>
        <v>5668360.3000000007</v>
      </c>
      <c r="H137" s="257"/>
      <c r="I137" s="241">
        <f>SUM(I83:I136)</f>
        <v>5668360.3000000007</v>
      </c>
      <c r="J137" s="77"/>
      <c r="K137" s="243">
        <f>SUM(K83:K136)</f>
        <v>5668360.3000000007</v>
      </c>
    </row>
    <row r="138" spans="1:11" ht="13.5" thickTop="1">
      <c r="A138" s="227">
        <v>121</v>
      </c>
      <c r="B138" s="226" t="s">
        <v>2316</v>
      </c>
      <c r="C138" s="227"/>
      <c r="D138" s="244" t="s">
        <v>759</v>
      </c>
      <c r="E138" s="83" t="s">
        <v>1338</v>
      </c>
      <c r="F138" s="37"/>
      <c r="G138" s="123">
        <f>636801.91</f>
        <v>636801.91</v>
      </c>
      <c r="H138" s="95">
        <v>0.66300000000000003</v>
      </c>
      <c r="I138" s="76">
        <f>G138*H138</f>
        <v>422199.66633000004</v>
      </c>
      <c r="J138" s="95">
        <v>0.75900000000000001</v>
      </c>
      <c r="K138" s="235">
        <f>G138*J138</f>
        <v>483332.64969000005</v>
      </c>
    </row>
    <row r="139" spans="1:11">
      <c r="A139" s="227">
        <v>122</v>
      </c>
      <c r="B139" s="226" t="s">
        <v>2316</v>
      </c>
      <c r="C139" s="227"/>
      <c r="D139" s="244" t="s">
        <v>759</v>
      </c>
      <c r="E139" s="83" t="s">
        <v>1339</v>
      </c>
      <c r="F139" s="37"/>
      <c r="G139" s="123">
        <f>152203.76</f>
        <v>152203.76</v>
      </c>
      <c r="H139" s="95">
        <v>0.66300000000000003</v>
      </c>
      <c r="I139" s="76">
        <f t="shared" ref="I139:I155" si="12">G139*H139</f>
        <v>100911.09288000001</v>
      </c>
      <c r="J139" s="95">
        <v>0.75900000000000001</v>
      </c>
      <c r="K139" s="235">
        <f t="shared" ref="K139:K155" si="13">G139*J139</f>
        <v>115522.65384000001</v>
      </c>
    </row>
    <row r="140" spans="1:11">
      <c r="A140" s="227">
        <v>123</v>
      </c>
      <c r="B140" s="226" t="s">
        <v>2316</v>
      </c>
      <c r="C140" s="227"/>
      <c r="D140" s="244" t="s">
        <v>759</v>
      </c>
      <c r="E140" s="83" t="s">
        <v>1340</v>
      </c>
      <c r="F140" s="37"/>
      <c r="G140" s="123">
        <v>276283.57</v>
      </c>
      <c r="H140" s="95">
        <v>0.66300000000000003</v>
      </c>
      <c r="I140" s="76">
        <f t="shared" si="12"/>
        <v>183176.00691000003</v>
      </c>
      <c r="J140" s="95">
        <v>0.75900000000000001</v>
      </c>
      <c r="K140" s="235">
        <f t="shared" si="13"/>
        <v>209699.22963000002</v>
      </c>
    </row>
    <row r="141" spans="1:11">
      <c r="A141" s="227">
        <v>124</v>
      </c>
      <c r="B141" s="226" t="s">
        <v>2316</v>
      </c>
      <c r="C141" s="227"/>
      <c r="D141" s="244" t="s">
        <v>759</v>
      </c>
      <c r="E141" s="83" t="s">
        <v>1299</v>
      </c>
      <c r="F141" s="37"/>
      <c r="G141" s="123">
        <v>2835.11</v>
      </c>
      <c r="H141" s="95">
        <v>0.66300000000000003</v>
      </c>
      <c r="I141" s="76">
        <f t="shared" si="12"/>
        <v>1879.6779300000003</v>
      </c>
      <c r="J141" s="95">
        <v>0.75900000000000001</v>
      </c>
      <c r="K141" s="235">
        <f t="shared" si="13"/>
        <v>2151.8484900000003</v>
      </c>
    </row>
    <row r="142" spans="1:11">
      <c r="A142" s="227">
        <v>125</v>
      </c>
      <c r="B142" s="226" t="s">
        <v>2316</v>
      </c>
      <c r="C142" s="227"/>
      <c r="D142" s="244" t="s">
        <v>759</v>
      </c>
      <c r="E142" s="83" t="s">
        <v>1311</v>
      </c>
      <c r="F142" s="37"/>
      <c r="G142" s="123">
        <f>20893.47</f>
        <v>20893.47</v>
      </c>
      <c r="H142" s="95">
        <v>0.66300000000000003</v>
      </c>
      <c r="I142" s="76">
        <f t="shared" si="12"/>
        <v>13852.370610000002</v>
      </c>
      <c r="J142" s="95">
        <v>0.75900000000000001</v>
      </c>
      <c r="K142" s="235">
        <f t="shared" si="13"/>
        <v>15858.143730000002</v>
      </c>
    </row>
    <row r="143" spans="1:11">
      <c r="A143" s="227">
        <v>126</v>
      </c>
      <c r="B143" s="226" t="s">
        <v>2316</v>
      </c>
      <c r="C143" s="227"/>
      <c r="D143" s="244" t="s">
        <v>759</v>
      </c>
      <c r="E143" s="83" t="s">
        <v>1299</v>
      </c>
      <c r="F143" s="37"/>
      <c r="G143" s="123">
        <f>405078.07</f>
        <v>405078.07</v>
      </c>
      <c r="H143" s="95">
        <v>0.66300000000000003</v>
      </c>
      <c r="I143" s="76">
        <f t="shared" si="12"/>
        <v>268566.76041000005</v>
      </c>
      <c r="J143" s="95">
        <v>0.75900000000000001</v>
      </c>
      <c r="K143" s="235">
        <f t="shared" si="13"/>
        <v>307454.25513000001</v>
      </c>
    </row>
    <row r="144" spans="1:11">
      <c r="A144" s="227">
        <v>127</v>
      </c>
      <c r="B144" s="226" t="s">
        <v>2316</v>
      </c>
      <c r="C144" s="227"/>
      <c r="D144" s="244" t="s">
        <v>759</v>
      </c>
      <c r="E144" s="83" t="s">
        <v>1341</v>
      </c>
      <c r="F144" s="37"/>
      <c r="G144" s="123">
        <f>651815.82</f>
        <v>651815.81999999995</v>
      </c>
      <c r="H144" s="95">
        <v>0.66300000000000003</v>
      </c>
      <c r="I144" s="76">
        <f t="shared" si="12"/>
        <v>432153.88866</v>
      </c>
      <c r="J144" s="95">
        <v>0.75900000000000001</v>
      </c>
      <c r="K144" s="235">
        <f t="shared" ref="K144:K147" si="14">G144*J144</f>
        <v>494728.20737999998</v>
      </c>
    </row>
    <row r="145" spans="1:11">
      <c r="A145" s="227">
        <v>128</v>
      </c>
      <c r="B145" s="226" t="s">
        <v>2316</v>
      </c>
      <c r="C145" s="227"/>
      <c r="D145" s="244" t="s">
        <v>759</v>
      </c>
      <c r="E145" s="83" t="s">
        <v>1299</v>
      </c>
      <c r="F145" s="37"/>
      <c r="G145" s="123">
        <f>39508.27</f>
        <v>39508.269999999997</v>
      </c>
      <c r="H145" s="95">
        <v>0.66300000000000003</v>
      </c>
      <c r="I145" s="76">
        <f t="shared" si="12"/>
        <v>26193.98301</v>
      </c>
      <c r="J145" s="95">
        <v>0.75900000000000001</v>
      </c>
      <c r="K145" s="235">
        <f t="shared" si="14"/>
        <v>29986.776929999996</v>
      </c>
    </row>
    <row r="146" spans="1:11">
      <c r="A146" s="227">
        <v>129</v>
      </c>
      <c r="B146" s="226" t="s">
        <v>2316</v>
      </c>
      <c r="C146" s="227"/>
      <c r="D146" s="244" t="s">
        <v>759</v>
      </c>
      <c r="E146" s="83" t="s">
        <v>1342</v>
      </c>
      <c r="F146" s="37"/>
      <c r="G146" s="123">
        <v>153427.82999999999</v>
      </c>
      <c r="H146" s="95">
        <v>0.66300000000000003</v>
      </c>
      <c r="I146" s="76">
        <f t="shared" si="12"/>
        <v>101722.65128999999</v>
      </c>
      <c r="J146" s="95">
        <v>0.75900000000000001</v>
      </c>
      <c r="K146" s="235">
        <f t="shared" si="14"/>
        <v>116451.72296999999</v>
      </c>
    </row>
    <row r="147" spans="1:11">
      <c r="A147" s="227">
        <v>130</v>
      </c>
      <c r="B147" s="226" t="s">
        <v>2316</v>
      </c>
      <c r="C147" s="227"/>
      <c r="D147" s="244" t="s">
        <v>759</v>
      </c>
      <c r="E147" s="83" t="s">
        <v>1299</v>
      </c>
      <c r="F147" s="37"/>
      <c r="G147" s="123">
        <v>2051.63</v>
      </c>
      <c r="H147" s="95">
        <v>0.66300000000000003</v>
      </c>
      <c r="I147" s="76">
        <f t="shared" si="12"/>
        <v>1360.2306900000001</v>
      </c>
      <c r="J147" s="95">
        <v>0.75900000000000001</v>
      </c>
      <c r="K147" s="235">
        <f t="shared" si="14"/>
        <v>1557.1871700000002</v>
      </c>
    </row>
    <row r="148" spans="1:11">
      <c r="A148" s="227">
        <v>131</v>
      </c>
      <c r="B148" s="226" t="s">
        <v>2316</v>
      </c>
      <c r="C148" s="227"/>
      <c r="D148" s="244" t="s">
        <v>759</v>
      </c>
      <c r="E148" s="83" t="s">
        <v>1312</v>
      </c>
      <c r="F148" s="37"/>
      <c r="G148" s="123">
        <f>146114.62</f>
        <v>146114.62</v>
      </c>
      <c r="H148" s="95">
        <v>0.66300000000000003</v>
      </c>
      <c r="I148" s="76">
        <f t="shared" si="12"/>
        <v>96873.993060000008</v>
      </c>
      <c r="J148" s="95">
        <v>0.75900000000000001</v>
      </c>
      <c r="K148" s="235">
        <f t="shared" si="13"/>
        <v>110900.99657999999</v>
      </c>
    </row>
    <row r="149" spans="1:11">
      <c r="A149" s="227">
        <v>132</v>
      </c>
      <c r="B149" s="226" t="s">
        <v>2316</v>
      </c>
      <c r="C149" s="227"/>
      <c r="D149" s="244" t="s">
        <v>759</v>
      </c>
      <c r="E149" s="83" t="s">
        <v>1343</v>
      </c>
      <c r="F149" s="37"/>
      <c r="G149" s="123">
        <f>1844.89</f>
        <v>1844.89</v>
      </c>
      <c r="H149" s="95">
        <v>0.66300000000000003</v>
      </c>
      <c r="I149" s="76">
        <f t="shared" si="12"/>
        <v>1223.1620700000001</v>
      </c>
      <c r="J149" s="95">
        <v>0.75900000000000001</v>
      </c>
      <c r="K149" s="235">
        <f t="shared" si="13"/>
        <v>1400.27151</v>
      </c>
    </row>
    <row r="150" spans="1:11">
      <c r="A150" s="227">
        <v>133</v>
      </c>
      <c r="B150" s="226" t="s">
        <v>2316</v>
      </c>
      <c r="C150" s="227"/>
      <c r="D150" s="244" t="s">
        <v>759</v>
      </c>
      <c r="E150" s="83" t="s">
        <v>1344</v>
      </c>
      <c r="F150" s="37"/>
      <c r="G150" s="123">
        <f>3844.64</f>
        <v>3844.64</v>
      </c>
      <c r="H150" s="95">
        <v>0.66300000000000003</v>
      </c>
      <c r="I150" s="76">
        <f t="shared" si="12"/>
        <v>2548.9963200000002</v>
      </c>
      <c r="J150" s="95">
        <v>0.75900000000000001</v>
      </c>
      <c r="K150" s="235">
        <f t="shared" si="13"/>
        <v>2918.08176</v>
      </c>
    </row>
    <row r="151" spans="1:11">
      <c r="A151" s="227">
        <v>134</v>
      </c>
      <c r="B151" s="226" t="s">
        <v>2316</v>
      </c>
      <c r="C151" s="227"/>
      <c r="D151" s="244" t="s">
        <v>759</v>
      </c>
      <c r="E151" s="83" t="s">
        <v>1345</v>
      </c>
      <c r="F151" s="37"/>
      <c r="G151" s="123">
        <f>219050.16</f>
        <v>219050.16</v>
      </c>
      <c r="H151" s="95">
        <v>0.66300000000000003</v>
      </c>
      <c r="I151" s="76">
        <f t="shared" si="12"/>
        <v>145230.25608000002</v>
      </c>
      <c r="J151" s="95">
        <v>0.75900000000000001</v>
      </c>
      <c r="K151" s="235">
        <f t="shared" si="13"/>
        <v>166259.07144</v>
      </c>
    </row>
    <row r="152" spans="1:11">
      <c r="A152" s="227">
        <v>135</v>
      </c>
      <c r="B152" s="226" t="s">
        <v>2316</v>
      </c>
      <c r="C152" s="227"/>
      <c r="D152" s="244" t="s">
        <v>759</v>
      </c>
      <c r="E152" s="83" t="s">
        <v>1299</v>
      </c>
      <c r="F152" s="37"/>
      <c r="G152" s="123">
        <f>285734.43</f>
        <v>285734.43</v>
      </c>
      <c r="H152" s="95">
        <v>0.66300000000000003</v>
      </c>
      <c r="I152" s="76">
        <f t="shared" si="12"/>
        <v>189441.92709000001</v>
      </c>
      <c r="J152" s="95">
        <v>0.75900000000000001</v>
      </c>
      <c r="K152" s="235">
        <f t="shared" si="13"/>
        <v>216872.43236999999</v>
      </c>
    </row>
    <row r="153" spans="1:11">
      <c r="A153" s="227">
        <v>136</v>
      </c>
      <c r="B153" s="226" t="s">
        <v>2316</v>
      </c>
      <c r="C153" s="227"/>
      <c r="D153" s="244" t="s">
        <v>759</v>
      </c>
      <c r="E153" s="83" t="s">
        <v>1346</v>
      </c>
      <c r="F153" s="37"/>
      <c r="G153" s="123">
        <f>1929776.32</f>
        <v>1929776.32</v>
      </c>
      <c r="H153" s="95">
        <v>0.66300000000000003</v>
      </c>
      <c r="I153" s="76">
        <f t="shared" si="12"/>
        <v>1279441.70016</v>
      </c>
      <c r="J153" s="95">
        <v>0.75900000000000001</v>
      </c>
      <c r="K153" s="235">
        <f t="shared" si="13"/>
        <v>1464700.22688</v>
      </c>
    </row>
    <row r="154" spans="1:11">
      <c r="A154" s="227">
        <v>137</v>
      </c>
      <c r="B154" s="226" t="s">
        <v>2316</v>
      </c>
      <c r="C154" s="227"/>
      <c r="D154" s="244" t="s">
        <v>759</v>
      </c>
      <c r="E154" s="83" t="s">
        <v>1347</v>
      </c>
      <c r="F154" s="37"/>
      <c r="G154" s="123">
        <f>303096.04</f>
        <v>303096.03999999998</v>
      </c>
      <c r="H154" s="95">
        <v>0.66300000000000003</v>
      </c>
      <c r="I154" s="76">
        <f t="shared" si="12"/>
        <v>200952.67452</v>
      </c>
      <c r="J154" s="95">
        <v>0.75900000000000001</v>
      </c>
      <c r="K154" s="235">
        <f t="shared" si="13"/>
        <v>230049.89435999998</v>
      </c>
    </row>
    <row r="155" spans="1:11">
      <c r="A155" s="227">
        <v>138</v>
      </c>
      <c r="B155" s="226" t="s">
        <v>2316</v>
      </c>
      <c r="C155" s="227"/>
      <c r="D155" s="244" t="s">
        <v>759</v>
      </c>
      <c r="E155" s="83" t="s">
        <v>1348</v>
      </c>
      <c r="F155" s="37"/>
      <c r="G155" s="123">
        <f>1362394.81</f>
        <v>1362394.81</v>
      </c>
      <c r="H155" s="95">
        <v>0.66300000000000003</v>
      </c>
      <c r="I155" s="76">
        <f t="shared" si="12"/>
        <v>903267.75903000007</v>
      </c>
      <c r="J155" s="95">
        <v>0.75900000000000001</v>
      </c>
      <c r="K155" s="235">
        <f t="shared" si="13"/>
        <v>1034057.6607900001</v>
      </c>
    </row>
    <row r="156" spans="1:11" ht="13.5" thickBot="1">
      <c r="A156" s="227">
        <v>139</v>
      </c>
      <c r="B156" s="227"/>
      <c r="C156" s="227"/>
      <c r="D156" s="35"/>
      <c r="E156" s="255" t="s">
        <v>84</v>
      </c>
      <c r="F156" s="77"/>
      <c r="G156" s="258">
        <f>SUM(G138:G155)</f>
        <v>6592755.3500000015</v>
      </c>
      <c r="H156" s="77"/>
      <c r="I156" s="259">
        <f>SUM(I138:I155)</f>
        <v>4370996.7970500002</v>
      </c>
      <c r="J156" s="77"/>
      <c r="K156" s="260">
        <f>SUM(K138:K155)</f>
        <v>5003901.3106500003</v>
      </c>
    </row>
    <row r="157" spans="1:11" ht="13.5" thickTop="1">
      <c r="G157" s="368"/>
    </row>
    <row r="158" spans="1:11">
      <c r="G158" s="368"/>
    </row>
    <row r="159" spans="1:11">
      <c r="G159" s="368"/>
    </row>
    <row r="160" spans="1:11">
      <c r="G160" s="368"/>
    </row>
    <row r="161" spans="7:7">
      <c r="G161" s="368"/>
    </row>
    <row r="162" spans="7:7">
      <c r="G162" s="368"/>
    </row>
    <row r="163" spans="7:7">
      <c r="G163" s="368"/>
    </row>
    <row r="164" spans="7:7">
      <c r="G164" s="368"/>
    </row>
    <row r="165" spans="7:7">
      <c r="G165" s="368"/>
    </row>
    <row r="166" spans="7:7">
      <c r="G166" s="368"/>
    </row>
    <row r="167" spans="7:7">
      <c r="G167" s="368"/>
    </row>
    <row r="168" spans="7:7">
      <c r="G168" s="368"/>
    </row>
    <row r="169" spans="7:7">
      <c r="G169" s="368"/>
    </row>
    <row r="170" spans="7:7">
      <c r="G170" s="368"/>
    </row>
    <row r="171" spans="7:7">
      <c r="G171" s="368"/>
    </row>
    <row r="172" spans="7:7">
      <c r="G172" s="368"/>
    </row>
    <row r="173" spans="7:7">
      <c r="G173" s="368"/>
    </row>
    <row r="174" spans="7:7">
      <c r="G174" s="368"/>
    </row>
    <row r="175" spans="7:7">
      <c r="G175" s="368"/>
    </row>
    <row r="176" spans="7:7">
      <c r="G176" s="368"/>
    </row>
    <row r="177" spans="7:7">
      <c r="G177" s="368"/>
    </row>
    <row r="178" spans="7:7">
      <c r="G178" s="368"/>
    </row>
    <row r="179" spans="7:7">
      <c r="G179" s="368"/>
    </row>
    <row r="180" spans="7:7">
      <c r="G180" s="368"/>
    </row>
    <row r="181" spans="7:7">
      <c r="G181" s="368"/>
    </row>
    <row r="182" spans="7:7">
      <c r="G182" s="368"/>
    </row>
    <row r="183" spans="7:7">
      <c r="G183" s="368"/>
    </row>
    <row r="184" spans="7:7">
      <c r="G184" s="368"/>
    </row>
    <row r="185" spans="7:7">
      <c r="G185" s="368"/>
    </row>
    <row r="186" spans="7:7">
      <c r="G186" s="368"/>
    </row>
  </sheetData>
  <hyperlinks>
    <hyperlink ref="E1" location="'Cover Sheets'!A18" display="(Back to Worksheet Links)" xr:uid="{00000000-0004-0000-0E00-000000000000}"/>
  </hyperlinks>
  <pageMargins left="0.7" right="0.7" top="0.75" bottom="0.75" header="0.3" footer="0.3"/>
  <pageSetup paperSize="17" scale="89"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EF50E-E2EE-4E17-A365-E18AF5F410C6}">
  <sheetPr>
    <pageSetUpPr fitToPage="1"/>
  </sheetPr>
  <dimension ref="A1:J832"/>
  <sheetViews>
    <sheetView view="pageBreakPreview" zoomScale="90" zoomScaleNormal="80" zoomScaleSheetLayoutView="90" workbookViewId="0"/>
  </sheetViews>
  <sheetFormatPr defaultColWidth="8.81640625" defaultRowHeight="13"/>
  <cols>
    <col min="1" max="1" width="6.7265625" style="127" customWidth="1"/>
    <col min="2" max="2" width="8" style="127" bestFit="1" customWidth="1"/>
    <col min="3" max="3" width="26.26953125" style="290" customWidth="1"/>
    <col min="4" max="4" width="64.81640625" style="128" customWidth="1"/>
    <col min="5" max="5" width="8.7265625" style="295" customWidth="1"/>
    <col min="6" max="6" width="69.453125" style="295" customWidth="1"/>
    <col min="7" max="7" width="59.1796875" style="295" customWidth="1"/>
    <col min="8" max="8" width="64.1796875" style="127" customWidth="1"/>
    <col min="9" max="9" width="69.453125" style="295" customWidth="1"/>
    <col min="10" max="16384" width="8.81640625" style="124"/>
  </cols>
  <sheetData>
    <row r="1" spans="1:9">
      <c r="A1" s="550" t="s">
        <v>5</v>
      </c>
      <c r="B1" s="264"/>
      <c r="C1" s="264"/>
      <c r="D1" s="579" t="s">
        <v>52</v>
      </c>
      <c r="E1" s="265"/>
      <c r="F1" s="265"/>
      <c r="G1" s="265"/>
      <c r="H1" s="266"/>
      <c r="I1" s="265"/>
    </row>
    <row r="2" spans="1:9">
      <c r="A2" s="551" t="s">
        <v>1349</v>
      </c>
      <c r="B2" s="267"/>
      <c r="C2" s="267"/>
      <c r="D2" s="268"/>
      <c r="E2" s="269"/>
      <c r="F2" s="269"/>
      <c r="G2" s="269"/>
      <c r="H2" s="129"/>
      <c r="I2" s="269"/>
    </row>
    <row r="3" spans="1:9">
      <c r="A3" s="89" t="s">
        <v>22</v>
      </c>
      <c r="B3" s="267"/>
      <c r="C3" s="267"/>
      <c r="D3" s="268"/>
      <c r="E3" s="269"/>
      <c r="F3" s="269"/>
      <c r="G3" s="269"/>
      <c r="H3" s="129"/>
      <c r="I3" s="269"/>
    </row>
    <row r="4" spans="1:9">
      <c r="A4" s="89"/>
      <c r="B4" s="270" t="s">
        <v>41</v>
      </c>
      <c r="C4" s="270" t="s">
        <v>42</v>
      </c>
      <c r="D4" s="271" t="s">
        <v>43</v>
      </c>
      <c r="E4" s="271" t="s">
        <v>44</v>
      </c>
      <c r="F4" s="271" t="s">
        <v>45</v>
      </c>
      <c r="G4" s="271" t="s">
        <v>1350</v>
      </c>
      <c r="H4" s="271" t="s">
        <v>1351</v>
      </c>
      <c r="I4" s="271" t="s">
        <v>1352</v>
      </c>
    </row>
    <row r="5" spans="1:9">
      <c r="A5" s="272"/>
      <c r="B5" s="273"/>
      <c r="C5" s="274"/>
      <c r="D5" s="275"/>
      <c r="E5" s="659" t="s">
        <v>1353</v>
      </c>
      <c r="F5" s="659"/>
      <c r="G5" s="659"/>
      <c r="H5" s="659"/>
      <c r="I5" s="659"/>
    </row>
    <row r="6" spans="1:9" s="282" customFormat="1" ht="26">
      <c r="A6" s="276" t="s">
        <v>24</v>
      </c>
      <c r="B6" s="277" t="s">
        <v>239</v>
      </c>
      <c r="C6" s="278" t="s">
        <v>1354</v>
      </c>
      <c r="D6" s="279" t="s">
        <v>1355</v>
      </c>
      <c r="E6" s="280" t="s">
        <v>2345</v>
      </c>
      <c r="F6" s="281" t="s">
        <v>1356</v>
      </c>
      <c r="G6" s="279" t="s">
        <v>1357</v>
      </c>
      <c r="H6" s="279" t="s">
        <v>1358</v>
      </c>
      <c r="I6" s="279" t="s">
        <v>1359</v>
      </c>
    </row>
    <row r="7" spans="1:9" s="125" customFormat="1">
      <c r="A7" s="126">
        <v>1</v>
      </c>
      <c r="B7" s="283"/>
      <c r="C7" s="284" t="s">
        <v>1360</v>
      </c>
      <c r="D7" s="285"/>
      <c r="E7" s="286"/>
      <c r="F7" s="287"/>
      <c r="G7" s="288"/>
      <c r="H7" s="288"/>
      <c r="I7" s="289"/>
    </row>
    <row r="8" spans="1:9">
      <c r="A8" s="126">
        <f t="shared" ref="A8:A71" si="0">A7+1</f>
        <v>2</v>
      </c>
      <c r="B8" s="283" t="s">
        <v>464</v>
      </c>
      <c r="C8" s="290" t="s">
        <v>1361</v>
      </c>
      <c r="D8" s="291" t="s">
        <v>1362</v>
      </c>
      <c r="E8" s="292">
        <v>1</v>
      </c>
      <c r="F8" s="293"/>
      <c r="G8" s="288"/>
      <c r="H8" s="288"/>
      <c r="I8" s="289"/>
    </row>
    <row r="9" spans="1:9">
      <c r="A9" s="126">
        <f t="shared" si="0"/>
        <v>3</v>
      </c>
      <c r="B9" s="283"/>
      <c r="D9" s="291" t="s">
        <v>1363</v>
      </c>
      <c r="E9" s="292">
        <v>1</v>
      </c>
      <c r="F9" s="293"/>
      <c r="G9" s="288"/>
      <c r="H9" s="288"/>
      <c r="I9" s="289"/>
    </row>
    <row r="10" spans="1:9">
      <c r="A10" s="126">
        <f t="shared" si="0"/>
        <v>4</v>
      </c>
      <c r="B10" s="283" t="s">
        <v>466</v>
      </c>
      <c r="C10" s="290" t="s">
        <v>1364</v>
      </c>
      <c r="D10" s="291" t="s">
        <v>1365</v>
      </c>
      <c r="E10" s="294">
        <v>1</v>
      </c>
      <c r="F10" s="293"/>
      <c r="G10" s="127" t="s">
        <v>1366</v>
      </c>
      <c r="H10" s="288" t="s">
        <v>1367</v>
      </c>
      <c r="I10" s="289"/>
    </row>
    <row r="11" spans="1:9">
      <c r="A11" s="126">
        <f t="shared" si="0"/>
        <v>5</v>
      </c>
      <c r="B11" s="283"/>
      <c r="D11" s="291" t="s">
        <v>1368</v>
      </c>
      <c r="E11" s="294">
        <v>1</v>
      </c>
      <c r="F11" s="293" t="s">
        <v>1369</v>
      </c>
      <c r="G11" s="127" t="s">
        <v>1370</v>
      </c>
      <c r="H11" s="288"/>
      <c r="I11" s="289"/>
    </row>
    <row r="12" spans="1:9">
      <c r="A12" s="126">
        <f t="shared" si="0"/>
        <v>6</v>
      </c>
      <c r="B12" s="283"/>
      <c r="D12" s="291" t="s">
        <v>1371</v>
      </c>
      <c r="E12" s="294">
        <v>1</v>
      </c>
      <c r="F12" s="293"/>
      <c r="G12" s="127" t="s">
        <v>1372</v>
      </c>
      <c r="H12" s="288"/>
      <c r="I12" s="289"/>
    </row>
    <row r="13" spans="1:9" ht="26">
      <c r="A13" s="126">
        <f t="shared" si="0"/>
        <v>7</v>
      </c>
      <c r="B13" s="283"/>
      <c r="D13" s="291" t="s">
        <v>1373</v>
      </c>
      <c r="E13" s="294" t="s">
        <v>1374</v>
      </c>
      <c r="F13" s="293" t="s">
        <v>1375</v>
      </c>
      <c r="G13" s="288"/>
      <c r="H13" s="288"/>
      <c r="I13" s="289"/>
    </row>
    <row r="14" spans="1:9" ht="15.65" customHeight="1">
      <c r="A14" s="126">
        <f t="shared" si="0"/>
        <v>8</v>
      </c>
      <c r="B14" s="283"/>
      <c r="D14" s="291" t="s">
        <v>1376</v>
      </c>
      <c r="E14" s="294" t="s">
        <v>1374</v>
      </c>
      <c r="F14" s="293" t="s">
        <v>1377</v>
      </c>
      <c r="G14" s="288"/>
      <c r="H14" s="288"/>
      <c r="I14" s="289"/>
    </row>
    <row r="15" spans="1:9">
      <c r="A15" s="126">
        <f t="shared" si="0"/>
        <v>9</v>
      </c>
      <c r="B15" s="283" t="s">
        <v>1378</v>
      </c>
      <c r="C15" s="290" t="s">
        <v>1379</v>
      </c>
      <c r="D15" s="291" t="s">
        <v>1380</v>
      </c>
      <c r="E15" s="292">
        <v>1</v>
      </c>
      <c r="F15" s="293"/>
      <c r="G15" s="288"/>
      <c r="H15" s="288"/>
      <c r="I15" s="289"/>
    </row>
    <row r="16" spans="1:9">
      <c r="A16" s="126">
        <f t="shared" si="0"/>
        <v>10</v>
      </c>
      <c r="B16" s="283" t="s">
        <v>470</v>
      </c>
      <c r="C16" s="290" t="s">
        <v>1381</v>
      </c>
      <c r="D16" s="291" t="s">
        <v>1382</v>
      </c>
      <c r="E16" s="294">
        <v>1</v>
      </c>
      <c r="F16" s="293"/>
      <c r="G16" s="127" t="s">
        <v>1383</v>
      </c>
      <c r="H16" s="288"/>
      <c r="I16" s="289"/>
    </row>
    <row r="17" spans="1:9">
      <c r="A17" s="126">
        <f t="shared" si="0"/>
        <v>11</v>
      </c>
      <c r="B17" s="283"/>
      <c r="D17" s="291" t="s">
        <v>1384</v>
      </c>
      <c r="E17" s="294">
        <v>1</v>
      </c>
      <c r="F17" s="293"/>
      <c r="G17" s="288"/>
      <c r="H17" s="288"/>
      <c r="I17" s="289"/>
    </row>
    <row r="18" spans="1:9">
      <c r="A18" s="126">
        <f t="shared" si="0"/>
        <v>12</v>
      </c>
      <c r="B18" s="283"/>
      <c r="D18" s="291" t="s">
        <v>1385</v>
      </c>
      <c r="E18" s="294">
        <v>1</v>
      </c>
      <c r="F18" s="293"/>
      <c r="G18" s="288"/>
      <c r="H18" s="288"/>
      <c r="I18" s="289"/>
    </row>
    <row r="19" spans="1:9">
      <c r="A19" s="126">
        <f t="shared" si="0"/>
        <v>13</v>
      </c>
      <c r="B19" s="283" t="s">
        <v>474</v>
      </c>
      <c r="C19" s="290" t="s">
        <v>1386</v>
      </c>
      <c r="D19" s="291" t="s">
        <v>1387</v>
      </c>
      <c r="E19" s="294">
        <v>1</v>
      </c>
      <c r="F19" s="293"/>
      <c r="G19" s="288"/>
      <c r="H19" s="288"/>
      <c r="I19" s="289"/>
    </row>
    <row r="20" spans="1:9">
      <c r="A20" s="126">
        <f t="shared" si="0"/>
        <v>14</v>
      </c>
      <c r="B20" s="283" t="s">
        <v>476</v>
      </c>
      <c r="C20" s="290" t="s">
        <v>1388</v>
      </c>
      <c r="D20" s="291" t="s">
        <v>1389</v>
      </c>
      <c r="E20" s="294">
        <v>1</v>
      </c>
      <c r="F20" s="293"/>
      <c r="G20" s="288" t="s">
        <v>1390</v>
      </c>
      <c r="H20" s="288"/>
      <c r="I20" s="289" t="s">
        <v>1391</v>
      </c>
    </row>
    <row r="21" spans="1:9">
      <c r="A21" s="126">
        <f t="shared" si="0"/>
        <v>15</v>
      </c>
      <c r="B21" s="283"/>
      <c r="D21" s="291" t="s">
        <v>1392</v>
      </c>
      <c r="E21" s="294">
        <v>1</v>
      </c>
      <c r="F21" s="293"/>
      <c r="G21" s="288"/>
      <c r="H21" s="288"/>
      <c r="I21" s="289"/>
    </row>
    <row r="22" spans="1:9">
      <c r="A22" s="126">
        <f t="shared" si="0"/>
        <v>16</v>
      </c>
      <c r="B22" s="283"/>
      <c r="D22" s="291" t="s">
        <v>1393</v>
      </c>
      <c r="E22" s="294">
        <v>1</v>
      </c>
      <c r="F22" s="293"/>
      <c r="G22" s="288"/>
      <c r="H22" s="288"/>
      <c r="I22" s="289"/>
    </row>
    <row r="23" spans="1:9">
      <c r="A23" s="126">
        <f t="shared" si="0"/>
        <v>17</v>
      </c>
      <c r="B23" s="283"/>
      <c r="D23" s="291" t="s">
        <v>1394</v>
      </c>
      <c r="E23" s="294">
        <v>1</v>
      </c>
      <c r="F23" s="293"/>
      <c r="G23" s="127"/>
      <c r="H23" s="288"/>
      <c r="I23" s="289"/>
    </row>
    <row r="24" spans="1:9">
      <c r="A24" s="126">
        <f t="shared" si="0"/>
        <v>18</v>
      </c>
      <c r="B24" s="283"/>
      <c r="D24" s="291" t="s">
        <v>1395</v>
      </c>
      <c r="E24" s="294">
        <v>1</v>
      </c>
      <c r="F24" s="293"/>
      <c r="G24" s="127"/>
      <c r="H24" s="288"/>
      <c r="I24" s="289"/>
    </row>
    <row r="25" spans="1:9">
      <c r="A25" s="126">
        <f t="shared" si="0"/>
        <v>19</v>
      </c>
      <c r="B25" s="283" t="s">
        <v>476</v>
      </c>
      <c r="C25" s="290" t="s">
        <v>1396</v>
      </c>
      <c r="D25" s="291" t="s">
        <v>1397</v>
      </c>
      <c r="E25" s="294">
        <v>1</v>
      </c>
      <c r="F25" s="293"/>
      <c r="G25" s="127" t="s">
        <v>1398</v>
      </c>
      <c r="H25" s="288" t="s">
        <v>1399</v>
      </c>
      <c r="I25" s="289"/>
    </row>
    <row r="26" spans="1:9">
      <c r="A26" s="126">
        <f t="shared" si="0"/>
        <v>20</v>
      </c>
      <c r="B26" s="283"/>
      <c r="D26" s="291" t="s">
        <v>1400</v>
      </c>
      <c r="E26" s="294">
        <v>1</v>
      </c>
      <c r="F26" s="293"/>
      <c r="G26" s="288" t="s">
        <v>1401</v>
      </c>
      <c r="H26" s="288" t="s">
        <v>1402</v>
      </c>
      <c r="I26" s="289"/>
    </row>
    <row r="27" spans="1:9">
      <c r="A27" s="126">
        <f t="shared" si="0"/>
        <v>21</v>
      </c>
      <c r="B27" s="283"/>
      <c r="D27" s="291" t="s">
        <v>1403</v>
      </c>
      <c r="E27" s="294">
        <v>1</v>
      </c>
      <c r="F27" s="293"/>
      <c r="G27" s="288"/>
      <c r="H27" s="288"/>
      <c r="I27" s="289"/>
    </row>
    <row r="28" spans="1:9">
      <c r="A28" s="126">
        <f t="shared" si="0"/>
        <v>22</v>
      </c>
      <c r="B28" s="283"/>
      <c r="D28" s="291" t="s">
        <v>1404</v>
      </c>
      <c r="E28" s="294" t="s">
        <v>1374</v>
      </c>
      <c r="F28" s="293" t="s">
        <v>1405</v>
      </c>
      <c r="G28" s="288"/>
      <c r="H28" s="288"/>
      <c r="I28" s="289"/>
    </row>
    <row r="29" spans="1:9" ht="15" customHeight="1">
      <c r="A29" s="126">
        <f t="shared" si="0"/>
        <v>23</v>
      </c>
      <c r="B29" s="283"/>
      <c r="D29" s="291" t="s">
        <v>1406</v>
      </c>
      <c r="E29" s="294" t="s">
        <v>1374</v>
      </c>
      <c r="F29" s="293" t="s">
        <v>1407</v>
      </c>
      <c r="G29" s="127"/>
      <c r="H29" s="288"/>
      <c r="I29" s="289"/>
    </row>
    <row r="30" spans="1:9">
      <c r="A30" s="126">
        <f t="shared" si="0"/>
        <v>24</v>
      </c>
      <c r="B30" s="283" t="s">
        <v>480</v>
      </c>
      <c r="C30" s="290" t="s">
        <v>1408</v>
      </c>
      <c r="D30" s="291" t="s">
        <v>1409</v>
      </c>
      <c r="E30" s="294">
        <v>1</v>
      </c>
      <c r="F30" s="293"/>
      <c r="G30" s="288" t="s">
        <v>1410</v>
      </c>
      <c r="H30" s="288"/>
      <c r="I30" s="289"/>
    </row>
    <row r="31" spans="1:9">
      <c r="A31" s="126">
        <f t="shared" si="0"/>
        <v>25</v>
      </c>
      <c r="B31" s="283"/>
      <c r="D31" s="291"/>
      <c r="E31" s="294"/>
      <c r="F31" s="293"/>
      <c r="G31" s="288" t="s">
        <v>1411</v>
      </c>
      <c r="H31" s="288" t="s">
        <v>1412</v>
      </c>
      <c r="I31" s="289"/>
    </row>
    <row r="32" spans="1:9" ht="26">
      <c r="A32" s="126">
        <f t="shared" si="0"/>
        <v>26</v>
      </c>
      <c r="B32" s="283" t="s">
        <v>482</v>
      </c>
      <c r="C32" s="290" t="s">
        <v>1413</v>
      </c>
      <c r="D32" s="291" t="s">
        <v>1414</v>
      </c>
      <c r="E32" s="294">
        <v>1</v>
      </c>
      <c r="F32" s="293"/>
      <c r="G32" s="288" t="s">
        <v>1415</v>
      </c>
      <c r="H32" s="288" t="s">
        <v>1416</v>
      </c>
      <c r="I32" s="289"/>
    </row>
    <row r="33" spans="1:10">
      <c r="A33" s="126">
        <f t="shared" si="0"/>
        <v>27</v>
      </c>
      <c r="B33" s="283"/>
      <c r="D33" s="291" t="s">
        <v>1417</v>
      </c>
      <c r="E33" s="294">
        <v>1</v>
      </c>
      <c r="F33" s="293"/>
      <c r="G33" s="288" t="s">
        <v>1418</v>
      </c>
      <c r="H33" s="288" t="s">
        <v>1419</v>
      </c>
      <c r="I33" s="289"/>
    </row>
    <row r="34" spans="1:10">
      <c r="A34" s="126">
        <f t="shared" si="0"/>
        <v>28</v>
      </c>
      <c r="B34" s="283"/>
      <c r="D34" s="291" t="s">
        <v>1420</v>
      </c>
      <c r="E34" s="294">
        <v>1</v>
      </c>
      <c r="F34" s="293"/>
      <c r="G34" s="288"/>
      <c r="H34" s="288"/>
      <c r="I34" s="289"/>
    </row>
    <row r="35" spans="1:10">
      <c r="A35" s="126">
        <f t="shared" si="0"/>
        <v>29</v>
      </c>
      <c r="B35" s="283"/>
      <c r="D35" s="291" t="s">
        <v>1421</v>
      </c>
      <c r="E35" s="294">
        <v>1</v>
      </c>
      <c r="F35" s="293"/>
      <c r="G35" s="288"/>
      <c r="H35" s="288"/>
      <c r="I35" s="289"/>
    </row>
    <row r="36" spans="1:10">
      <c r="A36" s="126">
        <f t="shared" si="0"/>
        <v>30</v>
      </c>
      <c r="B36" s="283"/>
      <c r="D36" s="291" t="s">
        <v>1422</v>
      </c>
      <c r="E36" s="294">
        <v>1</v>
      </c>
      <c r="F36" s="293" t="s">
        <v>1423</v>
      </c>
      <c r="G36" s="127"/>
      <c r="H36" s="288"/>
      <c r="I36" s="289"/>
    </row>
    <row r="37" spans="1:10">
      <c r="A37" s="126">
        <f t="shared" si="0"/>
        <v>31</v>
      </c>
      <c r="B37" s="283" t="s">
        <v>1148</v>
      </c>
      <c r="C37" s="290" t="s">
        <v>1424</v>
      </c>
      <c r="D37" s="291" t="s">
        <v>1425</v>
      </c>
      <c r="E37" s="294">
        <v>1</v>
      </c>
      <c r="F37" s="293"/>
      <c r="G37" s="127" t="s">
        <v>1426</v>
      </c>
      <c r="H37" s="288" t="s">
        <v>1427</v>
      </c>
      <c r="I37" s="289"/>
    </row>
    <row r="38" spans="1:10">
      <c r="A38" s="126">
        <f t="shared" si="0"/>
        <v>32</v>
      </c>
      <c r="B38" s="283"/>
      <c r="D38" s="291" t="s">
        <v>1428</v>
      </c>
      <c r="E38" s="294">
        <v>1</v>
      </c>
      <c r="F38" s="293"/>
      <c r="G38" s="127"/>
      <c r="H38" s="288"/>
      <c r="I38" s="289"/>
    </row>
    <row r="39" spans="1:10">
      <c r="A39" s="126">
        <f t="shared" si="0"/>
        <v>33</v>
      </c>
      <c r="B39" s="283"/>
      <c r="D39" s="291" t="s">
        <v>1429</v>
      </c>
      <c r="E39" s="294">
        <v>1</v>
      </c>
      <c r="F39" s="293"/>
      <c r="G39" s="288"/>
      <c r="H39" s="288"/>
      <c r="I39" s="289"/>
    </row>
    <row r="40" spans="1:10">
      <c r="A40" s="126">
        <f t="shared" si="0"/>
        <v>34</v>
      </c>
      <c r="B40" s="283"/>
      <c r="D40" s="291" t="s">
        <v>1430</v>
      </c>
      <c r="E40" s="294">
        <v>1</v>
      </c>
      <c r="F40" s="293"/>
      <c r="G40" s="288"/>
      <c r="H40" s="288"/>
      <c r="I40" s="289"/>
    </row>
    <row r="41" spans="1:10">
      <c r="A41" s="126">
        <f t="shared" si="0"/>
        <v>35</v>
      </c>
      <c r="B41" s="283"/>
      <c r="D41" s="291" t="s">
        <v>1431</v>
      </c>
      <c r="E41" s="294" t="s">
        <v>1374</v>
      </c>
      <c r="F41" s="293" t="s">
        <v>1432</v>
      </c>
      <c r="G41" s="288"/>
      <c r="H41" s="288"/>
      <c r="I41" s="289"/>
    </row>
    <row r="42" spans="1:10">
      <c r="A42" s="126">
        <f t="shared" si="0"/>
        <v>36</v>
      </c>
      <c r="B42" s="283" t="s">
        <v>486</v>
      </c>
      <c r="C42" s="290" t="s">
        <v>1433</v>
      </c>
      <c r="D42" s="291" t="s">
        <v>1434</v>
      </c>
      <c r="E42" s="294">
        <v>1</v>
      </c>
      <c r="F42" s="293"/>
      <c r="G42" s="127" t="s">
        <v>1435</v>
      </c>
      <c r="H42" s="288"/>
      <c r="I42" s="289"/>
    </row>
    <row r="43" spans="1:10">
      <c r="A43" s="126">
        <f t="shared" si="0"/>
        <v>37</v>
      </c>
      <c r="B43" s="283"/>
      <c r="D43" s="291" t="s">
        <v>1436</v>
      </c>
      <c r="E43" s="294">
        <v>1</v>
      </c>
      <c r="F43" s="293"/>
      <c r="G43" s="288" t="s">
        <v>1437</v>
      </c>
      <c r="H43" s="288"/>
      <c r="I43" s="289"/>
      <c r="J43" s="128"/>
    </row>
    <row r="44" spans="1:10">
      <c r="A44" s="126">
        <f t="shared" si="0"/>
        <v>38</v>
      </c>
      <c r="B44" s="283"/>
      <c r="D44" s="291" t="s">
        <v>1438</v>
      </c>
      <c r="E44" s="294">
        <v>1</v>
      </c>
      <c r="F44" s="293"/>
      <c r="G44" s="288" t="s">
        <v>1439</v>
      </c>
      <c r="H44" s="288" t="s">
        <v>1440</v>
      </c>
      <c r="I44" s="289"/>
    </row>
    <row r="45" spans="1:10">
      <c r="A45" s="126">
        <f t="shared" si="0"/>
        <v>39</v>
      </c>
      <c r="B45" s="283"/>
      <c r="D45" s="291" t="s">
        <v>1441</v>
      </c>
      <c r="E45" s="294">
        <v>1</v>
      </c>
      <c r="F45" s="293"/>
      <c r="G45" s="288"/>
      <c r="H45" s="288"/>
      <c r="I45" s="289"/>
    </row>
    <row r="46" spans="1:10">
      <c r="A46" s="126">
        <f t="shared" si="0"/>
        <v>40</v>
      </c>
      <c r="B46" s="283" t="s">
        <v>831</v>
      </c>
      <c r="C46" s="290" t="s">
        <v>1442</v>
      </c>
      <c r="D46" s="291" t="s">
        <v>1443</v>
      </c>
      <c r="E46" s="294">
        <v>1</v>
      </c>
      <c r="F46" s="293"/>
      <c r="G46" s="288"/>
      <c r="H46" s="288"/>
      <c r="I46" s="289" t="s">
        <v>1444</v>
      </c>
    </row>
    <row r="47" spans="1:10" ht="16.5" customHeight="1">
      <c r="A47" s="126">
        <f t="shared" si="0"/>
        <v>41</v>
      </c>
      <c r="B47" s="283" t="s">
        <v>488</v>
      </c>
      <c r="C47" s="290" t="s">
        <v>1445</v>
      </c>
      <c r="D47" s="291" t="s">
        <v>1446</v>
      </c>
      <c r="E47" s="294">
        <v>1</v>
      </c>
      <c r="F47" s="293"/>
      <c r="G47" s="288"/>
      <c r="H47" s="288"/>
      <c r="I47" s="289"/>
    </row>
    <row r="48" spans="1:10">
      <c r="A48" s="126">
        <f t="shared" si="0"/>
        <v>42</v>
      </c>
      <c r="B48" s="283"/>
      <c r="D48" s="291" t="s">
        <v>1447</v>
      </c>
      <c r="E48" s="294">
        <v>1</v>
      </c>
      <c r="F48" s="293"/>
      <c r="G48" s="288"/>
      <c r="H48" s="288"/>
      <c r="I48" s="289"/>
    </row>
    <row r="49" spans="1:9">
      <c r="A49" s="126">
        <f t="shared" si="0"/>
        <v>43</v>
      </c>
      <c r="B49" s="283"/>
      <c r="D49" s="291" t="s">
        <v>1448</v>
      </c>
      <c r="E49" s="294">
        <v>1</v>
      </c>
      <c r="F49" s="293"/>
      <c r="G49" s="127"/>
      <c r="H49" s="288"/>
      <c r="I49" s="289"/>
    </row>
    <row r="50" spans="1:9" ht="26">
      <c r="A50" s="126">
        <f t="shared" si="0"/>
        <v>44</v>
      </c>
      <c r="B50" s="283"/>
      <c r="D50" s="291" t="s">
        <v>1404</v>
      </c>
      <c r="E50" s="294" t="s">
        <v>1374</v>
      </c>
      <c r="F50" s="293" t="s">
        <v>1449</v>
      </c>
      <c r="G50" s="288"/>
      <c r="H50" s="288"/>
      <c r="I50" s="289"/>
    </row>
    <row r="51" spans="1:9" ht="26">
      <c r="A51" s="126">
        <f t="shared" si="0"/>
        <v>45</v>
      </c>
      <c r="B51" s="283"/>
      <c r="D51" s="291" t="s">
        <v>1450</v>
      </c>
      <c r="E51" s="294" t="s">
        <v>1374</v>
      </c>
      <c r="F51" s="293" t="s">
        <v>1451</v>
      </c>
      <c r="G51" s="127"/>
      <c r="H51" s="288"/>
      <c r="I51" s="289"/>
    </row>
    <row r="52" spans="1:9">
      <c r="A52" s="126">
        <f t="shared" si="0"/>
        <v>46</v>
      </c>
      <c r="B52" s="295" t="s">
        <v>1452</v>
      </c>
      <c r="C52" s="127" t="s">
        <v>1453</v>
      </c>
      <c r="D52" s="291"/>
      <c r="E52" s="294"/>
      <c r="F52" s="293"/>
      <c r="G52" s="127" t="s">
        <v>1454</v>
      </c>
      <c r="H52" s="288"/>
      <c r="I52" s="289"/>
    </row>
    <row r="53" spans="1:9">
      <c r="A53" s="126">
        <f t="shared" si="0"/>
        <v>47</v>
      </c>
      <c r="B53" s="295" t="s">
        <v>1088</v>
      </c>
      <c r="C53" s="127" t="s">
        <v>1455</v>
      </c>
      <c r="D53" s="291"/>
      <c r="E53" s="294"/>
      <c r="F53" s="293"/>
      <c r="G53" s="127" t="s">
        <v>1454</v>
      </c>
      <c r="H53" s="288"/>
      <c r="I53" s="289"/>
    </row>
    <row r="54" spans="1:9">
      <c r="A54" s="126">
        <f t="shared" si="0"/>
        <v>48</v>
      </c>
      <c r="B54" s="283" t="s">
        <v>490</v>
      </c>
      <c r="C54" s="290" t="s">
        <v>1456</v>
      </c>
      <c r="D54" s="291" t="s">
        <v>1457</v>
      </c>
      <c r="E54" s="294">
        <v>1</v>
      </c>
      <c r="F54" s="293"/>
      <c r="G54" s="288"/>
      <c r="H54" s="288"/>
      <c r="I54" s="289"/>
    </row>
    <row r="55" spans="1:9">
      <c r="A55" s="126">
        <f t="shared" si="0"/>
        <v>49</v>
      </c>
      <c r="B55" s="283" t="s">
        <v>1458</v>
      </c>
      <c r="C55" s="290" t="s">
        <v>1459</v>
      </c>
      <c r="D55" s="291" t="s">
        <v>1460</v>
      </c>
      <c r="E55" s="294">
        <v>1</v>
      </c>
      <c r="F55" s="293"/>
      <c r="G55" s="288" t="s">
        <v>1461</v>
      </c>
      <c r="H55" s="288"/>
      <c r="I55" s="289"/>
    </row>
    <row r="56" spans="1:9">
      <c r="A56" s="126">
        <f t="shared" si="0"/>
        <v>50</v>
      </c>
      <c r="B56" s="283" t="s">
        <v>1150</v>
      </c>
      <c r="C56" s="290" t="s">
        <v>1462</v>
      </c>
      <c r="D56" s="291" t="s">
        <v>1463</v>
      </c>
      <c r="E56" s="294">
        <v>1</v>
      </c>
      <c r="F56" s="293"/>
      <c r="G56" s="288"/>
      <c r="H56" s="288"/>
      <c r="I56" s="289"/>
    </row>
    <row r="57" spans="1:9">
      <c r="A57" s="126">
        <f t="shared" si="0"/>
        <v>51</v>
      </c>
      <c r="B57" s="283" t="s">
        <v>492</v>
      </c>
      <c r="C57" s="290" t="s">
        <v>1464</v>
      </c>
      <c r="D57" s="291" t="s">
        <v>1465</v>
      </c>
      <c r="E57" s="294" t="s">
        <v>1466</v>
      </c>
      <c r="F57" s="293" t="s">
        <v>1467</v>
      </c>
      <c r="G57" s="127"/>
      <c r="H57" s="288"/>
      <c r="I57" s="289"/>
    </row>
    <row r="58" spans="1:9">
      <c r="A58" s="126">
        <f t="shared" si="0"/>
        <v>52</v>
      </c>
      <c r="B58" s="283"/>
      <c r="D58" s="291" t="s">
        <v>1468</v>
      </c>
      <c r="E58" s="294">
        <v>1</v>
      </c>
      <c r="F58" s="293"/>
      <c r="G58" s="288"/>
      <c r="H58" s="288"/>
      <c r="I58" s="289"/>
    </row>
    <row r="59" spans="1:9">
      <c r="A59" s="126">
        <f t="shared" si="0"/>
        <v>53</v>
      </c>
      <c r="B59" s="283" t="s">
        <v>1469</v>
      </c>
      <c r="C59" s="290" t="s">
        <v>1470</v>
      </c>
      <c r="D59" s="291" t="s">
        <v>1471</v>
      </c>
      <c r="E59" s="294">
        <v>1</v>
      </c>
      <c r="F59" s="293"/>
      <c r="G59" s="288" t="s">
        <v>1472</v>
      </c>
      <c r="H59" s="296" t="s">
        <v>1473</v>
      </c>
      <c r="I59" s="289"/>
    </row>
    <row r="60" spans="1:9">
      <c r="A60" s="126">
        <f t="shared" si="0"/>
        <v>54</v>
      </c>
      <c r="B60" s="283"/>
      <c r="D60" s="291" t="s">
        <v>1474</v>
      </c>
      <c r="E60" s="294">
        <v>1</v>
      </c>
      <c r="F60" s="293"/>
      <c r="G60" s="296" t="s">
        <v>1475</v>
      </c>
      <c r="H60" s="288" t="s">
        <v>1476</v>
      </c>
      <c r="I60" s="289"/>
    </row>
    <row r="61" spans="1:9">
      <c r="A61" s="126">
        <f t="shared" si="0"/>
        <v>55</v>
      </c>
      <c r="B61" s="283"/>
      <c r="D61" s="291" t="s">
        <v>1477</v>
      </c>
      <c r="E61" s="294">
        <v>1</v>
      </c>
      <c r="F61" s="293"/>
      <c r="G61" s="288"/>
      <c r="H61" s="288"/>
      <c r="I61" s="289"/>
    </row>
    <row r="62" spans="1:9">
      <c r="A62" s="126">
        <f t="shared" si="0"/>
        <v>56</v>
      </c>
      <c r="B62" s="283" t="s">
        <v>496</v>
      </c>
      <c r="C62" s="290" t="s">
        <v>1478</v>
      </c>
      <c r="D62" s="291" t="s">
        <v>1479</v>
      </c>
      <c r="E62" s="294">
        <v>1</v>
      </c>
      <c r="F62" s="293"/>
      <c r="G62" s="288"/>
      <c r="H62" s="288"/>
      <c r="I62" s="289"/>
    </row>
    <row r="63" spans="1:9">
      <c r="A63" s="126">
        <f t="shared" si="0"/>
        <v>57</v>
      </c>
      <c r="B63" s="283" t="s">
        <v>1480</v>
      </c>
      <c r="C63" s="290" t="s">
        <v>1481</v>
      </c>
      <c r="D63" s="291" t="s">
        <v>1482</v>
      </c>
      <c r="E63" s="294">
        <v>1</v>
      </c>
      <c r="F63" s="293"/>
      <c r="G63" s="288" t="s">
        <v>1483</v>
      </c>
      <c r="H63" s="288" t="s">
        <v>1484</v>
      </c>
      <c r="I63" s="289"/>
    </row>
    <row r="64" spans="1:9">
      <c r="A64" s="126">
        <f t="shared" si="0"/>
        <v>58</v>
      </c>
      <c r="B64" s="283"/>
      <c r="D64" s="291" t="s">
        <v>1485</v>
      </c>
      <c r="E64" s="294">
        <v>1</v>
      </c>
      <c r="F64" s="293"/>
      <c r="G64" s="127" t="s">
        <v>1486</v>
      </c>
      <c r="H64" s="288" t="s">
        <v>1487</v>
      </c>
      <c r="I64" s="289"/>
    </row>
    <row r="65" spans="1:9">
      <c r="A65" s="126">
        <f t="shared" si="0"/>
        <v>59</v>
      </c>
      <c r="B65" s="283"/>
      <c r="D65" s="291" t="s">
        <v>1488</v>
      </c>
      <c r="E65" s="294">
        <v>1</v>
      </c>
      <c r="F65" s="293"/>
      <c r="G65" s="127" t="s">
        <v>1489</v>
      </c>
      <c r="H65" s="288"/>
      <c r="I65" s="289"/>
    </row>
    <row r="66" spans="1:9">
      <c r="A66" s="126">
        <f t="shared" si="0"/>
        <v>60</v>
      </c>
      <c r="B66" s="283"/>
      <c r="D66" s="291" t="s">
        <v>1490</v>
      </c>
      <c r="E66" s="294">
        <v>1</v>
      </c>
      <c r="F66" s="293"/>
      <c r="G66" s="127" t="s">
        <v>1491</v>
      </c>
      <c r="H66" s="288" t="s">
        <v>1487</v>
      </c>
      <c r="I66" s="289"/>
    </row>
    <row r="67" spans="1:9">
      <c r="A67" s="126">
        <f t="shared" si="0"/>
        <v>61</v>
      </c>
      <c r="B67" s="283" t="s">
        <v>1152</v>
      </c>
      <c r="C67" s="290" t="s">
        <v>1492</v>
      </c>
      <c r="D67" s="291" t="s">
        <v>1493</v>
      </c>
      <c r="E67" s="294">
        <v>1</v>
      </c>
      <c r="F67" s="293"/>
      <c r="G67" s="288" t="s">
        <v>1494</v>
      </c>
      <c r="H67" s="288" t="s">
        <v>1495</v>
      </c>
      <c r="I67" s="289"/>
    </row>
    <row r="68" spans="1:9">
      <c r="A68" s="126">
        <f t="shared" si="0"/>
        <v>62</v>
      </c>
      <c r="B68" s="283"/>
      <c r="D68" s="291" t="s">
        <v>1496</v>
      </c>
      <c r="E68" s="294">
        <v>1</v>
      </c>
      <c r="F68" s="293"/>
      <c r="G68" s="288"/>
      <c r="H68" s="288"/>
      <c r="I68" s="289"/>
    </row>
    <row r="69" spans="1:9">
      <c r="A69" s="126">
        <f t="shared" si="0"/>
        <v>63</v>
      </c>
      <c r="B69" s="283"/>
      <c r="D69" s="291" t="s">
        <v>1497</v>
      </c>
      <c r="E69" s="294">
        <v>1</v>
      </c>
      <c r="F69" s="293"/>
      <c r="G69" s="288"/>
      <c r="H69" s="288"/>
      <c r="I69" s="289"/>
    </row>
    <row r="70" spans="1:9" ht="17.25" customHeight="1">
      <c r="A70" s="126">
        <f t="shared" si="0"/>
        <v>64</v>
      </c>
      <c r="B70" s="283"/>
      <c r="D70" s="291" t="s">
        <v>1498</v>
      </c>
      <c r="E70" s="294">
        <v>1</v>
      </c>
      <c r="F70" s="293"/>
      <c r="G70" s="127"/>
      <c r="H70" s="288"/>
      <c r="I70" s="289"/>
    </row>
    <row r="71" spans="1:9">
      <c r="A71" s="126">
        <f t="shared" si="0"/>
        <v>65</v>
      </c>
      <c r="B71" s="283"/>
      <c r="D71" s="291" t="s">
        <v>1499</v>
      </c>
      <c r="E71" s="294">
        <v>1</v>
      </c>
      <c r="F71" s="293"/>
      <c r="G71" s="288"/>
      <c r="H71" s="288"/>
      <c r="I71" s="289"/>
    </row>
    <row r="72" spans="1:9" ht="26">
      <c r="A72" s="126">
        <f t="shared" ref="A72:A135" si="1">A71+1</f>
        <v>66</v>
      </c>
      <c r="B72" s="283" t="s">
        <v>500</v>
      </c>
      <c r="C72" s="290" t="s">
        <v>1500</v>
      </c>
      <c r="D72" s="291" t="s">
        <v>1501</v>
      </c>
      <c r="E72" s="294">
        <v>1</v>
      </c>
      <c r="F72" s="293"/>
      <c r="G72" s="288"/>
      <c r="H72" s="288"/>
      <c r="I72" s="289"/>
    </row>
    <row r="73" spans="1:9">
      <c r="A73" s="126">
        <f t="shared" si="1"/>
        <v>67</v>
      </c>
      <c r="B73" s="283"/>
      <c r="D73" s="291" t="s">
        <v>1502</v>
      </c>
      <c r="E73" s="294">
        <v>1</v>
      </c>
      <c r="F73" s="293"/>
      <c r="G73" s="288"/>
      <c r="H73" s="288"/>
      <c r="I73" s="289"/>
    </row>
    <row r="74" spans="1:9">
      <c r="A74" s="126">
        <f t="shared" si="1"/>
        <v>68</v>
      </c>
      <c r="B74" s="283"/>
      <c r="D74" s="291" t="s">
        <v>1503</v>
      </c>
      <c r="E74" s="294">
        <v>1</v>
      </c>
      <c r="F74" s="293"/>
      <c r="G74" s="288"/>
      <c r="H74" s="288"/>
      <c r="I74" s="289"/>
    </row>
    <row r="75" spans="1:9">
      <c r="A75" s="126">
        <f t="shared" si="1"/>
        <v>69</v>
      </c>
      <c r="B75" s="283"/>
      <c r="D75" s="291" t="s">
        <v>1504</v>
      </c>
      <c r="E75" s="294">
        <v>1</v>
      </c>
      <c r="F75" s="293"/>
      <c r="G75" s="288"/>
      <c r="H75" s="288"/>
      <c r="I75" s="289"/>
    </row>
    <row r="76" spans="1:9">
      <c r="A76" s="126">
        <f t="shared" si="1"/>
        <v>70</v>
      </c>
      <c r="B76" s="283"/>
      <c r="D76" s="291" t="s">
        <v>1505</v>
      </c>
      <c r="E76" s="294">
        <v>1</v>
      </c>
      <c r="F76" s="293"/>
      <c r="G76" s="288"/>
      <c r="H76" s="288"/>
      <c r="I76" s="289"/>
    </row>
    <row r="77" spans="1:9">
      <c r="A77" s="126">
        <f t="shared" si="1"/>
        <v>71</v>
      </c>
      <c r="B77" s="283" t="s">
        <v>1154</v>
      </c>
      <c r="C77" s="290" t="s">
        <v>1506</v>
      </c>
      <c r="D77" s="291" t="s">
        <v>1507</v>
      </c>
      <c r="E77" s="294">
        <v>2</v>
      </c>
      <c r="F77" s="293" t="s">
        <v>1508</v>
      </c>
      <c r="G77" s="127"/>
      <c r="H77" s="288"/>
      <c r="I77" s="289"/>
    </row>
    <row r="78" spans="1:9">
      <c r="A78" s="126">
        <f t="shared" si="1"/>
        <v>72</v>
      </c>
      <c r="B78" s="283"/>
      <c r="D78" s="291" t="s">
        <v>1509</v>
      </c>
      <c r="E78" s="294">
        <v>1</v>
      </c>
      <c r="F78" s="293"/>
      <c r="G78" s="127"/>
      <c r="H78" s="288"/>
      <c r="I78" s="289"/>
    </row>
    <row r="79" spans="1:9">
      <c r="A79" s="126">
        <f t="shared" si="1"/>
        <v>73</v>
      </c>
      <c r="B79" s="283"/>
      <c r="D79" s="291" t="s">
        <v>1510</v>
      </c>
      <c r="E79" s="294">
        <v>1</v>
      </c>
      <c r="F79" s="293"/>
      <c r="G79" s="127"/>
      <c r="H79" s="288"/>
      <c r="I79" s="289"/>
    </row>
    <row r="80" spans="1:9">
      <c r="A80" s="126">
        <f t="shared" si="1"/>
        <v>74</v>
      </c>
      <c r="B80" s="283" t="s">
        <v>502</v>
      </c>
      <c r="C80" s="290" t="s">
        <v>1511</v>
      </c>
      <c r="D80" s="291" t="s">
        <v>1512</v>
      </c>
      <c r="E80" s="294" t="s">
        <v>1466</v>
      </c>
      <c r="F80" s="293" t="s">
        <v>1513</v>
      </c>
      <c r="G80" s="288"/>
      <c r="H80" s="288"/>
      <c r="I80" s="289"/>
    </row>
    <row r="81" spans="1:9">
      <c r="A81" s="126">
        <f t="shared" si="1"/>
        <v>75</v>
      </c>
      <c r="B81" s="283" t="s">
        <v>1156</v>
      </c>
      <c r="C81" s="290" t="s">
        <v>1514</v>
      </c>
      <c r="D81" s="291" t="s">
        <v>1493</v>
      </c>
      <c r="E81" s="294">
        <v>1</v>
      </c>
      <c r="F81" s="293"/>
      <c r="G81" s="288" t="s">
        <v>1515</v>
      </c>
      <c r="H81" s="288" t="s">
        <v>1516</v>
      </c>
      <c r="I81" s="289"/>
    </row>
    <row r="82" spans="1:9">
      <c r="A82" s="126">
        <f t="shared" si="1"/>
        <v>76</v>
      </c>
      <c r="B82" s="283"/>
      <c r="D82" s="291" t="s">
        <v>1517</v>
      </c>
      <c r="E82" s="294">
        <v>1</v>
      </c>
      <c r="F82" s="293"/>
      <c r="G82" s="288"/>
      <c r="H82" s="288"/>
      <c r="I82" s="289"/>
    </row>
    <row r="83" spans="1:9">
      <c r="A83" s="126">
        <f t="shared" si="1"/>
        <v>77</v>
      </c>
      <c r="B83" s="283"/>
      <c r="D83" s="291" t="s">
        <v>1518</v>
      </c>
      <c r="E83" s="294">
        <v>1</v>
      </c>
      <c r="F83" s="293"/>
      <c r="G83" s="127"/>
      <c r="H83" s="288"/>
      <c r="I83" s="289"/>
    </row>
    <row r="84" spans="1:9">
      <c r="A84" s="126">
        <f t="shared" si="1"/>
        <v>78</v>
      </c>
      <c r="B84" s="283"/>
      <c r="D84" s="291" t="s">
        <v>1519</v>
      </c>
      <c r="E84" s="294">
        <v>1</v>
      </c>
      <c r="F84" s="293"/>
      <c r="G84" s="288"/>
      <c r="H84" s="288"/>
      <c r="I84" s="289"/>
    </row>
    <row r="85" spans="1:9">
      <c r="A85" s="126">
        <f t="shared" si="1"/>
        <v>79</v>
      </c>
      <c r="B85" s="283"/>
      <c r="D85" s="291" t="s">
        <v>1520</v>
      </c>
      <c r="E85" s="294">
        <v>1</v>
      </c>
      <c r="F85" s="293"/>
      <c r="G85" s="288"/>
      <c r="H85" s="288"/>
      <c r="I85" s="289"/>
    </row>
    <row r="86" spans="1:9">
      <c r="A86" s="126">
        <f t="shared" si="1"/>
        <v>80</v>
      </c>
      <c r="B86" s="283" t="s">
        <v>504</v>
      </c>
      <c r="C86" s="290" t="s">
        <v>1521</v>
      </c>
      <c r="D86" s="291"/>
      <c r="E86" s="294"/>
      <c r="F86" s="293"/>
      <c r="G86" s="288" t="s">
        <v>1454</v>
      </c>
      <c r="H86" s="288"/>
      <c r="I86" s="289"/>
    </row>
    <row r="87" spans="1:9">
      <c r="A87" s="126">
        <f t="shared" si="1"/>
        <v>81</v>
      </c>
      <c r="B87" s="283" t="s">
        <v>506</v>
      </c>
      <c r="C87" s="290" t="s">
        <v>1522</v>
      </c>
      <c r="D87" s="291" t="s">
        <v>1523</v>
      </c>
      <c r="E87" s="294">
        <v>1</v>
      </c>
      <c r="F87" s="293"/>
      <c r="G87" s="288" t="s">
        <v>1524</v>
      </c>
      <c r="H87" s="296" t="s">
        <v>1473</v>
      </c>
      <c r="I87" s="289"/>
    </row>
    <row r="88" spans="1:9">
      <c r="A88" s="126">
        <f t="shared" si="1"/>
        <v>82</v>
      </c>
      <c r="B88" s="283"/>
      <c r="D88" s="291" t="s">
        <v>1525</v>
      </c>
      <c r="E88" s="294">
        <v>1</v>
      </c>
      <c r="F88" s="293"/>
      <c r="G88" s="288"/>
      <c r="H88" s="288"/>
      <c r="I88" s="289"/>
    </row>
    <row r="89" spans="1:9">
      <c r="A89" s="126">
        <f t="shared" si="1"/>
        <v>83</v>
      </c>
      <c r="B89" s="283"/>
      <c r="D89" s="291" t="s">
        <v>1526</v>
      </c>
      <c r="E89" s="294">
        <v>1</v>
      </c>
      <c r="F89" s="293"/>
      <c r="G89" s="288"/>
      <c r="H89" s="288"/>
      <c r="I89" s="289"/>
    </row>
    <row r="90" spans="1:9">
      <c r="A90" s="126">
        <f t="shared" si="1"/>
        <v>84</v>
      </c>
      <c r="B90" s="283"/>
      <c r="D90" s="291" t="s">
        <v>1400</v>
      </c>
      <c r="E90" s="294">
        <v>1</v>
      </c>
      <c r="F90" s="293"/>
      <c r="G90" s="127"/>
      <c r="H90" s="288"/>
      <c r="I90" s="289"/>
    </row>
    <row r="91" spans="1:9">
      <c r="A91" s="126">
        <f t="shared" si="1"/>
        <v>85</v>
      </c>
      <c r="B91" s="283"/>
      <c r="D91" s="291" t="s">
        <v>1527</v>
      </c>
      <c r="E91" s="294">
        <v>1</v>
      </c>
      <c r="F91" s="293"/>
      <c r="G91" s="288"/>
      <c r="H91" s="288"/>
      <c r="I91" s="289"/>
    </row>
    <row r="92" spans="1:9">
      <c r="A92" s="126">
        <f t="shared" si="1"/>
        <v>86</v>
      </c>
      <c r="B92" s="283"/>
      <c r="D92" s="291" t="s">
        <v>1528</v>
      </c>
      <c r="E92" s="294">
        <v>1</v>
      </c>
      <c r="F92" s="293"/>
      <c r="G92" s="127"/>
      <c r="H92" s="288"/>
      <c r="I92" s="289"/>
    </row>
    <row r="93" spans="1:9" ht="15.75" customHeight="1">
      <c r="A93" s="126">
        <f t="shared" si="1"/>
        <v>87</v>
      </c>
      <c r="B93" s="283"/>
      <c r="D93" s="291" t="s">
        <v>1529</v>
      </c>
      <c r="E93" s="294">
        <v>1</v>
      </c>
      <c r="F93" s="293"/>
      <c r="G93" s="127"/>
      <c r="H93" s="288"/>
      <c r="I93" s="289"/>
    </row>
    <row r="94" spans="1:9" ht="15.75" customHeight="1">
      <c r="A94" s="126">
        <f t="shared" si="1"/>
        <v>88</v>
      </c>
      <c r="B94" s="283" t="s">
        <v>508</v>
      </c>
      <c r="C94" s="290" t="s">
        <v>1530</v>
      </c>
      <c r="D94" s="291" t="s">
        <v>1531</v>
      </c>
      <c r="E94" s="294">
        <v>1</v>
      </c>
      <c r="F94" s="293"/>
      <c r="G94" s="127" t="s">
        <v>1532</v>
      </c>
      <c r="H94" s="288"/>
      <c r="I94" s="289"/>
    </row>
    <row r="95" spans="1:9" ht="16.5" customHeight="1">
      <c r="A95" s="126">
        <f t="shared" si="1"/>
        <v>89</v>
      </c>
      <c r="B95" s="283" t="s">
        <v>510</v>
      </c>
      <c r="C95" s="290" t="s">
        <v>1533</v>
      </c>
      <c r="D95" s="291" t="s">
        <v>1534</v>
      </c>
      <c r="E95" s="294">
        <v>1</v>
      </c>
      <c r="F95" s="293"/>
      <c r="G95" s="288"/>
      <c r="H95" s="288"/>
      <c r="I95" s="289"/>
    </row>
    <row r="96" spans="1:9">
      <c r="A96" s="126">
        <f t="shared" si="1"/>
        <v>90</v>
      </c>
      <c r="B96" s="283"/>
      <c r="D96" s="291" t="s">
        <v>1535</v>
      </c>
      <c r="E96" s="294">
        <v>1</v>
      </c>
      <c r="F96" s="293"/>
      <c r="G96" s="288"/>
      <c r="H96" s="288"/>
      <c r="I96" s="289"/>
    </row>
    <row r="97" spans="1:9">
      <c r="A97" s="126">
        <f t="shared" si="1"/>
        <v>91</v>
      </c>
      <c r="B97" s="283"/>
      <c r="D97" s="291" t="s">
        <v>1536</v>
      </c>
      <c r="E97" s="294">
        <v>1</v>
      </c>
      <c r="F97" s="293"/>
      <c r="G97" s="288"/>
      <c r="H97" s="288"/>
      <c r="I97" s="289"/>
    </row>
    <row r="98" spans="1:9">
      <c r="A98" s="126">
        <f t="shared" si="1"/>
        <v>92</v>
      </c>
      <c r="B98" s="283"/>
      <c r="D98" s="291" t="s">
        <v>1537</v>
      </c>
      <c r="E98" s="294">
        <v>1</v>
      </c>
      <c r="F98" s="293"/>
      <c r="G98" s="127"/>
      <c r="H98" s="288"/>
      <c r="I98" s="289"/>
    </row>
    <row r="99" spans="1:9">
      <c r="A99" s="126">
        <f t="shared" si="1"/>
        <v>93</v>
      </c>
      <c r="B99" s="283"/>
      <c r="D99" s="291" t="s">
        <v>1538</v>
      </c>
      <c r="E99" s="294">
        <v>1</v>
      </c>
      <c r="F99" s="293"/>
      <c r="G99" s="288"/>
      <c r="H99" s="288"/>
      <c r="I99" s="289"/>
    </row>
    <row r="100" spans="1:9" ht="27" customHeight="1">
      <c r="A100" s="126">
        <f t="shared" si="1"/>
        <v>94</v>
      </c>
      <c r="B100" s="283"/>
      <c r="D100" s="291" t="s">
        <v>1539</v>
      </c>
      <c r="E100" s="294">
        <v>1</v>
      </c>
      <c r="F100" s="293"/>
      <c r="G100" s="288"/>
      <c r="H100" s="288"/>
      <c r="I100" s="289"/>
    </row>
    <row r="101" spans="1:9">
      <c r="A101" s="126">
        <f t="shared" si="1"/>
        <v>95</v>
      </c>
      <c r="B101" s="283"/>
      <c r="D101" s="291" t="s">
        <v>1540</v>
      </c>
      <c r="E101" s="294">
        <v>1</v>
      </c>
      <c r="F101" s="293"/>
      <c r="G101" s="288"/>
      <c r="H101" s="288"/>
      <c r="I101" s="289"/>
    </row>
    <row r="102" spans="1:9">
      <c r="A102" s="126">
        <f t="shared" si="1"/>
        <v>96</v>
      </c>
      <c r="B102" s="283"/>
      <c r="D102" s="291" t="s">
        <v>1541</v>
      </c>
      <c r="E102" s="294">
        <v>1</v>
      </c>
      <c r="F102" s="293"/>
      <c r="G102" s="288"/>
      <c r="H102" s="288"/>
      <c r="I102" s="289"/>
    </row>
    <row r="103" spans="1:9">
      <c r="A103" s="126">
        <f t="shared" si="1"/>
        <v>97</v>
      </c>
      <c r="B103" s="283"/>
      <c r="D103" s="291" t="s">
        <v>1542</v>
      </c>
      <c r="E103" s="294">
        <v>1</v>
      </c>
      <c r="F103" s="293"/>
      <c r="G103" s="288"/>
      <c r="H103" s="288"/>
      <c r="I103" s="289"/>
    </row>
    <row r="104" spans="1:9">
      <c r="A104" s="126">
        <f t="shared" si="1"/>
        <v>98</v>
      </c>
      <c r="B104" s="283" t="s">
        <v>512</v>
      </c>
      <c r="C104" s="290" t="s">
        <v>1543</v>
      </c>
      <c r="D104" s="291"/>
      <c r="E104" s="294"/>
      <c r="F104" s="293"/>
      <c r="G104" s="288" t="s">
        <v>1454</v>
      </c>
      <c r="H104" s="288"/>
      <c r="I104" s="289"/>
    </row>
    <row r="105" spans="1:9" ht="26">
      <c r="A105" s="126">
        <f t="shared" si="1"/>
        <v>99</v>
      </c>
      <c r="B105" s="283" t="s">
        <v>514</v>
      </c>
      <c r="C105" s="290" t="s">
        <v>1544</v>
      </c>
      <c r="D105" s="291" t="s">
        <v>1545</v>
      </c>
      <c r="E105" s="294">
        <v>1</v>
      </c>
      <c r="F105" s="293"/>
      <c r="G105" s="127" t="s">
        <v>1546</v>
      </c>
      <c r="H105" s="288" t="s">
        <v>1547</v>
      </c>
      <c r="I105" s="289"/>
    </row>
    <row r="106" spans="1:9">
      <c r="A106" s="126">
        <f t="shared" si="1"/>
        <v>100</v>
      </c>
      <c r="B106" s="283"/>
      <c r="D106" s="291" t="s">
        <v>1548</v>
      </c>
      <c r="E106" s="294">
        <v>1</v>
      </c>
      <c r="F106" s="293" t="s">
        <v>1549</v>
      </c>
      <c r="G106" s="127" t="s">
        <v>1550</v>
      </c>
      <c r="H106" s="288" t="s">
        <v>1551</v>
      </c>
      <c r="I106" s="289"/>
    </row>
    <row r="107" spans="1:9">
      <c r="A107" s="126">
        <f t="shared" si="1"/>
        <v>101</v>
      </c>
      <c r="B107" s="283"/>
      <c r="D107" s="291" t="s">
        <v>1552</v>
      </c>
      <c r="E107" s="294">
        <v>1</v>
      </c>
      <c r="F107" s="293"/>
      <c r="G107" s="127"/>
      <c r="H107" s="288"/>
      <c r="I107" s="289"/>
    </row>
    <row r="108" spans="1:9">
      <c r="A108" s="126">
        <f t="shared" si="1"/>
        <v>102</v>
      </c>
      <c r="B108" s="283"/>
      <c r="D108" s="291" t="s">
        <v>1553</v>
      </c>
      <c r="E108" s="294">
        <v>1</v>
      </c>
      <c r="F108" s="293"/>
      <c r="G108" s="288"/>
      <c r="H108" s="288"/>
      <c r="I108" s="289"/>
    </row>
    <row r="109" spans="1:9">
      <c r="A109" s="126">
        <f t="shared" si="1"/>
        <v>103</v>
      </c>
      <c r="B109" s="283"/>
      <c r="D109" s="291" t="s">
        <v>1554</v>
      </c>
      <c r="E109" s="294">
        <v>1</v>
      </c>
      <c r="F109" s="293"/>
      <c r="G109" s="288"/>
      <c r="H109" s="288"/>
      <c r="I109" s="289"/>
    </row>
    <row r="110" spans="1:9">
      <c r="A110" s="126">
        <f t="shared" si="1"/>
        <v>104</v>
      </c>
      <c r="B110" s="283"/>
      <c r="D110" s="291" t="s">
        <v>1555</v>
      </c>
      <c r="E110" s="294">
        <v>1</v>
      </c>
      <c r="F110" s="293" t="s">
        <v>1556</v>
      </c>
      <c r="G110" s="288"/>
      <c r="H110" s="288"/>
      <c r="I110" s="289"/>
    </row>
    <row r="111" spans="1:9">
      <c r="A111" s="126">
        <f t="shared" si="1"/>
        <v>105</v>
      </c>
      <c r="B111" s="283" t="s">
        <v>522</v>
      </c>
      <c r="C111" s="290" t="s">
        <v>1557</v>
      </c>
      <c r="D111" s="291" t="s">
        <v>1558</v>
      </c>
      <c r="E111" s="294">
        <v>1</v>
      </c>
      <c r="F111" s="293"/>
      <c r="G111" s="127" t="s">
        <v>1559</v>
      </c>
      <c r="H111" s="288"/>
      <c r="I111" s="289"/>
    </row>
    <row r="112" spans="1:9">
      <c r="A112" s="126">
        <f t="shared" si="1"/>
        <v>106</v>
      </c>
      <c r="B112" s="283"/>
      <c r="D112" s="291" t="s">
        <v>1560</v>
      </c>
      <c r="E112" s="294">
        <v>1</v>
      </c>
      <c r="F112" s="293"/>
      <c r="G112" s="288" t="s">
        <v>1561</v>
      </c>
      <c r="H112" s="288" t="s">
        <v>1562</v>
      </c>
      <c r="I112" s="289"/>
    </row>
    <row r="113" spans="1:9">
      <c r="A113" s="126">
        <f t="shared" si="1"/>
        <v>107</v>
      </c>
      <c r="B113" s="283" t="s">
        <v>524</v>
      </c>
      <c r="C113" s="290" t="s">
        <v>1563</v>
      </c>
      <c r="D113" s="291" t="s">
        <v>1564</v>
      </c>
      <c r="E113" s="294">
        <v>1</v>
      </c>
      <c r="F113" s="293"/>
      <c r="G113" s="288" t="s">
        <v>1565</v>
      </c>
      <c r="H113" s="288"/>
      <c r="I113" s="289"/>
    </row>
    <row r="114" spans="1:9">
      <c r="A114" s="126">
        <f t="shared" si="1"/>
        <v>108</v>
      </c>
      <c r="B114" s="283"/>
      <c r="D114" s="291" t="s">
        <v>1566</v>
      </c>
      <c r="E114" s="294">
        <v>1</v>
      </c>
      <c r="F114" s="293"/>
      <c r="G114" s="288" t="s">
        <v>1567</v>
      </c>
      <c r="H114" s="288"/>
      <c r="I114" s="289"/>
    </row>
    <row r="115" spans="1:9">
      <c r="A115" s="126">
        <f t="shared" si="1"/>
        <v>109</v>
      </c>
      <c r="B115" s="283"/>
      <c r="D115" s="291" t="s">
        <v>1568</v>
      </c>
      <c r="E115" s="294">
        <v>1</v>
      </c>
      <c r="F115" s="293"/>
      <c r="G115" s="288" t="s">
        <v>1569</v>
      </c>
      <c r="H115" s="288" t="s">
        <v>1570</v>
      </c>
      <c r="I115" s="289"/>
    </row>
    <row r="116" spans="1:9">
      <c r="A116" s="126">
        <f t="shared" si="1"/>
        <v>110</v>
      </c>
      <c r="B116" s="283"/>
      <c r="D116" s="291" t="s">
        <v>1571</v>
      </c>
      <c r="E116" s="294">
        <v>1</v>
      </c>
      <c r="F116" s="293"/>
      <c r="G116" s="288" t="s">
        <v>1572</v>
      </c>
      <c r="H116" s="288"/>
      <c r="I116" s="289"/>
    </row>
    <row r="117" spans="1:9">
      <c r="A117" s="126">
        <f t="shared" si="1"/>
        <v>111</v>
      </c>
      <c r="B117" s="283" t="s">
        <v>526</v>
      </c>
      <c r="C117" s="290" t="s">
        <v>1573</v>
      </c>
      <c r="D117" s="291" t="s">
        <v>1574</v>
      </c>
      <c r="E117" s="294">
        <v>1</v>
      </c>
      <c r="F117" s="293"/>
      <c r="G117" s="288" t="s">
        <v>1575</v>
      </c>
      <c r="H117" s="288"/>
      <c r="I117" s="289"/>
    </row>
    <row r="118" spans="1:9">
      <c r="A118" s="126">
        <f t="shared" si="1"/>
        <v>112</v>
      </c>
      <c r="B118" s="283"/>
      <c r="D118" s="291" t="s">
        <v>1576</v>
      </c>
      <c r="E118" s="294">
        <v>1</v>
      </c>
      <c r="F118" s="293"/>
      <c r="G118" s="127"/>
      <c r="H118" s="288"/>
      <c r="I118" s="289"/>
    </row>
    <row r="119" spans="1:9">
      <c r="A119" s="126">
        <f t="shared" si="1"/>
        <v>113</v>
      </c>
      <c r="B119" s="283" t="s">
        <v>530</v>
      </c>
      <c r="C119" s="290" t="s">
        <v>1577</v>
      </c>
      <c r="D119" s="291" t="s">
        <v>1578</v>
      </c>
      <c r="E119" s="294">
        <v>1</v>
      </c>
      <c r="F119" s="293"/>
      <c r="G119" s="127" t="s">
        <v>1579</v>
      </c>
      <c r="H119" s="288"/>
      <c r="I119" s="289"/>
    </row>
    <row r="120" spans="1:9">
      <c r="A120" s="126">
        <f t="shared" si="1"/>
        <v>114</v>
      </c>
      <c r="B120" s="283" t="s">
        <v>532</v>
      </c>
      <c r="C120" s="290" t="s">
        <v>1580</v>
      </c>
      <c r="D120" s="291" t="s">
        <v>1581</v>
      </c>
      <c r="E120" s="294">
        <v>1</v>
      </c>
      <c r="F120" s="293"/>
      <c r="G120" s="127" t="s">
        <v>1582</v>
      </c>
      <c r="H120" s="288"/>
      <c r="I120" s="289"/>
    </row>
    <row r="121" spans="1:9" ht="16.5" customHeight="1">
      <c r="A121" s="126">
        <f t="shared" si="1"/>
        <v>115</v>
      </c>
      <c r="B121" s="283" t="s">
        <v>534</v>
      </c>
      <c r="C121" s="290" t="s">
        <v>1583</v>
      </c>
      <c r="D121" s="291" t="s">
        <v>1584</v>
      </c>
      <c r="E121" s="294">
        <v>1</v>
      </c>
      <c r="F121" s="293"/>
      <c r="G121" s="288" t="s">
        <v>1585</v>
      </c>
      <c r="H121" s="288" t="s">
        <v>1586</v>
      </c>
      <c r="I121" s="289"/>
    </row>
    <row r="122" spans="1:9">
      <c r="A122" s="126">
        <f t="shared" si="1"/>
        <v>116</v>
      </c>
      <c r="B122" s="283"/>
      <c r="D122" s="291" t="s">
        <v>1587</v>
      </c>
      <c r="E122" s="294">
        <v>1</v>
      </c>
      <c r="F122" s="293"/>
      <c r="G122" s="288"/>
      <c r="H122" s="288"/>
      <c r="I122" s="289"/>
    </row>
    <row r="123" spans="1:9">
      <c r="A123" s="126">
        <f t="shared" si="1"/>
        <v>117</v>
      </c>
      <c r="B123" s="283" t="s">
        <v>536</v>
      </c>
      <c r="C123" s="290" t="s">
        <v>1588</v>
      </c>
      <c r="D123" s="291" t="s">
        <v>1589</v>
      </c>
      <c r="E123" s="294">
        <v>1</v>
      </c>
      <c r="F123" s="293"/>
      <c r="G123" s="288"/>
      <c r="H123" s="288"/>
      <c r="I123" s="289"/>
    </row>
    <row r="124" spans="1:9">
      <c r="A124" s="126">
        <f t="shared" si="1"/>
        <v>118</v>
      </c>
      <c r="B124" s="283"/>
      <c r="D124" s="291" t="s">
        <v>1590</v>
      </c>
      <c r="E124" s="294">
        <v>1</v>
      </c>
      <c r="F124" s="293"/>
      <c r="G124" s="127"/>
      <c r="H124" s="288"/>
      <c r="I124" s="289"/>
    </row>
    <row r="125" spans="1:9">
      <c r="A125" s="126">
        <f t="shared" si="1"/>
        <v>119</v>
      </c>
      <c r="B125" s="283" t="s">
        <v>538</v>
      </c>
      <c r="C125" s="290" t="s">
        <v>1591</v>
      </c>
      <c r="D125" s="291" t="s">
        <v>1592</v>
      </c>
      <c r="E125" s="294">
        <v>1</v>
      </c>
      <c r="F125" s="293"/>
      <c r="G125" s="288" t="s">
        <v>1593</v>
      </c>
      <c r="H125" s="288"/>
      <c r="I125" s="289"/>
    </row>
    <row r="126" spans="1:9">
      <c r="A126" s="126">
        <f t="shared" si="1"/>
        <v>120</v>
      </c>
      <c r="B126" s="283"/>
      <c r="D126" s="291"/>
      <c r="E126" s="294"/>
      <c r="F126" s="293"/>
      <c r="G126" s="288" t="s">
        <v>1594</v>
      </c>
      <c r="H126" s="288" t="s">
        <v>1595</v>
      </c>
      <c r="I126" s="289"/>
    </row>
    <row r="127" spans="1:9">
      <c r="A127" s="126">
        <f t="shared" si="1"/>
        <v>121</v>
      </c>
      <c r="B127" s="295" t="s">
        <v>1090</v>
      </c>
      <c r="C127" s="127" t="s">
        <v>1596</v>
      </c>
      <c r="D127" s="291"/>
      <c r="E127" s="294"/>
      <c r="F127" s="293"/>
      <c r="G127" s="288" t="s">
        <v>1454</v>
      </c>
      <c r="H127" s="288"/>
      <c r="I127" s="289"/>
    </row>
    <row r="128" spans="1:9">
      <c r="A128" s="126">
        <f t="shared" si="1"/>
        <v>122</v>
      </c>
      <c r="B128" s="295" t="s">
        <v>1092</v>
      </c>
      <c r="C128" s="127" t="s">
        <v>1597</v>
      </c>
      <c r="D128" s="291"/>
      <c r="E128" s="294"/>
      <c r="F128" s="293"/>
      <c r="G128" s="288" t="s">
        <v>1454</v>
      </c>
      <c r="H128" s="288"/>
      <c r="I128" s="289"/>
    </row>
    <row r="129" spans="1:9" ht="17.25" customHeight="1">
      <c r="A129" s="126">
        <f t="shared" si="1"/>
        <v>123</v>
      </c>
      <c r="B129" s="283" t="s">
        <v>540</v>
      </c>
      <c r="C129" s="290" t="s">
        <v>1598</v>
      </c>
      <c r="D129" s="291" t="s">
        <v>1599</v>
      </c>
      <c r="E129" s="294">
        <v>1</v>
      </c>
      <c r="F129" s="293"/>
      <c r="G129" s="288"/>
      <c r="H129" s="288"/>
      <c r="I129" s="289"/>
    </row>
    <row r="130" spans="1:9" ht="26">
      <c r="A130" s="126">
        <f t="shared" si="1"/>
        <v>124</v>
      </c>
      <c r="B130" s="283"/>
      <c r="D130" s="291" t="s">
        <v>1600</v>
      </c>
      <c r="E130" s="294">
        <v>1</v>
      </c>
      <c r="F130" s="293"/>
      <c r="G130" s="288"/>
      <c r="H130" s="288"/>
      <c r="I130" s="289"/>
    </row>
    <row r="131" spans="1:9">
      <c r="A131" s="126">
        <f t="shared" si="1"/>
        <v>125</v>
      </c>
      <c r="B131" s="283"/>
      <c r="D131" s="291" t="s">
        <v>1601</v>
      </c>
      <c r="E131" s="294">
        <v>1</v>
      </c>
      <c r="F131" s="293"/>
      <c r="G131" s="127"/>
      <c r="H131" s="288"/>
      <c r="I131" s="289"/>
    </row>
    <row r="132" spans="1:9">
      <c r="A132" s="126">
        <f t="shared" si="1"/>
        <v>126</v>
      </c>
      <c r="B132" s="283"/>
      <c r="D132" s="291" t="s">
        <v>1602</v>
      </c>
      <c r="E132" s="294">
        <v>1</v>
      </c>
      <c r="F132" s="293"/>
      <c r="G132" s="288"/>
      <c r="H132" s="288"/>
      <c r="I132" s="289"/>
    </row>
    <row r="133" spans="1:9">
      <c r="A133" s="126">
        <f t="shared" si="1"/>
        <v>127</v>
      </c>
      <c r="B133" s="283"/>
      <c r="D133" s="291" t="s">
        <v>1603</v>
      </c>
      <c r="E133" s="294">
        <v>1</v>
      </c>
      <c r="F133" s="293"/>
      <c r="G133" s="127"/>
      <c r="H133" s="288"/>
      <c r="I133" s="289"/>
    </row>
    <row r="134" spans="1:9">
      <c r="A134" s="126">
        <f t="shared" si="1"/>
        <v>128</v>
      </c>
      <c r="B134" s="283"/>
      <c r="D134" s="291" t="s">
        <v>1604</v>
      </c>
      <c r="E134" s="294">
        <v>2</v>
      </c>
      <c r="F134" s="293" t="s">
        <v>1605</v>
      </c>
      <c r="G134" s="127"/>
      <c r="H134" s="288"/>
      <c r="I134" s="289"/>
    </row>
    <row r="135" spans="1:9">
      <c r="A135" s="126">
        <f t="shared" si="1"/>
        <v>129</v>
      </c>
      <c r="B135" s="283"/>
      <c r="D135" s="291" t="s">
        <v>1606</v>
      </c>
      <c r="E135" s="294">
        <v>2</v>
      </c>
      <c r="F135" s="293" t="s">
        <v>1605</v>
      </c>
      <c r="G135" s="127"/>
      <c r="H135" s="288"/>
      <c r="I135" s="289"/>
    </row>
    <row r="136" spans="1:9">
      <c r="A136" s="126">
        <f t="shared" ref="A136:A199" si="2">A135+1</f>
        <v>130</v>
      </c>
      <c r="B136" s="283"/>
      <c r="D136" s="291" t="s">
        <v>1607</v>
      </c>
      <c r="E136" s="294">
        <v>2</v>
      </c>
      <c r="F136" s="293" t="s">
        <v>1605</v>
      </c>
      <c r="G136" s="288"/>
      <c r="H136" s="288"/>
      <c r="I136" s="289"/>
    </row>
    <row r="137" spans="1:9">
      <c r="A137" s="126">
        <f t="shared" si="2"/>
        <v>131</v>
      </c>
      <c r="B137" s="283"/>
      <c r="D137" s="291" t="s">
        <v>1608</v>
      </c>
      <c r="E137" s="294">
        <v>1</v>
      </c>
      <c r="F137" s="293"/>
      <c r="G137" s="288"/>
      <c r="H137" s="288"/>
      <c r="I137" s="289"/>
    </row>
    <row r="138" spans="1:9">
      <c r="A138" s="126">
        <f t="shared" si="2"/>
        <v>132</v>
      </c>
      <c r="B138" s="283"/>
      <c r="D138" s="291" t="s">
        <v>1609</v>
      </c>
      <c r="E138" s="294">
        <v>1</v>
      </c>
      <c r="F138" s="293"/>
      <c r="G138" s="288"/>
      <c r="H138" s="288"/>
      <c r="I138" s="289"/>
    </row>
    <row r="139" spans="1:9">
      <c r="A139" s="126">
        <f t="shared" si="2"/>
        <v>133</v>
      </c>
      <c r="B139" s="283"/>
      <c r="D139" s="291" t="s">
        <v>1610</v>
      </c>
      <c r="E139" s="294">
        <v>1</v>
      </c>
      <c r="F139" s="293"/>
      <c r="G139" s="127"/>
      <c r="H139" s="288"/>
      <c r="I139" s="289"/>
    </row>
    <row r="140" spans="1:9">
      <c r="A140" s="126">
        <f t="shared" si="2"/>
        <v>134</v>
      </c>
      <c r="B140" s="283"/>
      <c r="D140" s="291" t="s">
        <v>1611</v>
      </c>
      <c r="E140" s="294">
        <v>1</v>
      </c>
      <c r="F140" s="293"/>
      <c r="G140" s="288"/>
      <c r="H140" s="288"/>
      <c r="I140" s="289"/>
    </row>
    <row r="141" spans="1:9">
      <c r="A141" s="126">
        <f t="shared" si="2"/>
        <v>135</v>
      </c>
      <c r="B141" s="283" t="s">
        <v>542</v>
      </c>
      <c r="C141" s="290" t="s">
        <v>1612</v>
      </c>
      <c r="D141" s="291" t="s">
        <v>1613</v>
      </c>
      <c r="E141" s="294">
        <v>1</v>
      </c>
      <c r="F141" s="293"/>
      <c r="G141" s="288" t="s">
        <v>1614</v>
      </c>
      <c r="H141" s="288" t="s">
        <v>1615</v>
      </c>
      <c r="I141" s="289"/>
    </row>
    <row r="142" spans="1:9">
      <c r="A142" s="126">
        <f t="shared" si="2"/>
        <v>136</v>
      </c>
      <c r="B142" s="283"/>
      <c r="D142" s="291" t="s">
        <v>1616</v>
      </c>
      <c r="E142" s="294">
        <v>1</v>
      </c>
      <c r="F142" s="293"/>
      <c r="G142" s="288"/>
      <c r="H142" s="288"/>
      <c r="I142" s="289"/>
    </row>
    <row r="143" spans="1:9">
      <c r="A143" s="126">
        <f t="shared" si="2"/>
        <v>137</v>
      </c>
      <c r="B143" s="283"/>
      <c r="D143" s="291" t="s">
        <v>1617</v>
      </c>
      <c r="E143" s="294">
        <v>1</v>
      </c>
      <c r="F143" s="293"/>
      <c r="G143" s="288"/>
      <c r="H143" s="288"/>
      <c r="I143" s="289"/>
    </row>
    <row r="144" spans="1:9" ht="27" customHeight="1">
      <c r="A144" s="126">
        <f t="shared" si="2"/>
        <v>138</v>
      </c>
      <c r="B144" s="283"/>
      <c r="D144" s="291" t="s">
        <v>1618</v>
      </c>
      <c r="E144" s="294" t="s">
        <v>1374</v>
      </c>
      <c r="F144" s="293" t="s">
        <v>1619</v>
      </c>
      <c r="G144" s="288"/>
      <c r="H144" s="288"/>
      <c r="I144" s="289"/>
    </row>
    <row r="145" spans="1:9" ht="27" customHeight="1">
      <c r="A145" s="126">
        <f t="shared" si="2"/>
        <v>139</v>
      </c>
      <c r="B145" s="283"/>
      <c r="D145" s="291" t="s">
        <v>1620</v>
      </c>
      <c r="E145" s="294" t="s">
        <v>1374</v>
      </c>
      <c r="F145" s="293" t="s">
        <v>1621</v>
      </c>
      <c r="G145" s="288"/>
      <c r="H145" s="288"/>
      <c r="I145" s="289"/>
    </row>
    <row r="146" spans="1:9">
      <c r="A146" s="126">
        <f t="shared" si="2"/>
        <v>140</v>
      </c>
      <c r="B146" s="283" t="s">
        <v>544</v>
      </c>
      <c r="C146" s="290" t="s">
        <v>1622</v>
      </c>
      <c r="D146" s="291" t="s">
        <v>1623</v>
      </c>
      <c r="E146" s="294">
        <v>1</v>
      </c>
      <c r="F146" s="293"/>
      <c r="G146" s="127" t="s">
        <v>1624</v>
      </c>
      <c r="H146" s="288"/>
      <c r="I146" s="289"/>
    </row>
    <row r="147" spans="1:9">
      <c r="A147" s="126">
        <f t="shared" si="2"/>
        <v>141</v>
      </c>
      <c r="B147" s="283"/>
      <c r="D147" s="291" t="s">
        <v>1625</v>
      </c>
      <c r="E147" s="294">
        <v>1</v>
      </c>
      <c r="F147" s="293"/>
      <c r="G147" s="127" t="s">
        <v>1626</v>
      </c>
      <c r="H147" s="288"/>
      <c r="I147" s="289"/>
    </row>
    <row r="148" spans="1:9">
      <c r="A148" s="126">
        <f t="shared" si="2"/>
        <v>142</v>
      </c>
      <c r="B148" s="283"/>
      <c r="D148" s="291" t="s">
        <v>1627</v>
      </c>
      <c r="E148" s="294">
        <v>1</v>
      </c>
      <c r="F148" s="293"/>
      <c r="G148" s="127" t="s">
        <v>1628</v>
      </c>
      <c r="H148" s="288"/>
      <c r="I148" s="289"/>
    </row>
    <row r="149" spans="1:9">
      <c r="A149" s="126">
        <f t="shared" si="2"/>
        <v>143</v>
      </c>
      <c r="B149" s="283"/>
      <c r="D149" s="291" t="s">
        <v>1629</v>
      </c>
      <c r="E149" s="294">
        <v>1</v>
      </c>
      <c r="F149" s="293"/>
      <c r="G149" s="288" t="s">
        <v>1630</v>
      </c>
      <c r="H149" s="288" t="s">
        <v>1631</v>
      </c>
      <c r="I149" s="289"/>
    </row>
    <row r="150" spans="1:9">
      <c r="A150" s="126">
        <f t="shared" si="2"/>
        <v>144</v>
      </c>
      <c r="B150" s="283"/>
      <c r="D150" s="291" t="s">
        <v>1632</v>
      </c>
      <c r="E150" s="294">
        <v>1</v>
      </c>
      <c r="F150" s="293"/>
      <c r="G150" s="288" t="s">
        <v>1633</v>
      </c>
      <c r="H150" s="288"/>
      <c r="I150" s="289"/>
    </row>
    <row r="151" spans="1:9">
      <c r="A151" s="126">
        <f t="shared" si="2"/>
        <v>145</v>
      </c>
      <c r="B151" s="283"/>
      <c r="D151" s="291" t="s">
        <v>1634</v>
      </c>
      <c r="E151" s="294">
        <v>1</v>
      </c>
      <c r="F151" s="293"/>
      <c r="G151" s="288" t="s">
        <v>1635</v>
      </c>
      <c r="H151" s="288" t="s">
        <v>1636</v>
      </c>
      <c r="I151" s="289"/>
    </row>
    <row r="152" spans="1:9" ht="26">
      <c r="A152" s="126">
        <f t="shared" si="2"/>
        <v>146</v>
      </c>
      <c r="B152" s="283" t="s">
        <v>550</v>
      </c>
      <c r="C152" s="290" t="s">
        <v>1637</v>
      </c>
      <c r="D152" s="291" t="s">
        <v>1638</v>
      </c>
      <c r="E152" s="294">
        <v>1</v>
      </c>
      <c r="F152" s="293"/>
      <c r="G152" s="127" t="s">
        <v>1639</v>
      </c>
      <c r="H152" s="288" t="s">
        <v>1640</v>
      </c>
      <c r="I152" s="289"/>
    </row>
    <row r="153" spans="1:9">
      <c r="A153" s="126">
        <f t="shared" si="2"/>
        <v>147</v>
      </c>
      <c r="B153" s="283"/>
      <c r="D153" s="291" t="s">
        <v>1641</v>
      </c>
      <c r="E153" s="294">
        <v>1</v>
      </c>
      <c r="F153" s="293"/>
      <c r="G153" s="288"/>
      <c r="H153" s="288"/>
      <c r="I153" s="289"/>
    </row>
    <row r="154" spans="1:9">
      <c r="A154" s="126">
        <f t="shared" si="2"/>
        <v>148</v>
      </c>
      <c r="B154" s="283"/>
      <c r="D154" s="291" t="s">
        <v>1642</v>
      </c>
      <c r="E154" s="294">
        <v>1</v>
      </c>
      <c r="F154" s="293"/>
      <c r="G154" s="288"/>
      <c r="H154" s="288"/>
      <c r="I154" s="289"/>
    </row>
    <row r="155" spans="1:9">
      <c r="A155" s="126">
        <f t="shared" si="2"/>
        <v>149</v>
      </c>
      <c r="B155" s="283"/>
      <c r="D155" s="291" t="s">
        <v>1643</v>
      </c>
      <c r="E155" s="294">
        <v>1</v>
      </c>
      <c r="F155" s="293"/>
      <c r="G155" s="288"/>
      <c r="H155" s="288"/>
      <c r="I155" s="289"/>
    </row>
    <row r="156" spans="1:9">
      <c r="A156" s="126">
        <f t="shared" si="2"/>
        <v>150</v>
      </c>
      <c r="B156" s="283"/>
      <c r="D156" s="291" t="s">
        <v>1644</v>
      </c>
      <c r="E156" s="294">
        <v>1</v>
      </c>
      <c r="F156" s="293"/>
      <c r="G156" s="288"/>
      <c r="H156" s="288"/>
      <c r="I156" s="289"/>
    </row>
    <row r="157" spans="1:9">
      <c r="A157" s="126">
        <f t="shared" si="2"/>
        <v>151</v>
      </c>
      <c r="B157" s="283"/>
      <c r="D157" s="291" t="s">
        <v>1645</v>
      </c>
      <c r="E157" s="294">
        <v>1</v>
      </c>
      <c r="F157" s="293"/>
      <c r="G157" s="288"/>
      <c r="H157" s="288"/>
      <c r="I157" s="289"/>
    </row>
    <row r="158" spans="1:9">
      <c r="A158" s="126">
        <f t="shared" si="2"/>
        <v>152</v>
      </c>
      <c r="B158" s="283" t="s">
        <v>548</v>
      </c>
      <c r="C158" s="290" t="s">
        <v>1646</v>
      </c>
      <c r="D158" s="291" t="s">
        <v>1647</v>
      </c>
      <c r="E158" s="294">
        <v>1</v>
      </c>
      <c r="F158" s="293"/>
      <c r="G158" s="288"/>
      <c r="H158" s="288"/>
      <c r="I158" s="289"/>
    </row>
    <row r="159" spans="1:9">
      <c r="A159" s="126">
        <f t="shared" si="2"/>
        <v>153</v>
      </c>
      <c r="B159" s="283"/>
      <c r="D159" s="291" t="s">
        <v>1648</v>
      </c>
      <c r="E159" s="294">
        <v>1</v>
      </c>
      <c r="F159" s="293"/>
      <c r="G159" s="127"/>
      <c r="H159" s="288"/>
      <c r="I159" s="289"/>
    </row>
    <row r="160" spans="1:9">
      <c r="A160" s="126">
        <f t="shared" si="2"/>
        <v>154</v>
      </c>
      <c r="B160" s="283"/>
      <c r="D160" s="291" t="s">
        <v>1649</v>
      </c>
      <c r="E160" s="294">
        <v>1</v>
      </c>
      <c r="F160" s="293"/>
      <c r="G160" s="127"/>
      <c r="H160" s="288"/>
      <c r="I160" s="289"/>
    </row>
    <row r="161" spans="1:9">
      <c r="A161" s="126">
        <f t="shared" si="2"/>
        <v>155</v>
      </c>
      <c r="B161" s="283"/>
      <c r="D161" s="291" t="s">
        <v>1650</v>
      </c>
      <c r="E161" s="294">
        <v>1</v>
      </c>
      <c r="F161" s="293"/>
      <c r="G161" s="127"/>
      <c r="H161" s="288"/>
      <c r="I161" s="289"/>
    </row>
    <row r="162" spans="1:9">
      <c r="A162" s="126">
        <f t="shared" si="2"/>
        <v>156</v>
      </c>
      <c r="B162" s="283"/>
      <c r="D162" s="291" t="s">
        <v>1651</v>
      </c>
      <c r="E162" s="294">
        <v>1</v>
      </c>
      <c r="F162" s="293"/>
      <c r="G162" s="288"/>
      <c r="H162" s="288"/>
      <c r="I162" s="289"/>
    </row>
    <row r="163" spans="1:9">
      <c r="A163" s="126">
        <f t="shared" si="2"/>
        <v>157</v>
      </c>
      <c r="B163" s="283"/>
      <c r="D163" s="291" t="s">
        <v>1652</v>
      </c>
      <c r="E163" s="294">
        <v>1</v>
      </c>
      <c r="F163" s="293"/>
      <c r="G163" s="288"/>
      <c r="H163" s="288"/>
      <c r="I163" s="289"/>
    </row>
    <row r="164" spans="1:9">
      <c r="A164" s="126">
        <f t="shared" si="2"/>
        <v>158</v>
      </c>
      <c r="B164" s="283"/>
      <c r="D164" s="291" t="s">
        <v>1653</v>
      </c>
      <c r="E164" s="294">
        <v>1</v>
      </c>
      <c r="F164" s="293"/>
      <c r="G164" s="288"/>
      <c r="H164" s="288"/>
      <c r="I164" s="289"/>
    </row>
    <row r="165" spans="1:9">
      <c r="A165" s="126">
        <f t="shared" si="2"/>
        <v>159</v>
      </c>
      <c r="B165" s="283"/>
      <c r="D165" s="291" t="s">
        <v>1654</v>
      </c>
      <c r="E165" s="294">
        <v>1</v>
      </c>
      <c r="F165" s="293"/>
      <c r="G165" s="127"/>
      <c r="H165" s="288"/>
      <c r="I165" s="289"/>
    </row>
    <row r="166" spans="1:9">
      <c r="A166" s="126">
        <f t="shared" si="2"/>
        <v>160</v>
      </c>
      <c r="B166" s="283" t="s">
        <v>1098</v>
      </c>
      <c r="C166" s="290" t="s">
        <v>1655</v>
      </c>
      <c r="D166" s="291"/>
      <c r="E166" s="294"/>
      <c r="F166" s="293"/>
      <c r="G166" s="288" t="s">
        <v>1454</v>
      </c>
      <c r="H166" s="288"/>
      <c r="I166" s="289"/>
    </row>
    <row r="167" spans="1:9">
      <c r="A167" s="126">
        <f t="shared" si="2"/>
        <v>161</v>
      </c>
      <c r="B167" s="283" t="s">
        <v>552</v>
      </c>
      <c r="C167" s="290" t="s">
        <v>1656</v>
      </c>
      <c r="D167" s="291" t="s">
        <v>1657</v>
      </c>
      <c r="E167" s="294">
        <v>1</v>
      </c>
      <c r="F167" s="293"/>
      <c r="G167" s="288"/>
      <c r="H167" s="288"/>
      <c r="I167" s="289"/>
    </row>
    <row r="168" spans="1:9">
      <c r="A168" s="126">
        <f t="shared" si="2"/>
        <v>162</v>
      </c>
      <c r="B168" s="283"/>
      <c r="D168" s="291" t="s">
        <v>2367</v>
      </c>
      <c r="E168" s="294" t="s">
        <v>1374</v>
      </c>
      <c r="F168" s="293" t="s">
        <v>1658</v>
      </c>
      <c r="G168" s="288"/>
      <c r="H168" s="288"/>
      <c r="I168" s="289"/>
    </row>
    <row r="169" spans="1:9">
      <c r="A169" s="126">
        <f t="shared" si="2"/>
        <v>163</v>
      </c>
      <c r="B169" s="283"/>
      <c r="D169" s="291" t="s">
        <v>2368</v>
      </c>
      <c r="E169" s="294" t="s">
        <v>1374</v>
      </c>
      <c r="F169" s="293" t="s">
        <v>1658</v>
      </c>
      <c r="G169" s="288"/>
      <c r="H169" s="288"/>
      <c r="I169" s="289"/>
    </row>
    <row r="170" spans="1:9">
      <c r="A170" s="126">
        <f t="shared" si="2"/>
        <v>164</v>
      </c>
      <c r="B170" s="295" t="s">
        <v>1659</v>
      </c>
      <c r="C170" s="127" t="s">
        <v>1660</v>
      </c>
      <c r="D170" s="291"/>
      <c r="E170" s="294"/>
      <c r="F170" s="293"/>
      <c r="G170" s="288" t="s">
        <v>1454</v>
      </c>
      <c r="H170" s="288"/>
      <c r="I170" s="289"/>
    </row>
    <row r="171" spans="1:9">
      <c r="A171" s="126">
        <f t="shared" si="2"/>
        <v>165</v>
      </c>
      <c r="B171" s="295" t="s">
        <v>1102</v>
      </c>
      <c r="C171" s="127" t="s">
        <v>1661</v>
      </c>
      <c r="D171" s="291"/>
      <c r="E171" s="294"/>
      <c r="F171" s="293"/>
      <c r="G171" s="288" t="s">
        <v>1454</v>
      </c>
      <c r="H171" s="288"/>
      <c r="I171" s="289"/>
    </row>
    <row r="172" spans="1:9">
      <c r="A172" s="126">
        <f t="shared" si="2"/>
        <v>166</v>
      </c>
      <c r="B172" s="283" t="s">
        <v>554</v>
      </c>
      <c r="C172" s="290" t="s">
        <v>1662</v>
      </c>
      <c r="D172" s="291" t="s">
        <v>1663</v>
      </c>
      <c r="E172" s="294">
        <v>1</v>
      </c>
      <c r="F172" s="293"/>
      <c r="G172" s="127"/>
      <c r="H172" s="288"/>
      <c r="I172" s="297" t="s">
        <v>1664</v>
      </c>
    </row>
    <row r="173" spans="1:9">
      <c r="A173" s="126">
        <f t="shared" si="2"/>
        <v>167</v>
      </c>
      <c r="B173" s="283"/>
      <c r="D173" s="291" t="s">
        <v>1496</v>
      </c>
      <c r="E173" s="294">
        <v>1</v>
      </c>
      <c r="F173" s="293"/>
      <c r="G173" s="288"/>
      <c r="H173" s="288"/>
      <c r="I173" s="289"/>
    </row>
    <row r="174" spans="1:9">
      <c r="A174" s="126">
        <f t="shared" si="2"/>
        <v>168</v>
      </c>
      <c r="B174" s="283"/>
      <c r="D174" s="291" t="s">
        <v>1665</v>
      </c>
      <c r="E174" s="294">
        <v>1</v>
      </c>
      <c r="F174" s="293"/>
      <c r="G174" s="127"/>
      <c r="H174" s="288"/>
      <c r="I174" s="289"/>
    </row>
    <row r="175" spans="1:9">
      <c r="A175" s="126">
        <f t="shared" si="2"/>
        <v>169</v>
      </c>
      <c r="B175" s="283"/>
      <c r="D175" s="291" t="s">
        <v>1666</v>
      </c>
      <c r="E175" s="294">
        <v>1</v>
      </c>
      <c r="F175" s="293"/>
      <c r="G175" s="127"/>
      <c r="H175" s="288"/>
      <c r="I175" s="289"/>
    </row>
    <row r="176" spans="1:9">
      <c r="A176" s="126">
        <f t="shared" si="2"/>
        <v>170</v>
      </c>
      <c r="B176" s="283"/>
      <c r="D176" s="291" t="s">
        <v>1667</v>
      </c>
      <c r="E176" s="294">
        <v>1</v>
      </c>
      <c r="F176" s="293"/>
      <c r="G176" s="127"/>
      <c r="H176" s="288"/>
      <c r="I176" s="289"/>
    </row>
    <row r="177" spans="1:9">
      <c r="A177" s="126">
        <f t="shared" si="2"/>
        <v>171</v>
      </c>
      <c r="B177" s="283"/>
      <c r="D177" s="291" t="s">
        <v>1668</v>
      </c>
      <c r="E177" s="294">
        <v>1</v>
      </c>
      <c r="F177" s="293"/>
      <c r="G177" s="288"/>
      <c r="H177" s="288"/>
      <c r="I177" s="289"/>
    </row>
    <row r="178" spans="1:9" ht="15" customHeight="1">
      <c r="A178" s="126">
        <f t="shared" si="2"/>
        <v>172</v>
      </c>
      <c r="B178" s="283"/>
      <c r="D178" s="291" t="s">
        <v>1669</v>
      </c>
      <c r="E178" s="294">
        <v>2</v>
      </c>
      <c r="F178" s="293" t="s">
        <v>1670</v>
      </c>
      <c r="G178" s="288"/>
      <c r="H178" s="288"/>
      <c r="I178" s="289"/>
    </row>
    <row r="179" spans="1:9">
      <c r="A179" s="126">
        <f t="shared" si="2"/>
        <v>173</v>
      </c>
      <c r="B179" s="283"/>
      <c r="D179" s="291" t="s">
        <v>1671</v>
      </c>
      <c r="E179" s="294">
        <v>1</v>
      </c>
      <c r="F179" s="293"/>
      <c r="G179" s="288"/>
      <c r="H179" s="288"/>
      <c r="I179" s="289"/>
    </row>
    <row r="180" spans="1:9" ht="26">
      <c r="A180" s="126">
        <f t="shared" si="2"/>
        <v>174</v>
      </c>
      <c r="B180" s="283" t="s">
        <v>556</v>
      </c>
      <c r="C180" s="290" t="s">
        <v>1672</v>
      </c>
      <c r="D180" s="291" t="s">
        <v>1673</v>
      </c>
      <c r="E180" s="294">
        <v>1</v>
      </c>
      <c r="F180" s="293"/>
      <c r="G180" s="127"/>
      <c r="H180" s="288"/>
      <c r="I180" s="289"/>
    </row>
    <row r="181" spans="1:9">
      <c r="A181" s="126">
        <f t="shared" si="2"/>
        <v>175</v>
      </c>
      <c r="B181" s="283"/>
      <c r="D181" s="291" t="s">
        <v>1674</v>
      </c>
      <c r="E181" s="294">
        <v>1</v>
      </c>
      <c r="F181" s="293"/>
      <c r="G181" s="288"/>
      <c r="H181" s="288"/>
      <c r="I181" s="289"/>
    </row>
    <row r="182" spans="1:9">
      <c r="A182" s="126">
        <f t="shared" si="2"/>
        <v>176</v>
      </c>
      <c r="B182" s="283"/>
      <c r="D182" s="291" t="s">
        <v>1675</v>
      </c>
      <c r="E182" s="294">
        <v>1</v>
      </c>
      <c r="F182" s="293"/>
      <c r="G182" s="288"/>
      <c r="H182" s="288"/>
      <c r="I182" s="289"/>
    </row>
    <row r="183" spans="1:9">
      <c r="A183" s="126">
        <f t="shared" si="2"/>
        <v>177</v>
      </c>
      <c r="B183" s="283"/>
      <c r="D183" s="291" t="s">
        <v>1676</v>
      </c>
      <c r="E183" s="294">
        <v>1</v>
      </c>
      <c r="F183" s="293"/>
      <c r="G183" s="288"/>
      <c r="H183" s="288"/>
      <c r="I183" s="289"/>
    </row>
    <row r="184" spans="1:9">
      <c r="A184" s="126">
        <f t="shared" si="2"/>
        <v>178</v>
      </c>
      <c r="B184" s="283"/>
      <c r="D184" s="291" t="s">
        <v>1677</v>
      </c>
      <c r="E184" s="294">
        <v>1</v>
      </c>
      <c r="F184" s="293"/>
      <c r="G184" s="288"/>
      <c r="H184" s="288"/>
      <c r="I184" s="289"/>
    </row>
    <row r="185" spans="1:9">
      <c r="A185" s="126">
        <f t="shared" si="2"/>
        <v>179</v>
      </c>
      <c r="B185" s="283"/>
      <c r="D185" s="291" t="s">
        <v>1678</v>
      </c>
      <c r="E185" s="294">
        <v>1</v>
      </c>
      <c r="F185" s="293"/>
      <c r="G185" s="288"/>
      <c r="H185" s="288"/>
      <c r="I185" s="289"/>
    </row>
    <row r="186" spans="1:9">
      <c r="A186" s="126">
        <f t="shared" si="2"/>
        <v>180</v>
      </c>
      <c r="B186" s="283" t="s">
        <v>558</v>
      </c>
      <c r="C186" s="290" t="s">
        <v>1679</v>
      </c>
      <c r="D186" s="291" t="s">
        <v>1680</v>
      </c>
      <c r="E186" s="294">
        <v>1</v>
      </c>
      <c r="F186" s="293"/>
      <c r="G186" s="288"/>
      <c r="H186" s="288"/>
      <c r="I186" s="289"/>
    </row>
    <row r="187" spans="1:9">
      <c r="A187" s="126">
        <f t="shared" si="2"/>
        <v>181</v>
      </c>
      <c r="B187" s="283"/>
      <c r="D187" s="291" t="s">
        <v>1681</v>
      </c>
      <c r="E187" s="294">
        <v>1</v>
      </c>
      <c r="F187" s="293"/>
      <c r="G187" s="127"/>
      <c r="H187" s="288"/>
      <c r="I187" s="289"/>
    </row>
    <row r="188" spans="1:9" ht="26">
      <c r="A188" s="126">
        <f t="shared" si="2"/>
        <v>182</v>
      </c>
      <c r="B188" s="283" t="s">
        <v>560</v>
      </c>
      <c r="C188" s="290" t="s">
        <v>1682</v>
      </c>
      <c r="D188" s="291" t="s">
        <v>1683</v>
      </c>
      <c r="E188" s="294">
        <v>1</v>
      </c>
      <c r="F188" s="293"/>
      <c r="G188" s="127" t="s">
        <v>1684</v>
      </c>
      <c r="H188" s="288" t="s">
        <v>1685</v>
      </c>
      <c r="I188" s="289"/>
    </row>
    <row r="189" spans="1:9">
      <c r="A189" s="126">
        <f t="shared" si="2"/>
        <v>183</v>
      </c>
      <c r="B189" s="283"/>
      <c r="D189" s="291" t="s">
        <v>1686</v>
      </c>
      <c r="E189" s="294">
        <v>1</v>
      </c>
      <c r="F189" s="293"/>
      <c r="G189" s="127" t="s">
        <v>1687</v>
      </c>
      <c r="H189" s="288"/>
      <c r="I189" s="289"/>
    </row>
    <row r="190" spans="1:9">
      <c r="A190" s="126">
        <f t="shared" si="2"/>
        <v>184</v>
      </c>
      <c r="B190" s="283"/>
      <c r="D190" s="291" t="s">
        <v>1688</v>
      </c>
      <c r="E190" s="294">
        <v>1</v>
      </c>
      <c r="F190" s="293"/>
      <c r="G190" s="288" t="s">
        <v>1689</v>
      </c>
      <c r="H190" s="288"/>
      <c r="I190" s="289"/>
    </row>
    <row r="191" spans="1:9">
      <c r="A191" s="126">
        <f t="shared" si="2"/>
        <v>185</v>
      </c>
      <c r="B191" s="283"/>
      <c r="D191" s="291" t="s">
        <v>1417</v>
      </c>
      <c r="E191" s="294">
        <v>1</v>
      </c>
      <c r="F191" s="293"/>
      <c r="G191" s="288"/>
      <c r="H191" s="288"/>
      <c r="I191" s="289"/>
    </row>
    <row r="192" spans="1:9">
      <c r="A192" s="126">
        <f t="shared" si="2"/>
        <v>186</v>
      </c>
      <c r="B192" s="283"/>
      <c r="D192" s="291" t="s">
        <v>1690</v>
      </c>
      <c r="E192" s="294">
        <v>1</v>
      </c>
      <c r="F192" s="293"/>
      <c r="G192" s="288"/>
      <c r="H192" s="288"/>
      <c r="I192" s="289"/>
    </row>
    <row r="193" spans="1:9" ht="26">
      <c r="A193" s="126">
        <f t="shared" si="2"/>
        <v>187</v>
      </c>
      <c r="B193" s="283"/>
      <c r="D193" s="291" t="s">
        <v>1691</v>
      </c>
      <c r="E193" s="294">
        <v>1</v>
      </c>
      <c r="F193" s="293"/>
      <c r="G193" s="127"/>
      <c r="H193" s="288"/>
      <c r="I193" s="289"/>
    </row>
    <row r="194" spans="1:9" ht="16.5" customHeight="1">
      <c r="A194" s="126">
        <f t="shared" si="2"/>
        <v>188</v>
      </c>
      <c r="B194" s="283"/>
      <c r="D194" s="291" t="s">
        <v>1692</v>
      </c>
      <c r="E194" s="294">
        <v>1</v>
      </c>
      <c r="F194" s="293"/>
      <c r="G194" s="288"/>
      <c r="H194" s="288"/>
      <c r="I194" s="289"/>
    </row>
    <row r="195" spans="1:9">
      <c r="A195" s="126">
        <f t="shared" si="2"/>
        <v>189</v>
      </c>
      <c r="B195" s="283"/>
      <c r="D195" s="291" t="s">
        <v>1693</v>
      </c>
      <c r="E195" s="294">
        <v>1</v>
      </c>
      <c r="F195" s="293"/>
      <c r="G195" s="288"/>
      <c r="H195" s="288"/>
      <c r="I195" s="289"/>
    </row>
    <row r="196" spans="1:9">
      <c r="A196" s="126">
        <f t="shared" si="2"/>
        <v>190</v>
      </c>
      <c r="B196" s="283"/>
      <c r="D196" s="291" t="s">
        <v>1694</v>
      </c>
      <c r="E196" s="294">
        <v>1</v>
      </c>
      <c r="F196" s="293"/>
      <c r="G196" s="288"/>
      <c r="H196" s="288"/>
      <c r="I196" s="289"/>
    </row>
    <row r="197" spans="1:9">
      <c r="A197" s="126">
        <f t="shared" si="2"/>
        <v>191</v>
      </c>
      <c r="B197" s="283"/>
      <c r="D197" s="291" t="s">
        <v>1695</v>
      </c>
      <c r="E197" s="294">
        <v>1</v>
      </c>
      <c r="F197" s="293"/>
      <c r="G197" s="288"/>
      <c r="H197" s="288"/>
      <c r="I197" s="289"/>
    </row>
    <row r="198" spans="1:9">
      <c r="A198" s="126">
        <f t="shared" si="2"/>
        <v>192</v>
      </c>
      <c r="B198" s="283"/>
      <c r="D198" s="291" t="s">
        <v>1696</v>
      </c>
      <c r="E198" s="294">
        <v>1</v>
      </c>
      <c r="F198" s="293"/>
      <c r="G198" s="288"/>
      <c r="H198" s="288"/>
      <c r="I198" s="289"/>
    </row>
    <row r="199" spans="1:9">
      <c r="A199" s="126">
        <f t="shared" si="2"/>
        <v>193</v>
      </c>
      <c r="B199" s="283" t="s">
        <v>1158</v>
      </c>
      <c r="C199" s="290" t="s">
        <v>1697</v>
      </c>
      <c r="D199" s="291" t="s">
        <v>1698</v>
      </c>
      <c r="E199" s="294">
        <v>2</v>
      </c>
      <c r="F199" s="293" t="s">
        <v>1699</v>
      </c>
      <c r="G199" s="288"/>
      <c r="H199" s="288"/>
      <c r="I199" s="289"/>
    </row>
    <row r="200" spans="1:9">
      <c r="A200" s="126">
        <f t="shared" ref="A200:A263" si="3">A199+1</f>
        <v>194</v>
      </c>
      <c r="B200" s="283"/>
      <c r="D200" s="291" t="s">
        <v>1536</v>
      </c>
      <c r="E200" s="294">
        <v>1</v>
      </c>
      <c r="F200" s="293"/>
      <c r="G200" s="127"/>
      <c r="H200" s="288"/>
      <c r="I200" s="289"/>
    </row>
    <row r="201" spans="1:9">
      <c r="A201" s="126">
        <f t="shared" si="3"/>
        <v>195</v>
      </c>
      <c r="B201" s="283"/>
      <c r="D201" s="291" t="s">
        <v>1700</v>
      </c>
      <c r="E201" s="294">
        <v>1</v>
      </c>
      <c r="F201" s="293"/>
      <c r="G201" s="127"/>
      <c r="H201" s="288"/>
      <c r="I201" s="289"/>
    </row>
    <row r="202" spans="1:9">
      <c r="A202" s="126">
        <f t="shared" si="3"/>
        <v>196</v>
      </c>
      <c r="B202" s="283"/>
      <c r="D202" s="291" t="s">
        <v>1701</v>
      </c>
      <c r="E202" s="294">
        <v>1</v>
      </c>
      <c r="F202" s="293"/>
      <c r="G202" s="127"/>
      <c r="H202" s="288"/>
      <c r="I202" s="289"/>
    </row>
    <row r="203" spans="1:9">
      <c r="A203" s="126">
        <f t="shared" si="3"/>
        <v>197</v>
      </c>
      <c r="B203" s="283" t="s">
        <v>562</v>
      </c>
      <c r="C203" s="290" t="s">
        <v>1702</v>
      </c>
      <c r="D203" s="291" t="s">
        <v>1703</v>
      </c>
      <c r="E203" s="294">
        <v>1</v>
      </c>
      <c r="F203" s="293"/>
      <c r="G203" s="288" t="s">
        <v>1704</v>
      </c>
      <c r="H203" s="296" t="s">
        <v>1705</v>
      </c>
      <c r="I203" s="289"/>
    </row>
    <row r="204" spans="1:9">
      <c r="A204" s="126">
        <f t="shared" si="3"/>
        <v>198</v>
      </c>
      <c r="B204" s="283"/>
      <c r="D204" s="291"/>
      <c r="E204" s="294"/>
      <c r="F204" s="293"/>
      <c r="G204" s="288" t="s">
        <v>1706</v>
      </c>
      <c r="H204" s="288"/>
      <c r="I204" s="289"/>
    </row>
    <row r="205" spans="1:9">
      <c r="A205" s="126">
        <f t="shared" si="3"/>
        <v>199</v>
      </c>
      <c r="B205" s="283" t="s">
        <v>564</v>
      </c>
      <c r="C205" s="290" t="s">
        <v>1707</v>
      </c>
      <c r="D205" s="291" t="s">
        <v>1708</v>
      </c>
      <c r="E205" s="294">
        <v>1</v>
      </c>
      <c r="F205" s="293"/>
      <c r="G205" s="288" t="s">
        <v>1398</v>
      </c>
      <c r="H205" s="288" t="s">
        <v>1399</v>
      </c>
      <c r="I205" s="289"/>
    </row>
    <row r="206" spans="1:9" ht="16.149999999999999" customHeight="1">
      <c r="A206" s="126">
        <f t="shared" si="3"/>
        <v>200</v>
      </c>
      <c r="B206" s="283"/>
      <c r="D206" s="291" t="s">
        <v>1709</v>
      </c>
      <c r="E206" s="294">
        <v>1</v>
      </c>
      <c r="F206" s="293" t="s">
        <v>1710</v>
      </c>
      <c r="G206" s="127"/>
      <c r="H206" s="288"/>
      <c r="I206" s="289"/>
    </row>
    <row r="207" spans="1:9">
      <c r="A207" s="126">
        <f t="shared" si="3"/>
        <v>201</v>
      </c>
      <c r="B207" s="283"/>
      <c r="D207" s="291" t="s">
        <v>1711</v>
      </c>
      <c r="E207" s="294">
        <v>1</v>
      </c>
      <c r="F207" s="293"/>
      <c r="G207" s="288"/>
      <c r="H207" s="288"/>
      <c r="I207" s="289"/>
    </row>
    <row r="208" spans="1:9">
      <c r="A208" s="126">
        <f t="shared" si="3"/>
        <v>202</v>
      </c>
      <c r="B208" s="283"/>
      <c r="D208" s="291" t="s">
        <v>1712</v>
      </c>
      <c r="E208" s="294" t="s">
        <v>1374</v>
      </c>
      <c r="F208" s="293" t="s">
        <v>1713</v>
      </c>
      <c r="G208" s="288"/>
      <c r="H208" s="288"/>
      <c r="I208" s="289"/>
    </row>
    <row r="209" spans="1:9">
      <c r="A209" s="126">
        <f t="shared" si="3"/>
        <v>203</v>
      </c>
      <c r="B209" s="283"/>
      <c r="D209" s="291" t="s">
        <v>1714</v>
      </c>
      <c r="E209" s="294">
        <v>1</v>
      </c>
      <c r="F209" s="293"/>
      <c r="G209" s="288"/>
      <c r="H209" s="288"/>
      <c r="I209" s="289"/>
    </row>
    <row r="210" spans="1:9">
      <c r="A210" s="126">
        <f t="shared" si="3"/>
        <v>204</v>
      </c>
      <c r="B210" s="283"/>
      <c r="D210" s="291" t="s">
        <v>1715</v>
      </c>
      <c r="E210" s="294">
        <v>1</v>
      </c>
      <c r="F210" s="293" t="s">
        <v>1716</v>
      </c>
      <c r="G210" s="288"/>
      <c r="H210" s="288"/>
      <c r="I210" s="289"/>
    </row>
    <row r="211" spans="1:9">
      <c r="A211" s="126">
        <f t="shared" si="3"/>
        <v>205</v>
      </c>
      <c r="B211" s="283"/>
      <c r="D211" s="291" t="s">
        <v>1717</v>
      </c>
      <c r="E211" s="294">
        <v>1</v>
      </c>
      <c r="F211" s="293" t="s">
        <v>1718</v>
      </c>
      <c r="G211" s="288"/>
      <c r="H211" s="288"/>
      <c r="I211" s="289"/>
    </row>
    <row r="212" spans="1:9" ht="26">
      <c r="A212" s="126">
        <f t="shared" si="3"/>
        <v>206</v>
      </c>
      <c r="B212" s="283" t="s">
        <v>566</v>
      </c>
      <c r="C212" s="290" t="s">
        <v>1719</v>
      </c>
      <c r="D212" s="291" t="s">
        <v>1720</v>
      </c>
      <c r="E212" s="294">
        <v>1</v>
      </c>
      <c r="F212" s="293"/>
      <c r="G212" s="288"/>
      <c r="H212" s="288"/>
      <c r="I212" s="289"/>
    </row>
    <row r="213" spans="1:9">
      <c r="A213" s="126">
        <f t="shared" si="3"/>
        <v>207</v>
      </c>
      <c r="B213" s="283"/>
      <c r="D213" s="291" t="s">
        <v>1721</v>
      </c>
      <c r="E213" s="294">
        <v>1</v>
      </c>
      <c r="F213" s="293"/>
      <c r="G213" s="127"/>
      <c r="H213" s="288"/>
      <c r="I213" s="289"/>
    </row>
    <row r="214" spans="1:9">
      <c r="A214" s="126">
        <f t="shared" si="3"/>
        <v>208</v>
      </c>
      <c r="B214" s="283" t="s">
        <v>1162</v>
      </c>
      <c r="C214" s="290" t="s">
        <v>1722</v>
      </c>
      <c r="D214" s="291" t="s">
        <v>1723</v>
      </c>
      <c r="E214" s="294">
        <v>1</v>
      </c>
      <c r="F214" s="293"/>
      <c r="G214" s="288" t="s">
        <v>1724</v>
      </c>
      <c r="H214" s="288" t="s">
        <v>1725</v>
      </c>
      <c r="I214" s="289"/>
    </row>
    <row r="215" spans="1:9">
      <c r="A215" s="126">
        <f t="shared" si="3"/>
        <v>209</v>
      </c>
      <c r="B215" s="283"/>
      <c r="D215" s="291" t="s">
        <v>1726</v>
      </c>
      <c r="E215" s="294" t="s">
        <v>1374</v>
      </c>
      <c r="F215" s="293" t="s">
        <v>1727</v>
      </c>
      <c r="G215" s="127"/>
      <c r="H215" s="288"/>
      <c r="I215" s="289"/>
    </row>
    <row r="216" spans="1:9">
      <c r="A216" s="126">
        <f t="shared" si="3"/>
        <v>210</v>
      </c>
      <c r="B216" s="283"/>
      <c r="D216" s="291" t="s">
        <v>1728</v>
      </c>
      <c r="E216" s="294">
        <v>1</v>
      </c>
      <c r="F216" s="293"/>
      <c r="G216" s="127"/>
      <c r="H216" s="288"/>
      <c r="I216" s="289"/>
    </row>
    <row r="217" spans="1:9">
      <c r="A217" s="126">
        <f t="shared" si="3"/>
        <v>211</v>
      </c>
      <c r="B217" s="283"/>
      <c r="D217" s="291" t="s">
        <v>1729</v>
      </c>
      <c r="E217" s="294">
        <v>1</v>
      </c>
      <c r="F217" s="293"/>
      <c r="G217" s="127"/>
      <c r="H217" s="288"/>
      <c r="I217" s="289"/>
    </row>
    <row r="218" spans="1:9">
      <c r="A218" s="126">
        <f t="shared" si="3"/>
        <v>212</v>
      </c>
      <c r="B218" s="283"/>
      <c r="D218" s="291" t="s">
        <v>1730</v>
      </c>
      <c r="E218" s="294">
        <v>1</v>
      </c>
      <c r="F218" s="293"/>
      <c r="G218" s="288"/>
      <c r="H218" s="288"/>
      <c r="I218" s="289"/>
    </row>
    <row r="219" spans="1:9">
      <c r="A219" s="126">
        <f t="shared" si="3"/>
        <v>213</v>
      </c>
      <c r="B219" s="283"/>
      <c r="D219" s="291" t="s">
        <v>1731</v>
      </c>
      <c r="E219" s="294">
        <v>1</v>
      </c>
      <c r="F219" s="293"/>
      <c r="G219" s="288"/>
      <c r="H219" s="288"/>
      <c r="I219" s="289"/>
    </row>
    <row r="220" spans="1:9">
      <c r="A220" s="126">
        <f t="shared" si="3"/>
        <v>214</v>
      </c>
      <c r="B220" s="283" t="s">
        <v>568</v>
      </c>
      <c r="C220" s="290" t="s">
        <v>1732</v>
      </c>
      <c r="D220" s="291" t="s">
        <v>1733</v>
      </c>
      <c r="E220" s="294">
        <v>1</v>
      </c>
      <c r="F220" s="293"/>
      <c r="G220" s="288" t="s">
        <v>1734</v>
      </c>
      <c r="H220" s="288"/>
      <c r="I220" s="289"/>
    </row>
    <row r="221" spans="1:9">
      <c r="A221" s="126">
        <f t="shared" si="3"/>
        <v>215</v>
      </c>
      <c r="B221" s="283" t="s">
        <v>572</v>
      </c>
      <c r="C221" s="290" t="s">
        <v>1735</v>
      </c>
      <c r="D221" s="291" t="s">
        <v>1736</v>
      </c>
      <c r="E221" s="294">
        <v>1</v>
      </c>
      <c r="F221" s="298"/>
      <c r="G221" s="127" t="s">
        <v>1737</v>
      </c>
      <c r="H221" s="288" t="s">
        <v>1738</v>
      </c>
      <c r="I221" s="289"/>
    </row>
    <row r="222" spans="1:9" ht="16.149999999999999" customHeight="1">
      <c r="A222" s="126">
        <f t="shared" si="3"/>
        <v>216</v>
      </c>
      <c r="B222" s="283" t="s">
        <v>574</v>
      </c>
      <c r="C222" s="290" t="s">
        <v>1739</v>
      </c>
      <c r="D222" s="291" t="s">
        <v>1740</v>
      </c>
      <c r="E222" s="294">
        <v>1</v>
      </c>
      <c r="F222" s="293"/>
      <c r="G222" s="288" t="s">
        <v>1741</v>
      </c>
      <c r="H222" s="288"/>
      <c r="I222" s="289"/>
    </row>
    <row r="223" spans="1:9">
      <c r="A223" s="126">
        <f t="shared" si="3"/>
        <v>217</v>
      </c>
      <c r="B223" s="283"/>
      <c r="D223" s="291" t="s">
        <v>1742</v>
      </c>
      <c r="E223" s="294">
        <v>1</v>
      </c>
      <c r="F223" s="293"/>
      <c r="G223" s="288" t="s">
        <v>1618</v>
      </c>
      <c r="H223" s="288"/>
      <c r="I223" s="289"/>
    </row>
    <row r="224" spans="1:9">
      <c r="A224" s="126">
        <f t="shared" si="3"/>
        <v>218</v>
      </c>
      <c r="B224" s="283"/>
      <c r="D224" s="291" t="s">
        <v>1743</v>
      </c>
      <c r="E224" s="294">
        <v>1</v>
      </c>
      <c r="F224" s="293"/>
      <c r="G224" s="288" t="s">
        <v>1744</v>
      </c>
      <c r="H224" s="288" t="s">
        <v>1399</v>
      </c>
      <c r="I224" s="289"/>
    </row>
    <row r="225" spans="1:9">
      <c r="A225" s="126">
        <f t="shared" si="3"/>
        <v>219</v>
      </c>
      <c r="B225" s="283"/>
      <c r="D225" s="291" t="s">
        <v>1745</v>
      </c>
      <c r="E225" s="294">
        <v>1</v>
      </c>
      <c r="F225" s="293"/>
      <c r="G225" s="288"/>
      <c r="H225" s="288"/>
      <c r="I225" s="289"/>
    </row>
    <row r="226" spans="1:9" ht="15.65" customHeight="1">
      <c r="A226" s="126">
        <f t="shared" si="3"/>
        <v>220</v>
      </c>
      <c r="B226" s="283"/>
      <c r="D226" s="291" t="s">
        <v>1746</v>
      </c>
      <c r="E226" s="294">
        <v>1</v>
      </c>
      <c r="F226" s="293"/>
      <c r="G226" s="288"/>
      <c r="H226" s="288"/>
      <c r="I226" s="289"/>
    </row>
    <row r="227" spans="1:9">
      <c r="A227" s="126">
        <f t="shared" si="3"/>
        <v>221</v>
      </c>
      <c r="B227" s="295" t="s">
        <v>1104</v>
      </c>
      <c r="C227" s="127" t="s">
        <v>1747</v>
      </c>
      <c r="D227" s="291"/>
      <c r="E227" s="294"/>
      <c r="F227" s="293"/>
      <c r="G227" s="288" t="s">
        <v>1454</v>
      </c>
      <c r="H227" s="288"/>
      <c r="I227" s="289"/>
    </row>
    <row r="228" spans="1:9">
      <c r="A228" s="126">
        <f t="shared" si="3"/>
        <v>222</v>
      </c>
      <c r="B228" s="295" t="s">
        <v>1748</v>
      </c>
      <c r="C228" s="127" t="s">
        <v>1749</v>
      </c>
      <c r="D228" s="291"/>
      <c r="E228" s="294"/>
      <c r="F228" s="293"/>
      <c r="G228" s="127" t="s">
        <v>1454</v>
      </c>
      <c r="H228" s="288"/>
      <c r="I228" s="289"/>
    </row>
    <row r="229" spans="1:9" ht="26">
      <c r="A229" s="126">
        <f t="shared" si="3"/>
        <v>223</v>
      </c>
      <c r="B229" s="283" t="s">
        <v>1750</v>
      </c>
      <c r="C229" s="290" t="s">
        <v>1751</v>
      </c>
      <c r="D229" s="291" t="s">
        <v>1752</v>
      </c>
      <c r="E229" s="294">
        <v>1</v>
      </c>
      <c r="F229" s="293"/>
      <c r="G229" s="127" t="s">
        <v>1753</v>
      </c>
      <c r="H229" s="288"/>
      <c r="I229" s="289"/>
    </row>
    <row r="230" spans="1:9" ht="16.149999999999999" customHeight="1">
      <c r="A230" s="126">
        <f t="shared" si="3"/>
        <v>224</v>
      </c>
      <c r="B230" s="283"/>
      <c r="D230" s="291" t="s">
        <v>1754</v>
      </c>
      <c r="E230" s="294">
        <v>1</v>
      </c>
      <c r="F230" s="293"/>
      <c r="G230" s="127" t="s">
        <v>1755</v>
      </c>
      <c r="H230" s="288" t="s">
        <v>1756</v>
      </c>
      <c r="I230" s="289"/>
    </row>
    <row r="231" spans="1:9">
      <c r="A231" s="126">
        <f t="shared" si="3"/>
        <v>225</v>
      </c>
      <c r="B231" s="283"/>
      <c r="D231" s="291" t="s">
        <v>1757</v>
      </c>
      <c r="E231" s="294">
        <v>1</v>
      </c>
      <c r="F231" s="293"/>
      <c r="G231" s="288" t="s">
        <v>1758</v>
      </c>
      <c r="H231" s="288" t="s">
        <v>1756</v>
      </c>
      <c r="I231" s="289"/>
    </row>
    <row r="232" spans="1:9">
      <c r="A232" s="126">
        <f t="shared" si="3"/>
        <v>226</v>
      </c>
      <c r="B232" s="283"/>
      <c r="D232" s="291" t="s">
        <v>1759</v>
      </c>
      <c r="E232" s="294">
        <v>1</v>
      </c>
      <c r="F232" s="293"/>
      <c r="G232" s="288" t="s">
        <v>1760</v>
      </c>
      <c r="H232" s="288"/>
      <c r="I232" s="289"/>
    </row>
    <row r="233" spans="1:9">
      <c r="A233" s="126">
        <f t="shared" si="3"/>
        <v>227</v>
      </c>
      <c r="B233" s="283"/>
      <c r="D233" s="291" t="s">
        <v>1761</v>
      </c>
      <c r="E233" s="294">
        <v>1</v>
      </c>
      <c r="F233" s="293"/>
      <c r="G233" s="288"/>
      <c r="H233" s="288"/>
      <c r="I233" s="289"/>
    </row>
    <row r="234" spans="1:9">
      <c r="A234" s="126">
        <f t="shared" si="3"/>
        <v>228</v>
      </c>
      <c r="B234" s="283"/>
      <c r="D234" s="291" t="s">
        <v>1762</v>
      </c>
      <c r="E234" s="294">
        <v>1</v>
      </c>
      <c r="F234" s="293"/>
      <c r="G234" s="127"/>
      <c r="H234" s="288"/>
      <c r="I234" s="289"/>
    </row>
    <row r="235" spans="1:9">
      <c r="A235" s="126">
        <f t="shared" si="3"/>
        <v>229</v>
      </c>
      <c r="B235" s="283"/>
      <c r="D235" s="291" t="s">
        <v>1763</v>
      </c>
      <c r="E235" s="294">
        <v>1</v>
      </c>
      <c r="F235" s="293"/>
      <c r="G235" s="288"/>
      <c r="H235" s="288"/>
      <c r="I235" s="289"/>
    </row>
    <row r="236" spans="1:9">
      <c r="A236" s="126">
        <f t="shared" si="3"/>
        <v>230</v>
      </c>
      <c r="B236" s="283"/>
      <c r="D236" s="291" t="s">
        <v>1764</v>
      </c>
      <c r="E236" s="294">
        <v>1</v>
      </c>
      <c r="F236" s="293"/>
      <c r="G236" s="288"/>
      <c r="H236" s="288"/>
      <c r="I236" s="289"/>
    </row>
    <row r="237" spans="1:9">
      <c r="A237" s="126">
        <f t="shared" si="3"/>
        <v>231</v>
      </c>
      <c r="B237" s="283"/>
      <c r="D237" s="291" t="s">
        <v>1765</v>
      </c>
      <c r="E237" s="294">
        <v>1</v>
      </c>
      <c r="F237" s="293"/>
      <c r="G237" s="288"/>
      <c r="H237" s="288"/>
      <c r="I237" s="289"/>
    </row>
    <row r="238" spans="1:9">
      <c r="A238" s="126">
        <f t="shared" si="3"/>
        <v>232</v>
      </c>
      <c r="B238" s="283" t="s">
        <v>578</v>
      </c>
      <c r="C238" s="290" t="s">
        <v>1766</v>
      </c>
      <c r="D238" s="291" t="s">
        <v>1767</v>
      </c>
      <c r="E238" s="294">
        <v>1</v>
      </c>
      <c r="F238" s="293"/>
      <c r="G238" s="288" t="s">
        <v>1768</v>
      </c>
      <c r="H238" s="288"/>
      <c r="I238" s="289"/>
    </row>
    <row r="239" spans="1:9">
      <c r="A239" s="126">
        <f t="shared" si="3"/>
        <v>233</v>
      </c>
      <c r="B239" s="283"/>
      <c r="D239" s="291" t="s">
        <v>1769</v>
      </c>
      <c r="E239" s="294">
        <v>1</v>
      </c>
      <c r="F239" s="293"/>
      <c r="G239" s="288" t="s">
        <v>1770</v>
      </c>
      <c r="H239" s="288" t="s">
        <v>1771</v>
      </c>
      <c r="I239" s="289"/>
    </row>
    <row r="240" spans="1:9">
      <c r="A240" s="126">
        <f t="shared" si="3"/>
        <v>234</v>
      </c>
      <c r="B240" s="283"/>
      <c r="D240" s="291" t="s">
        <v>1772</v>
      </c>
      <c r="E240" s="294">
        <v>1</v>
      </c>
      <c r="F240" s="293"/>
      <c r="G240" s="288"/>
      <c r="H240" s="288"/>
      <c r="I240" s="289"/>
    </row>
    <row r="241" spans="1:9">
      <c r="A241" s="126">
        <f t="shared" si="3"/>
        <v>235</v>
      </c>
      <c r="B241" s="283" t="s">
        <v>580</v>
      </c>
      <c r="C241" s="290" t="s">
        <v>1773</v>
      </c>
      <c r="D241" s="291" t="s">
        <v>1774</v>
      </c>
      <c r="E241" s="294">
        <v>1</v>
      </c>
      <c r="F241" s="293"/>
      <c r="G241" s="127" t="s">
        <v>1775</v>
      </c>
      <c r="H241" s="288" t="s">
        <v>1776</v>
      </c>
      <c r="I241" s="289"/>
    </row>
    <row r="242" spans="1:9">
      <c r="A242" s="126">
        <f t="shared" si="3"/>
        <v>236</v>
      </c>
      <c r="B242" s="283"/>
      <c r="D242" s="291" t="s">
        <v>1777</v>
      </c>
      <c r="E242" s="294">
        <v>1</v>
      </c>
      <c r="F242" s="293"/>
      <c r="G242" s="127" t="s">
        <v>1778</v>
      </c>
      <c r="H242" s="288"/>
      <c r="I242" s="289"/>
    </row>
    <row r="243" spans="1:9">
      <c r="A243" s="126">
        <f t="shared" si="3"/>
        <v>237</v>
      </c>
      <c r="B243" s="283"/>
      <c r="D243" s="291"/>
      <c r="E243" s="294"/>
      <c r="F243" s="293"/>
      <c r="G243" s="127" t="s">
        <v>1779</v>
      </c>
      <c r="H243" s="288"/>
      <c r="I243" s="289"/>
    </row>
    <row r="244" spans="1:9">
      <c r="A244" s="126">
        <f t="shared" si="3"/>
        <v>238</v>
      </c>
      <c r="B244" s="283" t="s">
        <v>582</v>
      </c>
      <c r="C244" s="290" t="s">
        <v>1780</v>
      </c>
      <c r="D244" s="291" t="s">
        <v>1781</v>
      </c>
      <c r="E244" s="294">
        <v>1</v>
      </c>
      <c r="F244" s="293"/>
      <c r="G244" s="288" t="s">
        <v>1782</v>
      </c>
      <c r="H244" s="288"/>
      <c r="I244" s="289"/>
    </row>
    <row r="245" spans="1:9">
      <c r="A245" s="126">
        <f t="shared" si="3"/>
        <v>239</v>
      </c>
      <c r="B245" s="283"/>
      <c r="D245" s="291" t="s">
        <v>1783</v>
      </c>
      <c r="E245" s="294">
        <v>1</v>
      </c>
      <c r="F245" s="293"/>
      <c r="G245" s="288" t="s">
        <v>1784</v>
      </c>
      <c r="H245" s="288" t="s">
        <v>1412</v>
      </c>
      <c r="I245" s="289"/>
    </row>
    <row r="246" spans="1:9">
      <c r="A246" s="126">
        <f t="shared" si="3"/>
        <v>240</v>
      </c>
      <c r="B246" s="283"/>
      <c r="D246" s="291" t="s">
        <v>1785</v>
      </c>
      <c r="E246" s="294">
        <v>1</v>
      </c>
      <c r="F246" s="293"/>
      <c r="G246" s="288"/>
      <c r="H246" s="288"/>
      <c r="I246" s="289"/>
    </row>
    <row r="247" spans="1:9">
      <c r="A247" s="126">
        <f t="shared" si="3"/>
        <v>241</v>
      </c>
      <c r="B247" s="283"/>
      <c r="D247" s="291" t="s">
        <v>1786</v>
      </c>
      <c r="E247" s="294">
        <v>1</v>
      </c>
      <c r="F247" s="293"/>
      <c r="G247" s="127"/>
      <c r="H247" s="288"/>
      <c r="I247" s="289"/>
    </row>
    <row r="248" spans="1:9">
      <c r="A248" s="126">
        <f t="shared" si="3"/>
        <v>242</v>
      </c>
      <c r="B248" s="283"/>
      <c r="D248" s="291" t="s">
        <v>1787</v>
      </c>
      <c r="E248" s="294">
        <v>1</v>
      </c>
      <c r="F248" s="293"/>
      <c r="G248" s="288"/>
      <c r="H248" s="288"/>
      <c r="I248" s="289"/>
    </row>
    <row r="249" spans="1:9">
      <c r="A249" s="126">
        <f t="shared" si="3"/>
        <v>243</v>
      </c>
      <c r="B249" s="283" t="s">
        <v>584</v>
      </c>
      <c r="C249" s="290" t="s">
        <v>1788</v>
      </c>
      <c r="D249" s="291" t="s">
        <v>1789</v>
      </c>
      <c r="E249" s="294">
        <v>1</v>
      </c>
      <c r="F249" s="293" t="s">
        <v>1790</v>
      </c>
      <c r="G249" s="288"/>
      <c r="H249" s="288"/>
      <c r="I249" s="289"/>
    </row>
    <row r="250" spans="1:9">
      <c r="A250" s="126">
        <f t="shared" si="3"/>
        <v>244</v>
      </c>
      <c r="B250" s="283"/>
      <c r="D250" s="291" t="s">
        <v>1791</v>
      </c>
      <c r="E250" s="294">
        <v>1</v>
      </c>
      <c r="F250" s="293"/>
      <c r="G250" s="288"/>
      <c r="H250" s="288"/>
      <c r="I250" s="289"/>
    </row>
    <row r="251" spans="1:9">
      <c r="A251" s="126">
        <f t="shared" si="3"/>
        <v>245</v>
      </c>
      <c r="B251" s="283"/>
      <c r="D251" s="291" t="s">
        <v>1792</v>
      </c>
      <c r="E251" s="294">
        <v>1</v>
      </c>
      <c r="F251" s="293"/>
      <c r="G251" s="288"/>
      <c r="H251" s="288"/>
      <c r="I251" s="289"/>
    </row>
    <row r="252" spans="1:9">
      <c r="A252" s="126">
        <f t="shared" si="3"/>
        <v>246</v>
      </c>
      <c r="B252" s="283"/>
      <c r="D252" s="291" t="s">
        <v>1793</v>
      </c>
      <c r="E252" s="294">
        <v>1</v>
      </c>
      <c r="F252" s="293"/>
      <c r="G252" s="288"/>
      <c r="H252" s="288"/>
      <c r="I252" s="289"/>
    </row>
    <row r="253" spans="1:9">
      <c r="A253" s="126">
        <f t="shared" si="3"/>
        <v>247</v>
      </c>
      <c r="B253" s="283" t="s">
        <v>590</v>
      </c>
      <c r="C253" s="290" t="s">
        <v>1794</v>
      </c>
      <c r="D253" s="291" t="s">
        <v>1795</v>
      </c>
      <c r="E253" s="294">
        <v>1</v>
      </c>
      <c r="F253" s="293"/>
      <c r="G253" s="296" t="s">
        <v>1796</v>
      </c>
      <c r="H253" s="288"/>
      <c r="I253" s="289"/>
    </row>
    <row r="254" spans="1:9">
      <c r="A254" s="126">
        <f t="shared" si="3"/>
        <v>248</v>
      </c>
      <c r="B254" s="283"/>
      <c r="D254" s="291" t="s">
        <v>1797</v>
      </c>
      <c r="E254" s="294">
        <v>1</v>
      </c>
      <c r="F254" s="293"/>
      <c r="G254" s="290" t="s">
        <v>1798</v>
      </c>
      <c r="H254" s="288" t="s">
        <v>1799</v>
      </c>
      <c r="I254" s="289"/>
    </row>
    <row r="255" spans="1:9">
      <c r="A255" s="126">
        <f t="shared" si="3"/>
        <v>249</v>
      </c>
      <c r="B255" s="283" t="s">
        <v>592</v>
      </c>
      <c r="C255" s="290" t="s">
        <v>1800</v>
      </c>
      <c r="D255" s="291" t="s">
        <v>1801</v>
      </c>
      <c r="E255" s="294">
        <v>1</v>
      </c>
      <c r="F255" s="293"/>
      <c r="G255" s="296" t="s">
        <v>1802</v>
      </c>
      <c r="H255" s="288"/>
      <c r="I255" s="289" t="s">
        <v>1803</v>
      </c>
    </row>
    <row r="256" spans="1:9">
      <c r="A256" s="126">
        <f t="shared" si="3"/>
        <v>250</v>
      </c>
      <c r="B256" s="283"/>
      <c r="D256" s="291" t="s">
        <v>1496</v>
      </c>
      <c r="E256" s="294">
        <v>1</v>
      </c>
      <c r="F256" s="293"/>
      <c r="G256" s="127" t="s">
        <v>1804</v>
      </c>
      <c r="H256" s="288"/>
      <c r="I256" s="289"/>
    </row>
    <row r="257" spans="1:9" ht="16.149999999999999" customHeight="1">
      <c r="A257" s="126">
        <f t="shared" si="3"/>
        <v>251</v>
      </c>
      <c r="B257" s="283"/>
      <c r="D257" s="291" t="s">
        <v>1805</v>
      </c>
      <c r="E257" s="294">
        <v>1</v>
      </c>
      <c r="F257" s="293"/>
      <c r="G257" s="127" t="s">
        <v>1806</v>
      </c>
      <c r="H257" s="288" t="s">
        <v>1807</v>
      </c>
      <c r="I257" s="289"/>
    </row>
    <row r="258" spans="1:9">
      <c r="A258" s="126">
        <f t="shared" si="3"/>
        <v>252</v>
      </c>
      <c r="B258" s="283"/>
      <c r="D258" s="291" t="s">
        <v>1808</v>
      </c>
      <c r="E258" s="294">
        <v>1</v>
      </c>
      <c r="F258" s="293"/>
      <c r="G258" s="127"/>
      <c r="H258" s="288"/>
      <c r="I258" s="289"/>
    </row>
    <row r="259" spans="1:9">
      <c r="A259" s="126">
        <f t="shared" si="3"/>
        <v>253</v>
      </c>
      <c r="B259" s="283"/>
      <c r="D259" s="291" t="s">
        <v>1809</v>
      </c>
      <c r="E259" s="294">
        <v>1</v>
      </c>
      <c r="F259" s="293"/>
      <c r="G259" s="288"/>
      <c r="H259" s="288"/>
      <c r="I259" s="289"/>
    </row>
    <row r="260" spans="1:9">
      <c r="A260" s="126">
        <f t="shared" si="3"/>
        <v>254</v>
      </c>
      <c r="B260" s="283"/>
      <c r="D260" s="291" t="s">
        <v>1810</v>
      </c>
      <c r="E260" s="294">
        <v>1</v>
      </c>
      <c r="F260" s="293"/>
      <c r="G260" s="288"/>
      <c r="H260" s="288"/>
      <c r="I260" s="289"/>
    </row>
    <row r="261" spans="1:9">
      <c r="A261" s="126">
        <f t="shared" si="3"/>
        <v>255</v>
      </c>
      <c r="B261" s="283"/>
      <c r="D261" s="291" t="s">
        <v>1811</v>
      </c>
      <c r="E261" s="294">
        <v>1</v>
      </c>
      <c r="F261" s="293"/>
      <c r="G261" s="288"/>
      <c r="H261" s="288"/>
      <c r="I261" s="289"/>
    </row>
    <row r="262" spans="1:9">
      <c r="A262" s="126">
        <f t="shared" si="3"/>
        <v>256</v>
      </c>
      <c r="B262" s="283" t="s">
        <v>594</v>
      </c>
      <c r="C262" s="290" t="s">
        <v>1812</v>
      </c>
      <c r="D262" s="291" t="s">
        <v>1813</v>
      </c>
      <c r="E262" s="294">
        <v>1</v>
      </c>
      <c r="F262" s="293"/>
      <c r="G262" s="127" t="s">
        <v>1814</v>
      </c>
      <c r="H262" s="288"/>
      <c r="I262" s="289"/>
    </row>
    <row r="263" spans="1:9">
      <c r="A263" s="126">
        <f t="shared" si="3"/>
        <v>257</v>
      </c>
      <c r="B263" s="283"/>
      <c r="D263" s="291" t="s">
        <v>1815</v>
      </c>
      <c r="E263" s="294">
        <v>1</v>
      </c>
      <c r="F263" s="293"/>
      <c r="G263" s="288"/>
      <c r="H263" s="288"/>
      <c r="I263" s="289"/>
    </row>
    <row r="264" spans="1:9">
      <c r="A264" s="126">
        <f t="shared" ref="A264:A327" si="4">A263+1</f>
        <v>258</v>
      </c>
      <c r="B264" s="283" t="s">
        <v>598</v>
      </c>
      <c r="C264" s="290" t="s">
        <v>1816</v>
      </c>
      <c r="D264" s="291" t="s">
        <v>2369</v>
      </c>
      <c r="E264" s="294" t="s">
        <v>1817</v>
      </c>
      <c r="F264" s="293" t="s">
        <v>1818</v>
      </c>
      <c r="G264" s="288"/>
      <c r="H264" s="288"/>
      <c r="I264" s="289"/>
    </row>
    <row r="265" spans="1:9">
      <c r="A265" s="126">
        <f t="shared" si="4"/>
        <v>259</v>
      </c>
      <c r="B265" s="283" t="s">
        <v>596</v>
      </c>
      <c r="C265" s="290" t="s">
        <v>1819</v>
      </c>
      <c r="D265" s="291" t="s">
        <v>1820</v>
      </c>
      <c r="E265" s="294">
        <v>1</v>
      </c>
      <c r="F265" s="293"/>
      <c r="G265" s="288"/>
      <c r="H265" s="288"/>
      <c r="I265" s="289"/>
    </row>
    <row r="266" spans="1:9">
      <c r="A266" s="126">
        <f t="shared" si="4"/>
        <v>260</v>
      </c>
      <c r="B266" s="283"/>
      <c r="D266" s="291" t="s">
        <v>1496</v>
      </c>
      <c r="E266" s="294">
        <v>1</v>
      </c>
      <c r="F266" s="293"/>
      <c r="G266" s="288"/>
      <c r="H266" s="288"/>
      <c r="I266" s="289"/>
    </row>
    <row r="267" spans="1:9" ht="26">
      <c r="A267" s="126">
        <f t="shared" si="4"/>
        <v>261</v>
      </c>
      <c r="B267" s="283"/>
      <c r="D267" s="291" t="s">
        <v>1821</v>
      </c>
      <c r="E267" s="294">
        <v>1</v>
      </c>
      <c r="F267" s="293"/>
      <c r="G267" s="288"/>
      <c r="H267" s="288"/>
      <c r="I267" s="289"/>
    </row>
    <row r="268" spans="1:9">
      <c r="A268" s="126">
        <f t="shared" si="4"/>
        <v>262</v>
      </c>
      <c r="B268" s="283"/>
      <c r="D268" s="291" t="s">
        <v>1822</v>
      </c>
      <c r="E268" s="294">
        <v>1</v>
      </c>
      <c r="F268" s="293"/>
      <c r="G268" s="288"/>
      <c r="H268" s="288"/>
      <c r="I268" s="289"/>
    </row>
    <row r="269" spans="1:9">
      <c r="A269" s="126">
        <f t="shared" si="4"/>
        <v>263</v>
      </c>
      <c r="B269" s="283"/>
      <c r="D269" s="291" t="s">
        <v>1823</v>
      </c>
      <c r="E269" s="294">
        <v>1</v>
      </c>
      <c r="F269" s="293"/>
      <c r="G269" s="127"/>
      <c r="H269" s="288"/>
      <c r="I269" s="289"/>
    </row>
    <row r="270" spans="1:9">
      <c r="A270" s="126">
        <f t="shared" si="4"/>
        <v>264</v>
      </c>
      <c r="B270" s="283"/>
      <c r="D270" s="291" t="s">
        <v>1824</v>
      </c>
      <c r="E270" s="294">
        <v>1</v>
      </c>
      <c r="F270" s="293"/>
      <c r="G270" s="127"/>
      <c r="H270" s="288"/>
      <c r="I270" s="289"/>
    </row>
    <row r="271" spans="1:9">
      <c r="A271" s="126">
        <f t="shared" si="4"/>
        <v>265</v>
      </c>
      <c r="B271" s="283"/>
      <c r="D271" s="291" t="s">
        <v>1825</v>
      </c>
      <c r="E271" s="294">
        <v>1</v>
      </c>
      <c r="F271" s="293"/>
      <c r="G271" s="127"/>
      <c r="H271" s="288"/>
      <c r="I271" s="289"/>
    </row>
    <row r="272" spans="1:9">
      <c r="A272" s="126">
        <f t="shared" si="4"/>
        <v>266</v>
      </c>
      <c r="B272" s="283" t="s">
        <v>1166</v>
      </c>
      <c r="C272" s="290" t="s">
        <v>1826</v>
      </c>
      <c r="D272" s="291" t="s">
        <v>1827</v>
      </c>
      <c r="E272" s="294">
        <v>1</v>
      </c>
      <c r="F272" s="293"/>
      <c r="G272" s="288"/>
      <c r="H272" s="288"/>
      <c r="I272" s="289"/>
    </row>
    <row r="273" spans="1:9" ht="18" customHeight="1">
      <c r="A273" s="126">
        <f t="shared" si="4"/>
        <v>267</v>
      </c>
      <c r="B273" s="283" t="s">
        <v>600</v>
      </c>
      <c r="C273" s="290" t="s">
        <v>1828</v>
      </c>
      <c r="D273" s="291" t="s">
        <v>1829</v>
      </c>
      <c r="E273" s="294">
        <v>1</v>
      </c>
      <c r="F273" s="293"/>
      <c r="G273" s="288"/>
      <c r="H273" s="288"/>
      <c r="I273" s="289"/>
    </row>
    <row r="274" spans="1:9">
      <c r="A274" s="126">
        <f t="shared" si="4"/>
        <v>268</v>
      </c>
      <c r="B274" s="283"/>
      <c r="D274" s="291" t="s">
        <v>1830</v>
      </c>
      <c r="E274" s="299">
        <v>1</v>
      </c>
      <c r="F274" s="293"/>
      <c r="G274" s="288"/>
      <c r="H274" s="288"/>
      <c r="I274" s="289"/>
    </row>
    <row r="275" spans="1:9">
      <c r="A275" s="126">
        <f t="shared" si="4"/>
        <v>269</v>
      </c>
      <c r="B275" s="283" t="s">
        <v>602</v>
      </c>
      <c r="C275" s="290" t="s">
        <v>1831</v>
      </c>
      <c r="D275" s="291" t="s">
        <v>1832</v>
      </c>
      <c r="E275" s="294">
        <v>1</v>
      </c>
      <c r="F275" s="293"/>
      <c r="G275" s="127" t="s">
        <v>1833</v>
      </c>
      <c r="H275" s="288" t="s">
        <v>1834</v>
      </c>
      <c r="I275" s="289"/>
    </row>
    <row r="276" spans="1:9">
      <c r="A276" s="126">
        <f t="shared" si="4"/>
        <v>270</v>
      </c>
      <c r="B276" s="283"/>
      <c r="D276" s="291" t="s">
        <v>1835</v>
      </c>
      <c r="E276" s="294">
        <v>1</v>
      </c>
      <c r="F276" s="293"/>
      <c r="G276" s="288"/>
      <c r="H276" s="288"/>
      <c r="I276" s="289"/>
    </row>
    <row r="277" spans="1:9">
      <c r="A277" s="126">
        <f t="shared" si="4"/>
        <v>271</v>
      </c>
      <c r="B277" s="283"/>
      <c r="D277" s="291" t="s">
        <v>1836</v>
      </c>
      <c r="E277" s="294">
        <v>1</v>
      </c>
      <c r="F277" s="293"/>
      <c r="G277" s="288"/>
      <c r="H277" s="288"/>
      <c r="I277" s="289"/>
    </row>
    <row r="278" spans="1:9">
      <c r="A278" s="126">
        <f t="shared" si="4"/>
        <v>272</v>
      </c>
      <c r="B278" s="283"/>
      <c r="D278" s="291" t="s">
        <v>1837</v>
      </c>
      <c r="E278" s="294">
        <v>1</v>
      </c>
      <c r="F278" s="293"/>
      <c r="G278" s="288"/>
      <c r="H278" s="288"/>
      <c r="I278" s="289"/>
    </row>
    <row r="279" spans="1:9">
      <c r="A279" s="126">
        <f t="shared" si="4"/>
        <v>273</v>
      </c>
      <c r="B279" s="283"/>
      <c r="D279" s="291" t="s">
        <v>1838</v>
      </c>
      <c r="E279" s="294">
        <v>1</v>
      </c>
      <c r="F279" s="293"/>
      <c r="G279" s="288"/>
      <c r="H279" s="288"/>
      <c r="I279" s="289"/>
    </row>
    <row r="280" spans="1:9">
      <c r="A280" s="126">
        <f t="shared" si="4"/>
        <v>274</v>
      </c>
      <c r="B280" s="283" t="s">
        <v>604</v>
      </c>
      <c r="C280" s="290" t="s">
        <v>1839</v>
      </c>
      <c r="D280" s="291" t="s">
        <v>1840</v>
      </c>
      <c r="E280" s="294">
        <v>1</v>
      </c>
      <c r="F280" s="293"/>
      <c r="G280" s="288" t="s">
        <v>1841</v>
      </c>
      <c r="H280" s="288"/>
      <c r="I280" s="289"/>
    </row>
    <row r="281" spans="1:9">
      <c r="A281" s="126">
        <f t="shared" si="4"/>
        <v>275</v>
      </c>
      <c r="B281" s="283"/>
      <c r="D281" s="291" t="s">
        <v>1496</v>
      </c>
      <c r="E281" s="294">
        <v>1</v>
      </c>
      <c r="F281" s="293"/>
      <c r="G281" s="288" t="s">
        <v>1842</v>
      </c>
      <c r="H281" s="288"/>
      <c r="I281" s="289"/>
    </row>
    <row r="282" spans="1:9">
      <c r="A282" s="126">
        <f t="shared" si="4"/>
        <v>276</v>
      </c>
      <c r="B282" s="283"/>
      <c r="D282" s="291" t="s">
        <v>1843</v>
      </c>
      <c r="E282" s="294">
        <v>1</v>
      </c>
      <c r="F282" s="293"/>
      <c r="G282" s="127" t="s">
        <v>1844</v>
      </c>
      <c r="H282" s="288"/>
      <c r="I282" s="289"/>
    </row>
    <row r="283" spans="1:9">
      <c r="A283" s="126">
        <f t="shared" si="4"/>
        <v>277</v>
      </c>
      <c r="B283" s="283"/>
      <c r="D283" s="291" t="s">
        <v>1845</v>
      </c>
      <c r="E283" s="294">
        <v>1</v>
      </c>
      <c r="F283" s="293"/>
      <c r="G283" s="127"/>
      <c r="H283" s="288"/>
      <c r="I283" s="289"/>
    </row>
    <row r="284" spans="1:9">
      <c r="A284" s="126">
        <f t="shared" si="4"/>
        <v>278</v>
      </c>
      <c r="B284" s="283" t="s">
        <v>606</v>
      </c>
      <c r="C284" s="290" t="s">
        <v>1846</v>
      </c>
      <c r="D284" s="291" t="s">
        <v>1847</v>
      </c>
      <c r="E284" s="294">
        <v>1</v>
      </c>
      <c r="F284" s="293"/>
      <c r="G284" s="127" t="s">
        <v>1848</v>
      </c>
      <c r="H284" s="288" t="s">
        <v>1399</v>
      </c>
      <c r="I284" s="289"/>
    </row>
    <row r="285" spans="1:9">
      <c r="A285" s="126">
        <f t="shared" si="4"/>
        <v>279</v>
      </c>
      <c r="B285" s="283"/>
      <c r="D285" s="291" t="s">
        <v>1849</v>
      </c>
      <c r="E285" s="294">
        <v>1</v>
      </c>
      <c r="F285" s="293"/>
      <c r="G285" s="288"/>
      <c r="H285" s="288"/>
      <c r="I285" s="289"/>
    </row>
    <row r="286" spans="1:9" ht="26">
      <c r="A286" s="126">
        <f t="shared" si="4"/>
        <v>280</v>
      </c>
      <c r="B286" s="283"/>
      <c r="D286" s="291" t="s">
        <v>1373</v>
      </c>
      <c r="E286" s="294" t="s">
        <v>1374</v>
      </c>
      <c r="F286" s="293" t="s">
        <v>1850</v>
      </c>
      <c r="G286" s="288"/>
      <c r="H286" s="288"/>
      <c r="I286" s="289"/>
    </row>
    <row r="287" spans="1:9">
      <c r="A287" s="126">
        <f t="shared" si="4"/>
        <v>281</v>
      </c>
      <c r="B287" s="283" t="s">
        <v>1851</v>
      </c>
      <c r="C287" s="290" t="s">
        <v>1852</v>
      </c>
      <c r="D287" s="291"/>
      <c r="E287" s="294"/>
      <c r="F287" s="293"/>
      <c r="G287" s="288" t="s">
        <v>1454</v>
      </c>
      <c r="H287" s="288"/>
      <c r="I287" s="289"/>
    </row>
    <row r="288" spans="1:9">
      <c r="A288" s="126">
        <f t="shared" si="4"/>
        <v>282</v>
      </c>
      <c r="B288" s="283" t="s">
        <v>610</v>
      </c>
      <c r="C288" s="290" t="s">
        <v>1853</v>
      </c>
      <c r="D288" s="291" t="s">
        <v>1581</v>
      </c>
      <c r="E288" s="294">
        <v>1</v>
      </c>
      <c r="F288" s="293"/>
      <c r="G288" s="127" t="s">
        <v>1854</v>
      </c>
      <c r="H288" s="288"/>
      <c r="I288" s="289"/>
    </row>
    <row r="289" spans="1:9" ht="26">
      <c r="A289" s="126">
        <f t="shared" si="4"/>
        <v>283</v>
      </c>
      <c r="B289" s="283" t="s">
        <v>612</v>
      </c>
      <c r="C289" s="290" t="s">
        <v>1855</v>
      </c>
      <c r="D289" s="291" t="s">
        <v>1856</v>
      </c>
      <c r="E289" s="294">
        <v>1</v>
      </c>
      <c r="F289" s="293"/>
      <c r="G289" s="288" t="s">
        <v>1857</v>
      </c>
      <c r="H289" s="288"/>
      <c r="I289" s="289" t="s">
        <v>1858</v>
      </c>
    </row>
    <row r="290" spans="1:9">
      <c r="A290" s="126">
        <f t="shared" si="4"/>
        <v>284</v>
      </c>
      <c r="B290" s="283"/>
      <c r="D290" s="291" t="s">
        <v>1859</v>
      </c>
      <c r="E290" s="294">
        <v>1</v>
      </c>
      <c r="F290" s="293"/>
      <c r="G290" s="288"/>
      <c r="H290" s="288"/>
      <c r="I290" s="289"/>
    </row>
    <row r="291" spans="1:9">
      <c r="A291" s="126">
        <f t="shared" si="4"/>
        <v>285</v>
      </c>
      <c r="B291" s="283"/>
      <c r="D291" s="291" t="s">
        <v>1860</v>
      </c>
      <c r="E291" s="294">
        <v>1</v>
      </c>
      <c r="F291" s="293"/>
      <c r="G291" s="288"/>
      <c r="H291" s="288"/>
      <c r="I291" s="289"/>
    </row>
    <row r="292" spans="1:9" ht="16.149999999999999" customHeight="1">
      <c r="A292" s="126">
        <f t="shared" si="4"/>
        <v>286</v>
      </c>
      <c r="B292" s="283"/>
      <c r="D292" s="291" t="s">
        <v>1861</v>
      </c>
      <c r="E292" s="294">
        <v>1</v>
      </c>
      <c r="F292" s="293"/>
      <c r="G292" s="288"/>
      <c r="H292" s="288"/>
      <c r="I292" s="289"/>
    </row>
    <row r="293" spans="1:9">
      <c r="A293" s="126">
        <f t="shared" si="4"/>
        <v>287</v>
      </c>
      <c r="B293" s="283"/>
      <c r="D293" s="291" t="s">
        <v>1862</v>
      </c>
      <c r="E293" s="294">
        <v>1</v>
      </c>
      <c r="F293" s="293"/>
      <c r="G293" s="288"/>
      <c r="H293" s="288"/>
      <c r="I293" s="289"/>
    </row>
    <row r="294" spans="1:9">
      <c r="A294" s="126">
        <f t="shared" si="4"/>
        <v>288</v>
      </c>
      <c r="B294" s="283"/>
      <c r="D294" s="291" t="s">
        <v>1863</v>
      </c>
      <c r="E294" s="294">
        <v>1</v>
      </c>
      <c r="F294" s="293"/>
      <c r="G294" s="288"/>
      <c r="H294" s="288"/>
      <c r="I294" s="289"/>
    </row>
    <row r="295" spans="1:9">
      <c r="A295" s="126">
        <f t="shared" si="4"/>
        <v>289</v>
      </c>
      <c r="B295" s="283"/>
      <c r="D295" s="291" t="s">
        <v>1644</v>
      </c>
      <c r="E295" s="294">
        <v>1</v>
      </c>
      <c r="F295" s="293"/>
      <c r="G295" s="127"/>
      <c r="H295" s="288"/>
      <c r="I295" s="289"/>
    </row>
    <row r="296" spans="1:9">
      <c r="A296" s="126">
        <f t="shared" si="4"/>
        <v>290</v>
      </c>
      <c r="B296" s="283" t="s">
        <v>614</v>
      </c>
      <c r="C296" s="290" t="s">
        <v>1864</v>
      </c>
      <c r="D296" s="291" t="s">
        <v>1865</v>
      </c>
      <c r="E296" s="294">
        <v>1</v>
      </c>
      <c r="F296" s="293"/>
      <c r="G296" s="288" t="s">
        <v>1866</v>
      </c>
      <c r="H296" s="288" t="s">
        <v>1867</v>
      </c>
      <c r="I296" s="289"/>
    </row>
    <row r="297" spans="1:9">
      <c r="A297" s="126">
        <f t="shared" si="4"/>
        <v>291</v>
      </c>
      <c r="B297" s="283"/>
      <c r="D297" s="291" t="s">
        <v>1618</v>
      </c>
      <c r="E297" s="294" t="s">
        <v>1374</v>
      </c>
      <c r="F297" s="293" t="s">
        <v>1868</v>
      </c>
      <c r="G297" s="127"/>
      <c r="H297" s="288"/>
      <c r="I297" s="289"/>
    </row>
    <row r="298" spans="1:9">
      <c r="A298" s="126">
        <f t="shared" si="4"/>
        <v>292</v>
      </c>
      <c r="B298" s="283"/>
      <c r="D298" s="291" t="s">
        <v>1869</v>
      </c>
      <c r="E298" s="294">
        <v>1</v>
      </c>
      <c r="F298" s="293"/>
      <c r="G298" s="127"/>
      <c r="H298" s="288"/>
      <c r="I298" s="289"/>
    </row>
    <row r="299" spans="1:9">
      <c r="A299" s="126">
        <f t="shared" si="4"/>
        <v>293</v>
      </c>
      <c r="B299" s="283" t="s">
        <v>616</v>
      </c>
      <c r="C299" s="290" t="s">
        <v>1870</v>
      </c>
      <c r="D299" s="291" t="s">
        <v>1871</v>
      </c>
      <c r="E299" s="294">
        <v>1</v>
      </c>
      <c r="F299" s="293"/>
      <c r="G299" s="127" t="s">
        <v>1872</v>
      </c>
      <c r="H299" s="288" t="s">
        <v>1873</v>
      </c>
      <c r="I299" s="289"/>
    </row>
    <row r="300" spans="1:9">
      <c r="A300" s="126">
        <f t="shared" si="4"/>
        <v>294</v>
      </c>
      <c r="B300" s="283"/>
      <c r="D300" s="291" t="s">
        <v>1618</v>
      </c>
      <c r="E300" s="294" t="s">
        <v>1374</v>
      </c>
      <c r="F300" s="293" t="s">
        <v>1874</v>
      </c>
      <c r="G300" s="288"/>
      <c r="H300" s="288"/>
      <c r="I300" s="289"/>
    </row>
    <row r="301" spans="1:9">
      <c r="A301" s="126">
        <f t="shared" si="4"/>
        <v>295</v>
      </c>
      <c r="B301" s="283"/>
      <c r="D301" s="291" t="s">
        <v>1875</v>
      </c>
      <c r="E301" s="294" t="s">
        <v>1374</v>
      </c>
      <c r="F301" s="293" t="s">
        <v>1874</v>
      </c>
      <c r="G301" s="288"/>
      <c r="H301" s="288"/>
      <c r="I301" s="289"/>
    </row>
    <row r="302" spans="1:9">
      <c r="A302" s="126">
        <f t="shared" si="4"/>
        <v>296</v>
      </c>
      <c r="B302" s="283"/>
      <c r="D302" s="291" t="s">
        <v>1876</v>
      </c>
      <c r="E302" s="294">
        <v>1</v>
      </c>
      <c r="F302" s="293"/>
      <c r="G302" s="288"/>
      <c r="H302" s="288"/>
      <c r="I302" s="289"/>
    </row>
    <row r="303" spans="1:9">
      <c r="A303" s="126">
        <f t="shared" si="4"/>
        <v>297</v>
      </c>
      <c r="B303" s="283" t="s">
        <v>618</v>
      </c>
      <c r="C303" s="290" t="s">
        <v>1877</v>
      </c>
      <c r="D303" s="291" t="s">
        <v>1878</v>
      </c>
      <c r="E303" s="294">
        <v>1</v>
      </c>
      <c r="F303" s="293"/>
      <c r="G303" s="127"/>
      <c r="H303" s="288"/>
      <c r="I303" s="289"/>
    </row>
    <row r="304" spans="1:9">
      <c r="A304" s="126">
        <f t="shared" si="4"/>
        <v>298</v>
      </c>
      <c r="B304" s="283" t="s">
        <v>1879</v>
      </c>
      <c r="C304" s="290" t="s">
        <v>1880</v>
      </c>
      <c r="D304" s="291" t="s">
        <v>1881</v>
      </c>
      <c r="E304" s="294">
        <v>1</v>
      </c>
      <c r="F304" s="293"/>
      <c r="G304" s="288"/>
      <c r="H304" s="288"/>
      <c r="I304" s="289"/>
    </row>
    <row r="305" spans="1:9">
      <c r="A305" s="126">
        <f t="shared" si="4"/>
        <v>299</v>
      </c>
      <c r="B305" s="283" t="s">
        <v>620</v>
      </c>
      <c r="C305" s="290" t="s">
        <v>1882</v>
      </c>
      <c r="D305" s="300" t="s">
        <v>1581</v>
      </c>
      <c r="E305" s="294">
        <v>1</v>
      </c>
      <c r="F305" s="293"/>
      <c r="G305" s="288" t="s">
        <v>1883</v>
      </c>
      <c r="H305" s="288"/>
      <c r="I305" s="289"/>
    </row>
    <row r="306" spans="1:9">
      <c r="A306" s="126">
        <f t="shared" si="4"/>
        <v>300</v>
      </c>
      <c r="B306" s="283" t="s">
        <v>622</v>
      </c>
      <c r="C306" s="290" t="s">
        <v>1884</v>
      </c>
      <c r="D306" s="291" t="s">
        <v>1885</v>
      </c>
      <c r="E306" s="294">
        <v>1</v>
      </c>
      <c r="F306" s="293"/>
      <c r="G306" s="288" t="s">
        <v>1886</v>
      </c>
      <c r="H306" s="288"/>
      <c r="I306" s="289"/>
    </row>
    <row r="307" spans="1:9">
      <c r="A307" s="126">
        <f t="shared" si="4"/>
        <v>301</v>
      </c>
      <c r="B307" s="283"/>
      <c r="D307" s="291" t="s">
        <v>1887</v>
      </c>
      <c r="E307" s="294">
        <v>1</v>
      </c>
      <c r="F307" s="293"/>
      <c r="G307" s="288" t="s">
        <v>1888</v>
      </c>
      <c r="H307" s="288" t="s">
        <v>1640</v>
      </c>
      <c r="I307" s="289"/>
    </row>
    <row r="308" spans="1:9">
      <c r="A308" s="126">
        <f t="shared" si="4"/>
        <v>302</v>
      </c>
      <c r="B308" s="283" t="s">
        <v>624</v>
      </c>
      <c r="C308" s="290" t="s">
        <v>1889</v>
      </c>
      <c r="D308" s="291" t="s">
        <v>1890</v>
      </c>
      <c r="E308" s="294">
        <v>1</v>
      </c>
      <c r="F308" s="293"/>
      <c r="G308" s="288" t="s">
        <v>1891</v>
      </c>
      <c r="H308" s="288"/>
      <c r="I308" s="289"/>
    </row>
    <row r="309" spans="1:9">
      <c r="A309" s="126">
        <f t="shared" si="4"/>
        <v>303</v>
      </c>
      <c r="B309" s="283"/>
      <c r="D309" s="291" t="s">
        <v>1892</v>
      </c>
      <c r="E309" s="294">
        <v>1</v>
      </c>
      <c r="F309" s="293"/>
      <c r="G309" s="288" t="s">
        <v>1893</v>
      </c>
      <c r="H309" s="288" t="s">
        <v>1894</v>
      </c>
      <c r="I309" s="289"/>
    </row>
    <row r="310" spans="1:9">
      <c r="A310" s="126">
        <f t="shared" si="4"/>
        <v>304</v>
      </c>
      <c r="B310" s="283"/>
      <c r="D310" s="291" t="s">
        <v>1895</v>
      </c>
      <c r="E310" s="294">
        <v>1</v>
      </c>
      <c r="F310" s="293"/>
      <c r="G310" s="127"/>
      <c r="H310" s="288"/>
      <c r="I310" s="289"/>
    </row>
    <row r="311" spans="1:9" ht="26">
      <c r="A311" s="126">
        <f t="shared" si="4"/>
        <v>305</v>
      </c>
      <c r="B311" s="283"/>
      <c r="D311" s="291" t="s">
        <v>1896</v>
      </c>
      <c r="E311" s="294" t="s">
        <v>1374</v>
      </c>
      <c r="F311" s="293" t="s">
        <v>1897</v>
      </c>
      <c r="G311" s="127"/>
      <c r="H311" s="288"/>
      <c r="I311" s="289"/>
    </row>
    <row r="312" spans="1:9">
      <c r="A312" s="126">
        <f t="shared" si="4"/>
        <v>306</v>
      </c>
      <c r="B312" s="283"/>
      <c r="D312" s="291" t="s">
        <v>1898</v>
      </c>
      <c r="E312" s="294">
        <v>1</v>
      </c>
      <c r="F312" s="293"/>
      <c r="G312" s="127"/>
      <c r="H312" s="288"/>
      <c r="I312" s="289"/>
    </row>
    <row r="313" spans="1:9">
      <c r="A313" s="126">
        <f t="shared" si="4"/>
        <v>307</v>
      </c>
      <c r="B313" s="283" t="s">
        <v>626</v>
      </c>
      <c r="C313" s="290" t="s">
        <v>1899</v>
      </c>
      <c r="D313" s="291" t="s">
        <v>1900</v>
      </c>
      <c r="E313" s="294">
        <v>1</v>
      </c>
      <c r="F313" s="293"/>
      <c r="G313" s="288" t="s">
        <v>1901</v>
      </c>
      <c r="H313" s="288"/>
      <c r="I313" s="289"/>
    </row>
    <row r="314" spans="1:9">
      <c r="A314" s="126">
        <f t="shared" si="4"/>
        <v>308</v>
      </c>
      <c r="B314" s="283" t="s">
        <v>628</v>
      </c>
      <c r="C314" s="290" t="s">
        <v>1902</v>
      </c>
      <c r="D314" s="291" t="s">
        <v>1903</v>
      </c>
      <c r="E314" s="294">
        <v>1</v>
      </c>
      <c r="F314" s="293"/>
      <c r="G314" s="288" t="s">
        <v>1904</v>
      </c>
      <c r="H314" s="288"/>
      <c r="I314" s="289"/>
    </row>
    <row r="315" spans="1:9">
      <c r="A315" s="126">
        <f t="shared" si="4"/>
        <v>309</v>
      </c>
      <c r="B315" s="283"/>
      <c r="D315" s="291" t="s">
        <v>1905</v>
      </c>
      <c r="E315" s="294">
        <v>1</v>
      </c>
      <c r="F315" s="293"/>
      <c r="G315" s="288"/>
      <c r="H315" s="288"/>
      <c r="I315" s="289"/>
    </row>
    <row r="316" spans="1:9">
      <c r="A316" s="126">
        <f t="shared" si="4"/>
        <v>310</v>
      </c>
      <c r="B316" s="283"/>
      <c r="D316" s="291" t="s">
        <v>1906</v>
      </c>
      <c r="E316" s="294">
        <v>1</v>
      </c>
      <c r="F316" s="293"/>
      <c r="G316" s="127"/>
      <c r="H316" s="288"/>
      <c r="I316" s="289"/>
    </row>
    <row r="317" spans="1:9" ht="16.5" customHeight="1">
      <c r="A317" s="126">
        <f t="shared" si="4"/>
        <v>311</v>
      </c>
      <c r="B317" s="283"/>
      <c r="D317" s="291" t="s">
        <v>1907</v>
      </c>
      <c r="E317" s="294">
        <v>1</v>
      </c>
      <c r="F317" s="293"/>
      <c r="G317" s="288"/>
      <c r="H317" s="288"/>
      <c r="I317" s="289"/>
    </row>
    <row r="318" spans="1:9" ht="16.5" customHeight="1">
      <c r="A318" s="126">
        <f t="shared" si="4"/>
        <v>312</v>
      </c>
      <c r="B318" s="283" t="s">
        <v>630</v>
      </c>
      <c r="C318" s="290" t="s">
        <v>1908</v>
      </c>
      <c r="D318" s="291"/>
      <c r="E318" s="294"/>
      <c r="F318" s="293"/>
      <c r="G318" s="288" t="s">
        <v>1454</v>
      </c>
      <c r="H318" s="288"/>
      <c r="I318" s="289"/>
    </row>
    <row r="319" spans="1:9" ht="16.5" customHeight="1">
      <c r="A319" s="126">
        <f t="shared" si="4"/>
        <v>313</v>
      </c>
      <c r="B319" s="283" t="s">
        <v>632</v>
      </c>
      <c r="C319" s="290" t="s">
        <v>1909</v>
      </c>
      <c r="D319" s="291" t="s">
        <v>1910</v>
      </c>
      <c r="E319" s="294">
        <v>1</v>
      </c>
      <c r="F319" s="293"/>
      <c r="G319" s="288"/>
      <c r="H319" s="288"/>
      <c r="I319" s="289"/>
    </row>
    <row r="320" spans="1:9" ht="16.5" customHeight="1">
      <c r="A320" s="126">
        <f t="shared" si="4"/>
        <v>314</v>
      </c>
      <c r="B320" s="283"/>
      <c r="D320" s="291" t="s">
        <v>1911</v>
      </c>
      <c r="E320" s="294">
        <v>1</v>
      </c>
      <c r="F320" s="293"/>
      <c r="G320" s="288"/>
      <c r="H320" s="288"/>
      <c r="I320" s="289"/>
    </row>
    <row r="321" spans="1:9" ht="16.5" customHeight="1">
      <c r="A321" s="126">
        <f t="shared" si="4"/>
        <v>315</v>
      </c>
      <c r="B321" s="283"/>
      <c r="D321" s="291" t="s">
        <v>1912</v>
      </c>
      <c r="E321" s="294">
        <v>1</v>
      </c>
      <c r="F321" s="293"/>
      <c r="G321" s="288"/>
      <c r="H321" s="288"/>
      <c r="I321" s="289"/>
    </row>
    <row r="322" spans="1:9" ht="16.5" customHeight="1">
      <c r="A322" s="126">
        <f t="shared" si="4"/>
        <v>316</v>
      </c>
      <c r="B322" s="283" t="s">
        <v>630</v>
      </c>
      <c r="C322" s="290" t="s">
        <v>1913</v>
      </c>
      <c r="D322" s="291" t="s">
        <v>1914</v>
      </c>
      <c r="E322" s="294">
        <v>1</v>
      </c>
      <c r="F322" s="293"/>
      <c r="G322" s="288"/>
      <c r="H322" s="288"/>
      <c r="I322" s="289" t="s">
        <v>1444</v>
      </c>
    </row>
    <row r="323" spans="1:9">
      <c r="A323" s="126">
        <f t="shared" si="4"/>
        <v>317</v>
      </c>
      <c r="B323" s="283" t="s">
        <v>634</v>
      </c>
      <c r="C323" s="290" t="s">
        <v>1915</v>
      </c>
      <c r="D323" s="291" t="s">
        <v>1916</v>
      </c>
      <c r="E323" s="294">
        <v>1</v>
      </c>
      <c r="F323" s="293"/>
      <c r="G323" s="127"/>
      <c r="H323" s="288"/>
      <c r="I323" s="289"/>
    </row>
    <row r="324" spans="1:9">
      <c r="A324" s="126">
        <f t="shared" si="4"/>
        <v>318</v>
      </c>
      <c r="B324" s="283" t="s">
        <v>1170</v>
      </c>
      <c r="C324" s="290" t="s">
        <v>1917</v>
      </c>
      <c r="D324" s="291" t="s">
        <v>1918</v>
      </c>
      <c r="E324" s="294">
        <v>1</v>
      </c>
      <c r="F324" s="293"/>
      <c r="G324" s="127" t="s">
        <v>1919</v>
      </c>
      <c r="H324" s="288"/>
      <c r="I324" s="289"/>
    </row>
    <row r="325" spans="1:9">
      <c r="A325" s="126">
        <f t="shared" si="4"/>
        <v>319</v>
      </c>
      <c r="B325" s="283"/>
      <c r="D325" s="291" t="s">
        <v>1920</v>
      </c>
      <c r="E325" s="294">
        <v>1</v>
      </c>
      <c r="F325" s="293"/>
      <c r="G325" s="127" t="s">
        <v>1921</v>
      </c>
      <c r="H325" s="288" t="s">
        <v>1725</v>
      </c>
      <c r="I325" s="289"/>
    </row>
    <row r="326" spans="1:9">
      <c r="A326" s="126">
        <f t="shared" si="4"/>
        <v>320</v>
      </c>
      <c r="B326" s="283"/>
      <c r="D326" s="291"/>
      <c r="E326" s="294"/>
      <c r="F326" s="293"/>
      <c r="G326" s="288" t="s">
        <v>1922</v>
      </c>
      <c r="H326" s="288" t="s">
        <v>1725</v>
      </c>
      <c r="I326" s="289"/>
    </row>
    <row r="327" spans="1:9" ht="16.149999999999999" customHeight="1">
      <c r="A327" s="126">
        <f t="shared" si="4"/>
        <v>321</v>
      </c>
      <c r="B327" s="283" t="s">
        <v>636</v>
      </c>
      <c r="C327" s="290" t="s">
        <v>1923</v>
      </c>
      <c r="D327" s="291" t="s">
        <v>1924</v>
      </c>
      <c r="E327" s="294">
        <v>1</v>
      </c>
      <c r="F327" s="293"/>
      <c r="G327" s="296" t="s">
        <v>1925</v>
      </c>
      <c r="H327" s="288"/>
      <c r="I327" s="289"/>
    </row>
    <row r="328" spans="1:9">
      <c r="A328" s="126">
        <f t="shared" ref="A328:A391" si="5">A327+1</f>
        <v>322</v>
      </c>
      <c r="B328" s="283"/>
      <c r="D328" s="291" t="s">
        <v>1926</v>
      </c>
      <c r="E328" s="294">
        <v>1</v>
      </c>
      <c r="F328" s="293"/>
      <c r="G328" s="288"/>
      <c r="H328" s="288"/>
      <c r="I328" s="289"/>
    </row>
    <row r="329" spans="1:9">
      <c r="A329" s="126">
        <f t="shared" si="5"/>
        <v>323</v>
      </c>
      <c r="B329" s="283"/>
      <c r="D329" s="291" t="s">
        <v>1927</v>
      </c>
      <c r="E329" s="294">
        <v>1</v>
      </c>
      <c r="F329" s="293"/>
      <c r="G329" s="127"/>
      <c r="H329" s="288"/>
      <c r="I329" s="289"/>
    </row>
    <row r="330" spans="1:9">
      <c r="A330" s="126">
        <f t="shared" si="5"/>
        <v>324</v>
      </c>
      <c r="B330" s="283"/>
      <c r="D330" s="291" t="s">
        <v>1928</v>
      </c>
      <c r="E330" s="294">
        <v>1</v>
      </c>
      <c r="F330" s="293"/>
      <c r="G330" s="288"/>
      <c r="H330" s="288"/>
      <c r="I330" s="289"/>
    </row>
    <row r="331" spans="1:9">
      <c r="A331" s="126">
        <f t="shared" si="5"/>
        <v>325</v>
      </c>
      <c r="B331" s="283" t="s">
        <v>1108</v>
      </c>
      <c r="C331" s="290" t="s">
        <v>1929</v>
      </c>
      <c r="D331" s="291"/>
      <c r="E331" s="294"/>
      <c r="F331" s="293"/>
      <c r="G331" s="288" t="s">
        <v>1454</v>
      </c>
      <c r="H331" s="288"/>
      <c r="I331" s="289"/>
    </row>
    <row r="332" spans="1:9">
      <c r="A332" s="126">
        <f t="shared" si="5"/>
        <v>326</v>
      </c>
      <c r="B332" s="283" t="s">
        <v>1172</v>
      </c>
      <c r="C332" s="290" t="s">
        <v>1930</v>
      </c>
      <c r="D332" s="291"/>
      <c r="E332" s="294"/>
      <c r="F332" s="293"/>
      <c r="G332" s="288" t="s">
        <v>1454</v>
      </c>
      <c r="H332" s="288"/>
      <c r="I332" s="289"/>
    </row>
    <row r="333" spans="1:9" ht="17.25" customHeight="1">
      <c r="A333" s="126">
        <f t="shared" si="5"/>
        <v>327</v>
      </c>
      <c r="B333" s="283" t="s">
        <v>1174</v>
      </c>
      <c r="C333" s="290" t="s">
        <v>1931</v>
      </c>
      <c r="D333" s="291" t="s">
        <v>1932</v>
      </c>
      <c r="E333" s="294">
        <v>1</v>
      </c>
      <c r="F333" s="293"/>
      <c r="G333" s="288" t="s">
        <v>1483</v>
      </c>
      <c r="H333" s="288" t="s">
        <v>1933</v>
      </c>
      <c r="I333" s="289"/>
    </row>
    <row r="334" spans="1:9">
      <c r="A334" s="126">
        <f t="shared" si="5"/>
        <v>328</v>
      </c>
      <c r="B334" s="283"/>
      <c r="D334" s="291" t="s">
        <v>1791</v>
      </c>
      <c r="E334" s="294">
        <v>1</v>
      </c>
      <c r="F334" s="293"/>
      <c r="G334" s="288"/>
      <c r="H334" s="288"/>
      <c r="I334" s="289"/>
    </row>
    <row r="335" spans="1:9">
      <c r="A335" s="126">
        <f t="shared" si="5"/>
        <v>329</v>
      </c>
      <c r="B335" s="283"/>
      <c r="D335" s="291" t="s">
        <v>1934</v>
      </c>
      <c r="E335" s="294">
        <v>1</v>
      </c>
      <c r="F335" s="293"/>
      <c r="G335" s="288"/>
      <c r="H335" s="288"/>
      <c r="I335" s="289"/>
    </row>
    <row r="336" spans="1:9">
      <c r="A336" s="126">
        <f t="shared" si="5"/>
        <v>330</v>
      </c>
      <c r="B336" s="283"/>
      <c r="D336" s="291" t="s">
        <v>1517</v>
      </c>
      <c r="E336" s="294">
        <v>1</v>
      </c>
      <c r="F336" s="293"/>
      <c r="G336" s="127"/>
      <c r="H336" s="288"/>
      <c r="I336" s="289"/>
    </row>
    <row r="337" spans="1:9">
      <c r="A337" s="126">
        <f t="shared" si="5"/>
        <v>331</v>
      </c>
      <c r="B337" s="283"/>
      <c r="D337" s="291" t="s">
        <v>1935</v>
      </c>
      <c r="E337" s="294">
        <v>1</v>
      </c>
      <c r="F337" s="293"/>
      <c r="G337" s="288"/>
      <c r="H337" s="288"/>
      <c r="I337" s="289"/>
    </row>
    <row r="338" spans="1:9">
      <c r="A338" s="126">
        <f t="shared" si="5"/>
        <v>332</v>
      </c>
      <c r="B338" s="283" t="s">
        <v>1110</v>
      </c>
      <c r="C338" s="290" t="s">
        <v>1936</v>
      </c>
      <c r="D338" s="291"/>
      <c r="E338" s="294"/>
      <c r="F338" s="293"/>
      <c r="G338" s="127" t="s">
        <v>1454</v>
      </c>
      <c r="H338" s="288"/>
      <c r="I338" s="289"/>
    </row>
    <row r="339" spans="1:9">
      <c r="A339" s="126">
        <f t="shared" si="5"/>
        <v>333</v>
      </c>
      <c r="B339" s="283" t="s">
        <v>640</v>
      </c>
      <c r="C339" s="290" t="s">
        <v>1937</v>
      </c>
      <c r="D339" s="291" t="s">
        <v>1938</v>
      </c>
      <c r="E339" s="294">
        <v>1</v>
      </c>
      <c r="F339" s="293"/>
      <c r="G339" s="127"/>
      <c r="H339" s="288"/>
      <c r="I339" s="289"/>
    </row>
    <row r="340" spans="1:9" ht="26">
      <c r="A340" s="126">
        <f t="shared" si="5"/>
        <v>334</v>
      </c>
      <c r="B340" s="283" t="s">
        <v>1939</v>
      </c>
      <c r="C340" s="290" t="s">
        <v>1940</v>
      </c>
      <c r="D340" s="291" t="s">
        <v>1941</v>
      </c>
      <c r="E340" s="294">
        <v>1</v>
      </c>
      <c r="F340" s="293"/>
      <c r="G340" s="127"/>
      <c r="H340" s="288"/>
      <c r="I340" s="289"/>
    </row>
    <row r="341" spans="1:9">
      <c r="A341" s="126">
        <f t="shared" si="5"/>
        <v>335</v>
      </c>
      <c r="B341" s="283"/>
      <c r="D341" s="291" t="s">
        <v>1942</v>
      </c>
      <c r="E341" s="294">
        <v>1</v>
      </c>
      <c r="F341" s="293"/>
      <c r="G341" s="288"/>
      <c r="H341" s="288"/>
      <c r="I341" s="289"/>
    </row>
    <row r="342" spans="1:9">
      <c r="A342" s="126">
        <f t="shared" si="5"/>
        <v>336</v>
      </c>
      <c r="B342" s="283"/>
      <c r="D342" s="291" t="s">
        <v>1943</v>
      </c>
      <c r="E342" s="294">
        <v>1</v>
      </c>
      <c r="F342" s="293"/>
      <c r="G342" s="288"/>
      <c r="H342" s="288"/>
      <c r="I342" s="289"/>
    </row>
    <row r="343" spans="1:9">
      <c r="A343" s="126">
        <f t="shared" si="5"/>
        <v>337</v>
      </c>
      <c r="B343" s="283"/>
      <c r="D343" s="291" t="s">
        <v>1944</v>
      </c>
      <c r="E343" s="294">
        <v>1</v>
      </c>
      <c r="F343" s="293"/>
      <c r="G343" s="288"/>
      <c r="H343" s="288"/>
      <c r="I343" s="289"/>
    </row>
    <row r="344" spans="1:9">
      <c r="A344" s="126">
        <f t="shared" si="5"/>
        <v>338</v>
      </c>
      <c r="B344" s="283"/>
      <c r="D344" s="291" t="s">
        <v>1945</v>
      </c>
      <c r="E344" s="294">
        <v>1</v>
      </c>
      <c r="F344" s="293"/>
      <c r="G344" s="127"/>
      <c r="H344" s="288"/>
      <c r="I344" s="289"/>
    </row>
    <row r="345" spans="1:9">
      <c r="A345" s="126">
        <f t="shared" si="5"/>
        <v>339</v>
      </c>
      <c r="B345" s="283"/>
      <c r="D345" s="291" t="s">
        <v>1946</v>
      </c>
      <c r="E345" s="294" t="s">
        <v>1466</v>
      </c>
      <c r="F345" s="293" t="s">
        <v>1947</v>
      </c>
      <c r="G345" s="288"/>
      <c r="H345" s="288"/>
      <c r="I345" s="289"/>
    </row>
    <row r="346" spans="1:9">
      <c r="A346" s="126">
        <f t="shared" si="5"/>
        <v>340</v>
      </c>
      <c r="B346" s="283" t="s">
        <v>642</v>
      </c>
      <c r="C346" s="290" t="s">
        <v>1948</v>
      </c>
      <c r="D346" s="291" t="s">
        <v>1949</v>
      </c>
      <c r="E346" s="294">
        <v>1</v>
      </c>
      <c r="F346" s="293"/>
      <c r="G346" s="288"/>
      <c r="H346" s="288"/>
      <c r="I346" s="289"/>
    </row>
    <row r="347" spans="1:9">
      <c r="A347" s="126">
        <f t="shared" si="5"/>
        <v>341</v>
      </c>
      <c r="B347" s="283"/>
      <c r="D347" s="291" t="s">
        <v>1950</v>
      </c>
      <c r="E347" s="294">
        <v>1</v>
      </c>
      <c r="F347" s="293"/>
      <c r="G347" s="288"/>
      <c r="H347" s="288"/>
      <c r="I347" s="289"/>
    </row>
    <row r="348" spans="1:9">
      <c r="A348" s="126">
        <f t="shared" si="5"/>
        <v>342</v>
      </c>
      <c r="B348" s="283"/>
      <c r="D348" s="291" t="s">
        <v>1951</v>
      </c>
      <c r="E348" s="294">
        <v>1</v>
      </c>
      <c r="F348" s="293"/>
      <c r="G348" s="288"/>
      <c r="H348" s="288"/>
      <c r="I348" s="289"/>
    </row>
    <row r="349" spans="1:9">
      <c r="A349" s="126">
        <f t="shared" si="5"/>
        <v>343</v>
      </c>
      <c r="B349" s="283"/>
      <c r="D349" s="291" t="s">
        <v>1952</v>
      </c>
      <c r="E349" s="294">
        <v>1</v>
      </c>
      <c r="F349" s="293"/>
      <c r="G349" s="288"/>
      <c r="H349" s="288"/>
      <c r="I349" s="289"/>
    </row>
    <row r="350" spans="1:9">
      <c r="A350" s="126">
        <f t="shared" si="5"/>
        <v>344</v>
      </c>
      <c r="B350" s="283"/>
      <c r="D350" s="291" t="s">
        <v>1953</v>
      </c>
      <c r="E350" s="294">
        <v>1</v>
      </c>
      <c r="F350" s="293"/>
      <c r="G350" s="288"/>
      <c r="H350" s="288"/>
      <c r="I350" s="289"/>
    </row>
    <row r="351" spans="1:9">
      <c r="A351" s="126">
        <f t="shared" si="5"/>
        <v>345</v>
      </c>
      <c r="B351" s="283"/>
      <c r="D351" s="291" t="s">
        <v>1954</v>
      </c>
      <c r="E351" s="294">
        <v>1</v>
      </c>
      <c r="F351" s="293"/>
      <c r="G351" s="127"/>
      <c r="H351" s="288"/>
      <c r="I351" s="289"/>
    </row>
    <row r="352" spans="1:9" ht="16.149999999999999" customHeight="1">
      <c r="A352" s="126">
        <f t="shared" si="5"/>
        <v>346</v>
      </c>
      <c r="B352" s="283" t="s">
        <v>646</v>
      </c>
      <c r="C352" s="290" t="s">
        <v>1955</v>
      </c>
      <c r="D352" s="291" t="s">
        <v>1956</v>
      </c>
      <c r="E352" s="294">
        <v>1</v>
      </c>
      <c r="F352" s="293"/>
      <c r="G352" s="127" t="s">
        <v>1957</v>
      </c>
      <c r="H352" s="288" t="s">
        <v>1399</v>
      </c>
      <c r="I352" s="289"/>
    </row>
    <row r="353" spans="1:9">
      <c r="A353" s="126">
        <f t="shared" si="5"/>
        <v>347</v>
      </c>
      <c r="B353" s="283"/>
      <c r="D353" s="291" t="s">
        <v>1958</v>
      </c>
      <c r="E353" s="294">
        <v>1</v>
      </c>
      <c r="F353" s="293"/>
      <c r="G353" s="127" t="s">
        <v>1398</v>
      </c>
      <c r="H353" s="288" t="s">
        <v>1399</v>
      </c>
      <c r="I353" s="289"/>
    </row>
    <row r="354" spans="1:9">
      <c r="A354" s="126">
        <f t="shared" si="5"/>
        <v>348</v>
      </c>
      <c r="B354" s="283"/>
      <c r="D354" s="291" t="s">
        <v>1959</v>
      </c>
      <c r="E354" s="294">
        <v>1</v>
      </c>
      <c r="F354" s="293"/>
      <c r="G354" s="288"/>
      <c r="H354" s="288"/>
      <c r="I354" s="289"/>
    </row>
    <row r="355" spans="1:9">
      <c r="A355" s="126">
        <f t="shared" si="5"/>
        <v>349</v>
      </c>
      <c r="B355" s="283"/>
      <c r="D355" s="291" t="s">
        <v>1960</v>
      </c>
      <c r="E355" s="294">
        <v>1</v>
      </c>
      <c r="F355" s="293"/>
      <c r="G355" s="288"/>
      <c r="H355" s="288"/>
      <c r="I355" s="289"/>
    </row>
    <row r="356" spans="1:9">
      <c r="A356" s="126">
        <f t="shared" si="5"/>
        <v>350</v>
      </c>
      <c r="B356" s="283"/>
      <c r="D356" s="291" t="s">
        <v>1961</v>
      </c>
      <c r="E356" s="294">
        <v>1</v>
      </c>
      <c r="F356" s="293"/>
      <c r="G356" s="288"/>
      <c r="H356" s="288"/>
      <c r="I356" s="289"/>
    </row>
    <row r="357" spans="1:9" ht="15.65" customHeight="1">
      <c r="A357" s="126">
        <f t="shared" si="5"/>
        <v>351</v>
      </c>
      <c r="B357" s="283"/>
      <c r="D357" s="291" t="s">
        <v>1962</v>
      </c>
      <c r="E357" s="294">
        <v>1</v>
      </c>
      <c r="F357" s="293"/>
      <c r="G357" s="127"/>
      <c r="H357" s="288"/>
      <c r="I357" s="289"/>
    </row>
    <row r="358" spans="1:9">
      <c r="A358" s="126">
        <f t="shared" si="5"/>
        <v>352</v>
      </c>
      <c r="B358" s="283" t="s">
        <v>648</v>
      </c>
      <c r="C358" s="290" t="s">
        <v>1963</v>
      </c>
      <c r="D358" s="291" t="s">
        <v>1964</v>
      </c>
      <c r="E358" s="294">
        <v>1</v>
      </c>
      <c r="F358" s="293"/>
      <c r="G358" s="288" t="s">
        <v>1965</v>
      </c>
      <c r="H358" s="288" t="s">
        <v>1966</v>
      </c>
      <c r="I358" s="289"/>
    </row>
    <row r="359" spans="1:9">
      <c r="A359" s="126">
        <f t="shared" si="5"/>
        <v>353</v>
      </c>
      <c r="B359" s="283"/>
      <c r="D359" s="291" t="s">
        <v>1967</v>
      </c>
      <c r="E359" s="294">
        <v>1</v>
      </c>
      <c r="F359" s="293"/>
      <c r="G359" s="288"/>
      <c r="H359" s="288"/>
      <c r="I359" s="289"/>
    </row>
    <row r="360" spans="1:9">
      <c r="A360" s="126">
        <f t="shared" si="5"/>
        <v>354</v>
      </c>
      <c r="B360" s="283"/>
      <c r="D360" s="291" t="s">
        <v>1968</v>
      </c>
      <c r="E360" s="294">
        <v>1</v>
      </c>
      <c r="F360" s="293"/>
      <c r="G360" s="288"/>
      <c r="H360" s="288"/>
      <c r="I360" s="289"/>
    </row>
    <row r="361" spans="1:9">
      <c r="A361" s="126">
        <f t="shared" si="5"/>
        <v>355</v>
      </c>
      <c r="B361" s="283"/>
      <c r="D361" s="291" t="s">
        <v>1969</v>
      </c>
      <c r="E361" s="294" t="s">
        <v>1466</v>
      </c>
      <c r="F361" s="293" t="s">
        <v>1970</v>
      </c>
      <c r="G361" s="288"/>
      <c r="H361" s="288"/>
      <c r="I361" s="289"/>
    </row>
    <row r="362" spans="1:9">
      <c r="A362" s="126">
        <f t="shared" si="5"/>
        <v>356</v>
      </c>
      <c r="B362" s="283"/>
      <c r="D362" s="291" t="s">
        <v>1971</v>
      </c>
      <c r="E362" s="294">
        <v>1</v>
      </c>
      <c r="F362" s="293"/>
      <c r="G362" s="288"/>
      <c r="H362" s="288"/>
      <c r="I362" s="289"/>
    </row>
    <row r="363" spans="1:9">
      <c r="A363" s="126">
        <f t="shared" si="5"/>
        <v>357</v>
      </c>
      <c r="B363" s="283" t="s">
        <v>1258</v>
      </c>
      <c r="C363" s="290" t="s">
        <v>1972</v>
      </c>
      <c r="D363" s="128" t="s">
        <v>1973</v>
      </c>
      <c r="E363" s="294">
        <v>1</v>
      </c>
      <c r="F363" s="293"/>
      <c r="G363" s="288"/>
      <c r="H363" s="288"/>
      <c r="I363" s="289"/>
    </row>
    <row r="364" spans="1:9">
      <c r="A364" s="126">
        <f t="shared" si="5"/>
        <v>358</v>
      </c>
      <c r="B364" s="283"/>
      <c r="D364" s="128" t="s">
        <v>1974</v>
      </c>
      <c r="E364" s="294">
        <v>1</v>
      </c>
      <c r="F364" s="293"/>
      <c r="G364" s="127"/>
      <c r="H364" s="288"/>
      <c r="I364" s="289"/>
    </row>
    <row r="365" spans="1:9">
      <c r="A365" s="126">
        <f t="shared" si="5"/>
        <v>359</v>
      </c>
      <c r="B365" s="283" t="s">
        <v>654</v>
      </c>
      <c r="C365" s="290" t="s">
        <v>1975</v>
      </c>
      <c r="D365" s="128" t="s">
        <v>1976</v>
      </c>
      <c r="E365" s="294">
        <v>1</v>
      </c>
      <c r="F365" s="293"/>
      <c r="G365" s="127"/>
      <c r="H365" s="288"/>
      <c r="I365" s="289"/>
    </row>
    <row r="366" spans="1:9">
      <c r="A366" s="126">
        <f t="shared" si="5"/>
        <v>360</v>
      </c>
      <c r="B366" s="283"/>
      <c r="D366" s="128" t="s">
        <v>1977</v>
      </c>
      <c r="E366" s="294">
        <v>1</v>
      </c>
      <c r="F366" s="293"/>
      <c r="G366" s="127"/>
      <c r="H366" s="288"/>
      <c r="I366" s="289"/>
    </row>
    <row r="367" spans="1:9" ht="17.25" customHeight="1">
      <c r="A367" s="126">
        <f t="shared" si="5"/>
        <v>361</v>
      </c>
      <c r="B367" s="283" t="s">
        <v>656</v>
      </c>
      <c r="C367" s="290" t="s">
        <v>1978</v>
      </c>
      <c r="D367" s="291" t="s">
        <v>1979</v>
      </c>
      <c r="E367" s="294">
        <v>1</v>
      </c>
      <c r="F367" s="293"/>
      <c r="G367" s="288" t="s">
        <v>1980</v>
      </c>
      <c r="H367" s="288"/>
      <c r="I367" s="289"/>
    </row>
    <row r="368" spans="1:9">
      <c r="A368" s="126">
        <f t="shared" si="5"/>
        <v>362</v>
      </c>
      <c r="B368" s="283"/>
      <c r="D368" s="291" t="s">
        <v>1981</v>
      </c>
      <c r="E368" s="294">
        <v>1</v>
      </c>
      <c r="F368" s="293"/>
      <c r="G368" s="288" t="s">
        <v>1982</v>
      </c>
      <c r="H368" s="288"/>
      <c r="I368" s="289"/>
    </row>
    <row r="369" spans="1:9" ht="26">
      <c r="A369" s="126">
        <f t="shared" si="5"/>
        <v>363</v>
      </c>
      <c r="B369" s="283"/>
      <c r="D369" s="291" t="s">
        <v>1373</v>
      </c>
      <c r="E369" s="294" t="s">
        <v>1374</v>
      </c>
      <c r="F369" s="293" t="s">
        <v>1983</v>
      </c>
      <c r="G369" s="288" t="s">
        <v>1984</v>
      </c>
      <c r="H369" s="288"/>
      <c r="I369" s="289"/>
    </row>
    <row r="370" spans="1:9">
      <c r="A370" s="126">
        <f t="shared" si="5"/>
        <v>364</v>
      </c>
      <c r="B370" s="283"/>
      <c r="D370" s="291" t="s">
        <v>1985</v>
      </c>
      <c r="E370" s="294" t="s">
        <v>1374</v>
      </c>
      <c r="F370" s="293" t="s">
        <v>1986</v>
      </c>
      <c r="G370" s="127"/>
      <c r="H370" s="288"/>
      <c r="I370" s="289"/>
    </row>
    <row r="371" spans="1:9">
      <c r="A371" s="126">
        <f t="shared" si="5"/>
        <v>365</v>
      </c>
      <c r="B371" s="295" t="s">
        <v>1114</v>
      </c>
      <c r="C371" s="127" t="s">
        <v>1987</v>
      </c>
      <c r="D371" s="291"/>
      <c r="E371" s="294"/>
      <c r="F371" s="293"/>
      <c r="G371" s="288" t="s">
        <v>1454</v>
      </c>
      <c r="H371" s="288"/>
      <c r="I371" s="289"/>
    </row>
    <row r="372" spans="1:9">
      <c r="A372" s="126">
        <f t="shared" si="5"/>
        <v>366</v>
      </c>
      <c r="B372" s="295" t="s">
        <v>658</v>
      </c>
      <c r="C372" s="127" t="s">
        <v>1988</v>
      </c>
      <c r="D372" s="291" t="s">
        <v>1989</v>
      </c>
      <c r="E372" s="294">
        <v>1</v>
      </c>
      <c r="F372" s="293"/>
      <c r="G372" s="288" t="s">
        <v>1990</v>
      </c>
      <c r="H372" s="288"/>
      <c r="I372" s="289"/>
    </row>
    <row r="373" spans="1:9">
      <c r="A373" s="126">
        <f t="shared" si="5"/>
        <v>367</v>
      </c>
      <c r="B373" s="295"/>
      <c r="C373" s="127"/>
      <c r="D373" s="291"/>
      <c r="E373" s="294"/>
      <c r="F373" s="293"/>
      <c r="G373" s="288" t="s">
        <v>1991</v>
      </c>
      <c r="H373" s="288" t="s">
        <v>1992</v>
      </c>
      <c r="I373" s="289"/>
    </row>
    <row r="374" spans="1:9">
      <c r="A374" s="126">
        <f t="shared" si="5"/>
        <v>368</v>
      </c>
      <c r="B374" s="283" t="s">
        <v>1244</v>
      </c>
      <c r="C374" s="290" t="s">
        <v>1993</v>
      </c>
      <c r="D374" s="291" t="s">
        <v>1994</v>
      </c>
      <c r="E374" s="294" t="s">
        <v>1374</v>
      </c>
      <c r="F374" s="293" t="s">
        <v>1995</v>
      </c>
      <c r="G374" s="288" t="s">
        <v>1996</v>
      </c>
      <c r="H374" s="288"/>
      <c r="I374" s="289"/>
    </row>
    <row r="375" spans="1:9">
      <c r="A375" s="126">
        <f t="shared" si="5"/>
        <v>369</v>
      </c>
      <c r="B375" s="283"/>
      <c r="D375" s="291"/>
      <c r="E375" s="294"/>
      <c r="F375" s="293"/>
      <c r="G375" s="288" t="s">
        <v>1997</v>
      </c>
      <c r="H375" s="288" t="s">
        <v>1419</v>
      </c>
      <c r="I375" s="289"/>
    </row>
    <row r="376" spans="1:9">
      <c r="A376" s="126">
        <f t="shared" si="5"/>
        <v>370</v>
      </c>
      <c r="B376" s="283" t="s">
        <v>1176</v>
      </c>
      <c r="C376" s="290" t="s">
        <v>1998</v>
      </c>
      <c r="D376" s="291" t="s">
        <v>1999</v>
      </c>
      <c r="E376" s="294" t="s">
        <v>1466</v>
      </c>
      <c r="F376" s="301" t="s">
        <v>2000</v>
      </c>
      <c r="G376" s="288"/>
      <c r="H376" s="288"/>
      <c r="I376" s="289"/>
    </row>
    <row r="377" spans="1:9">
      <c r="A377" s="126">
        <f t="shared" si="5"/>
        <v>371</v>
      </c>
      <c r="B377" s="283" t="s">
        <v>660</v>
      </c>
      <c r="C377" s="290" t="s">
        <v>2001</v>
      </c>
      <c r="D377" s="291" t="s">
        <v>2002</v>
      </c>
      <c r="E377" s="294">
        <v>1</v>
      </c>
      <c r="F377" s="293"/>
      <c r="G377" s="127"/>
      <c r="H377" s="288"/>
      <c r="I377" s="289"/>
    </row>
    <row r="378" spans="1:9">
      <c r="A378" s="126">
        <f t="shared" si="5"/>
        <v>372</v>
      </c>
      <c r="B378" s="283"/>
      <c r="D378" s="291" t="s">
        <v>2003</v>
      </c>
      <c r="E378" s="294">
        <v>1</v>
      </c>
      <c r="F378" s="293"/>
      <c r="G378" s="288"/>
      <c r="H378" s="288"/>
      <c r="I378" s="289"/>
    </row>
    <row r="379" spans="1:9">
      <c r="A379" s="126">
        <f t="shared" si="5"/>
        <v>373</v>
      </c>
      <c r="B379" s="283" t="s">
        <v>662</v>
      </c>
      <c r="C379" s="290" t="s">
        <v>2004</v>
      </c>
      <c r="D379" s="291" t="s">
        <v>2005</v>
      </c>
      <c r="E379" s="294">
        <v>1</v>
      </c>
      <c r="F379" s="293"/>
      <c r="G379" s="127" t="s">
        <v>1624</v>
      </c>
      <c r="H379" s="288" t="s">
        <v>1399</v>
      </c>
      <c r="I379" s="289"/>
    </row>
    <row r="380" spans="1:9">
      <c r="A380" s="126">
        <f t="shared" si="5"/>
        <v>374</v>
      </c>
      <c r="B380" s="283"/>
      <c r="D380" s="291" t="s">
        <v>2006</v>
      </c>
      <c r="E380" s="294">
        <v>1</v>
      </c>
      <c r="F380" s="293"/>
      <c r="G380" s="127" t="s">
        <v>2007</v>
      </c>
      <c r="H380" s="296" t="s">
        <v>1473</v>
      </c>
      <c r="I380" s="289"/>
    </row>
    <row r="381" spans="1:9">
      <c r="A381" s="126">
        <f t="shared" si="5"/>
        <v>375</v>
      </c>
      <c r="B381" s="283" t="s">
        <v>664</v>
      </c>
      <c r="C381" s="290" t="s">
        <v>2008</v>
      </c>
      <c r="D381" s="291" t="s">
        <v>2009</v>
      </c>
      <c r="E381" s="294">
        <v>1</v>
      </c>
      <c r="F381" s="293"/>
      <c r="G381" s="127"/>
      <c r="H381" s="288"/>
      <c r="I381" s="289"/>
    </row>
    <row r="382" spans="1:9">
      <c r="A382" s="126">
        <f t="shared" si="5"/>
        <v>376</v>
      </c>
      <c r="B382" s="283"/>
      <c r="D382" s="291" t="s">
        <v>1791</v>
      </c>
      <c r="E382" s="294">
        <v>1</v>
      </c>
      <c r="F382" s="293"/>
      <c r="G382" s="288"/>
      <c r="H382" s="288"/>
      <c r="I382" s="289"/>
    </row>
    <row r="383" spans="1:9">
      <c r="A383" s="126">
        <f t="shared" si="5"/>
        <v>377</v>
      </c>
      <c r="B383" s="283"/>
      <c r="D383" s="291" t="s">
        <v>2010</v>
      </c>
      <c r="E383" s="294">
        <v>1</v>
      </c>
      <c r="F383" s="293"/>
      <c r="G383" s="288"/>
      <c r="H383" s="288"/>
      <c r="I383" s="289"/>
    </row>
    <row r="384" spans="1:9">
      <c r="A384" s="126">
        <f t="shared" si="5"/>
        <v>378</v>
      </c>
      <c r="B384" s="283"/>
      <c r="D384" s="291" t="s">
        <v>2011</v>
      </c>
      <c r="E384" s="294">
        <v>1</v>
      </c>
      <c r="F384" s="293"/>
      <c r="G384" s="288"/>
      <c r="H384" s="288"/>
      <c r="I384" s="289"/>
    </row>
    <row r="385" spans="1:9">
      <c r="A385" s="126">
        <f t="shared" si="5"/>
        <v>379</v>
      </c>
      <c r="B385" s="283" t="s">
        <v>668</v>
      </c>
      <c r="C385" s="290" t="s">
        <v>2012</v>
      </c>
      <c r="D385" s="291" t="s">
        <v>2013</v>
      </c>
      <c r="E385" s="294">
        <v>1</v>
      </c>
      <c r="F385" s="293"/>
      <c r="G385" s="127" t="s">
        <v>2014</v>
      </c>
      <c r="H385" s="288" t="s">
        <v>2015</v>
      </c>
      <c r="I385" s="289"/>
    </row>
    <row r="386" spans="1:9">
      <c r="A386" s="126">
        <f t="shared" si="5"/>
        <v>380</v>
      </c>
      <c r="B386" s="283"/>
      <c r="D386" s="291" t="s">
        <v>1618</v>
      </c>
      <c r="E386" s="294" t="s">
        <v>2016</v>
      </c>
      <c r="F386" s="293" t="s">
        <v>2017</v>
      </c>
      <c r="G386" s="288"/>
      <c r="H386" s="288"/>
      <c r="I386" s="289"/>
    </row>
    <row r="387" spans="1:9">
      <c r="A387" s="126">
        <f t="shared" si="5"/>
        <v>381</v>
      </c>
      <c r="B387" s="283"/>
      <c r="D387" s="291" t="s">
        <v>2018</v>
      </c>
      <c r="E387" s="294">
        <v>1</v>
      </c>
      <c r="F387" s="293"/>
      <c r="G387" s="288"/>
      <c r="H387" s="288"/>
      <c r="I387" s="289"/>
    </row>
    <row r="388" spans="1:9">
      <c r="A388" s="126">
        <f t="shared" si="5"/>
        <v>382</v>
      </c>
      <c r="B388" s="283" t="s">
        <v>672</v>
      </c>
      <c r="C388" s="290" t="s">
        <v>2019</v>
      </c>
      <c r="D388" s="291" t="s">
        <v>2020</v>
      </c>
      <c r="E388" s="294">
        <v>1</v>
      </c>
      <c r="F388" s="293"/>
      <c r="G388" s="288"/>
      <c r="H388" s="288"/>
      <c r="I388" s="289"/>
    </row>
    <row r="389" spans="1:9">
      <c r="A389" s="126">
        <f t="shared" si="5"/>
        <v>383</v>
      </c>
      <c r="B389" s="283"/>
      <c r="D389" s="291" t="s">
        <v>2021</v>
      </c>
      <c r="E389" s="294">
        <v>1</v>
      </c>
      <c r="F389" s="293"/>
      <c r="G389" s="288"/>
      <c r="H389" s="288"/>
      <c r="I389" s="289"/>
    </row>
    <row r="390" spans="1:9">
      <c r="A390" s="126">
        <f t="shared" si="5"/>
        <v>384</v>
      </c>
      <c r="B390" s="283" t="s">
        <v>666</v>
      </c>
      <c r="C390" s="290" t="s">
        <v>2022</v>
      </c>
      <c r="D390" s="291" t="s">
        <v>2023</v>
      </c>
      <c r="E390" s="294">
        <v>1</v>
      </c>
      <c r="F390" s="293"/>
      <c r="G390" s="288"/>
      <c r="H390" s="288"/>
      <c r="I390" s="289"/>
    </row>
    <row r="391" spans="1:9">
      <c r="A391" s="126">
        <f t="shared" si="5"/>
        <v>385</v>
      </c>
      <c r="B391" s="283"/>
      <c r="D391" s="291" t="s">
        <v>2024</v>
      </c>
      <c r="E391" s="294">
        <v>1</v>
      </c>
      <c r="F391" s="293"/>
      <c r="G391" s="288"/>
      <c r="H391" s="288"/>
      <c r="I391" s="289"/>
    </row>
    <row r="392" spans="1:9">
      <c r="A392" s="126">
        <f t="shared" ref="A392:A455" si="6">A391+1</f>
        <v>386</v>
      </c>
      <c r="B392" s="283"/>
      <c r="D392" s="291" t="s">
        <v>2025</v>
      </c>
      <c r="E392" s="294">
        <v>1</v>
      </c>
      <c r="F392" s="293"/>
      <c r="G392" s="127"/>
      <c r="H392" s="288"/>
      <c r="I392" s="289"/>
    </row>
    <row r="393" spans="1:9">
      <c r="A393" s="126">
        <f t="shared" si="6"/>
        <v>387</v>
      </c>
      <c r="B393" s="283"/>
      <c r="D393" s="291" t="s">
        <v>2026</v>
      </c>
      <c r="E393" s="294">
        <v>1</v>
      </c>
      <c r="F393" s="293"/>
      <c r="G393" s="127"/>
      <c r="H393" s="288"/>
      <c r="I393" s="289"/>
    </row>
    <row r="394" spans="1:9">
      <c r="A394" s="126">
        <f t="shared" si="6"/>
        <v>388</v>
      </c>
      <c r="B394" s="283" t="s">
        <v>674</v>
      </c>
      <c r="C394" s="290" t="s">
        <v>2027</v>
      </c>
      <c r="D394" s="291" t="s">
        <v>2028</v>
      </c>
      <c r="E394" s="294">
        <v>1</v>
      </c>
      <c r="F394" s="293"/>
      <c r="G394" s="127" t="s">
        <v>2029</v>
      </c>
      <c r="H394" s="288"/>
      <c r="I394" s="289"/>
    </row>
    <row r="395" spans="1:9">
      <c r="A395" s="126">
        <f t="shared" si="6"/>
        <v>389</v>
      </c>
      <c r="B395" s="283"/>
      <c r="D395" s="291" t="s">
        <v>2030</v>
      </c>
      <c r="E395" s="294">
        <v>1</v>
      </c>
      <c r="F395" s="293"/>
      <c r="G395" s="288" t="s">
        <v>2031</v>
      </c>
      <c r="H395" s="288" t="s">
        <v>2032</v>
      </c>
      <c r="I395" s="289"/>
    </row>
    <row r="396" spans="1:9">
      <c r="A396" s="126">
        <f t="shared" si="6"/>
        <v>390</v>
      </c>
      <c r="B396" s="283" t="s">
        <v>676</v>
      </c>
      <c r="C396" s="290" t="s">
        <v>2033</v>
      </c>
      <c r="D396" s="291" t="s">
        <v>2034</v>
      </c>
      <c r="E396" s="299">
        <v>1</v>
      </c>
      <c r="F396" s="302" t="s">
        <v>2035</v>
      </c>
      <c r="G396" s="288"/>
      <c r="H396" s="288"/>
      <c r="I396" s="289"/>
    </row>
    <row r="397" spans="1:9">
      <c r="A397" s="126">
        <f t="shared" si="6"/>
        <v>391</v>
      </c>
      <c r="B397" s="283" t="s">
        <v>678</v>
      </c>
      <c r="C397" s="290" t="s">
        <v>2036</v>
      </c>
      <c r="D397" s="291" t="s">
        <v>2037</v>
      </c>
      <c r="E397" s="299">
        <v>1</v>
      </c>
      <c r="F397" s="303"/>
      <c r="G397" s="288" t="s">
        <v>2038</v>
      </c>
      <c r="H397" s="288"/>
      <c r="I397" s="289"/>
    </row>
    <row r="398" spans="1:9">
      <c r="A398" s="126">
        <f t="shared" si="6"/>
        <v>392</v>
      </c>
      <c r="B398" s="283"/>
      <c r="D398" s="291" t="s">
        <v>2039</v>
      </c>
      <c r="E398" s="299">
        <v>1</v>
      </c>
      <c r="F398" s="303" t="s">
        <v>2035</v>
      </c>
      <c r="G398" s="127"/>
      <c r="H398" s="288"/>
      <c r="I398" s="289"/>
    </row>
    <row r="399" spans="1:9">
      <c r="A399" s="126">
        <f t="shared" si="6"/>
        <v>393</v>
      </c>
      <c r="B399" s="283" t="s">
        <v>680</v>
      </c>
      <c r="C399" s="290" t="s">
        <v>2040</v>
      </c>
      <c r="D399" s="291" t="s">
        <v>2041</v>
      </c>
      <c r="E399" s="294">
        <v>1</v>
      </c>
      <c r="F399" s="293"/>
      <c r="G399" s="288" t="s">
        <v>2042</v>
      </c>
      <c r="H399" s="288"/>
      <c r="I399" s="289"/>
    </row>
    <row r="400" spans="1:9">
      <c r="A400" s="126">
        <f t="shared" si="6"/>
        <v>394</v>
      </c>
      <c r="B400" s="283"/>
      <c r="D400" s="291" t="s">
        <v>2043</v>
      </c>
      <c r="E400" s="294">
        <v>1</v>
      </c>
      <c r="F400" s="293"/>
      <c r="G400" s="288" t="s">
        <v>1546</v>
      </c>
      <c r="H400" s="288" t="s">
        <v>2044</v>
      </c>
      <c r="I400" s="289"/>
    </row>
    <row r="401" spans="1:9" ht="26">
      <c r="A401" s="126">
        <f t="shared" si="6"/>
        <v>395</v>
      </c>
      <c r="B401" s="283" t="s">
        <v>686</v>
      </c>
      <c r="C401" s="290" t="s">
        <v>2045</v>
      </c>
      <c r="D401" s="291" t="s">
        <v>2046</v>
      </c>
      <c r="E401" s="294">
        <v>1</v>
      </c>
      <c r="F401" s="293"/>
      <c r="G401" s="288"/>
      <c r="H401" s="288"/>
      <c r="I401" s="289"/>
    </row>
    <row r="402" spans="1:9">
      <c r="A402" s="126">
        <f t="shared" si="6"/>
        <v>396</v>
      </c>
      <c r="B402" s="283"/>
      <c r="D402" s="291" t="s">
        <v>2047</v>
      </c>
      <c r="E402" s="294">
        <v>1</v>
      </c>
      <c r="F402" s="293"/>
      <c r="G402" s="288"/>
      <c r="H402" s="288"/>
      <c r="I402" s="289"/>
    </row>
    <row r="403" spans="1:9">
      <c r="A403" s="126">
        <f t="shared" si="6"/>
        <v>397</v>
      </c>
      <c r="B403" s="283"/>
      <c r="D403" s="291" t="s">
        <v>2048</v>
      </c>
      <c r="E403" s="294">
        <v>1</v>
      </c>
      <c r="F403" s="293"/>
      <c r="G403" s="288"/>
      <c r="H403" s="288"/>
      <c r="I403" s="289"/>
    </row>
    <row r="404" spans="1:9">
      <c r="A404" s="126">
        <f t="shared" si="6"/>
        <v>398</v>
      </c>
      <c r="B404" s="283"/>
      <c r="D404" s="291" t="s">
        <v>2049</v>
      </c>
      <c r="E404" s="294">
        <v>1</v>
      </c>
      <c r="F404" s="293"/>
      <c r="G404" s="288"/>
      <c r="H404" s="288"/>
      <c r="I404" s="289"/>
    </row>
    <row r="405" spans="1:9" ht="26">
      <c r="A405" s="126">
        <f t="shared" si="6"/>
        <v>399</v>
      </c>
      <c r="B405" s="283"/>
      <c r="D405" s="291" t="s">
        <v>2050</v>
      </c>
      <c r="E405" s="294" t="s">
        <v>1466</v>
      </c>
      <c r="F405" s="293" t="s">
        <v>2051</v>
      </c>
      <c r="G405" s="127"/>
      <c r="H405" s="288"/>
      <c r="I405" s="289"/>
    </row>
    <row r="406" spans="1:9">
      <c r="A406" s="126">
        <f t="shared" si="6"/>
        <v>400</v>
      </c>
      <c r="B406" s="283"/>
      <c r="D406" s="291" t="s">
        <v>2052</v>
      </c>
      <c r="E406" s="294">
        <v>1</v>
      </c>
      <c r="F406" s="293"/>
      <c r="G406" s="127"/>
      <c r="H406" s="288"/>
      <c r="I406" s="289"/>
    </row>
    <row r="407" spans="1:9">
      <c r="A407" s="126">
        <f t="shared" si="6"/>
        <v>401</v>
      </c>
      <c r="B407" s="283"/>
      <c r="D407" s="291" t="s">
        <v>2053</v>
      </c>
      <c r="E407" s="294">
        <v>1</v>
      </c>
      <c r="F407" s="293"/>
      <c r="G407" s="127"/>
      <c r="H407" s="288"/>
      <c r="I407" s="289"/>
    </row>
    <row r="408" spans="1:9">
      <c r="A408" s="126">
        <f t="shared" si="6"/>
        <v>402</v>
      </c>
      <c r="B408" s="283"/>
      <c r="D408" s="291" t="s">
        <v>2054</v>
      </c>
      <c r="E408" s="294">
        <v>1</v>
      </c>
      <c r="F408" s="293"/>
      <c r="G408" s="288"/>
      <c r="H408" s="288"/>
      <c r="I408" s="289"/>
    </row>
    <row r="409" spans="1:9" ht="17.25" customHeight="1">
      <c r="A409" s="126">
        <f t="shared" si="6"/>
        <v>403</v>
      </c>
      <c r="B409" s="283"/>
      <c r="D409" s="291" t="s">
        <v>2055</v>
      </c>
      <c r="E409" s="294" t="s">
        <v>1374</v>
      </c>
      <c r="F409" s="293" t="s">
        <v>2056</v>
      </c>
      <c r="G409" s="288"/>
      <c r="H409" s="288"/>
      <c r="I409" s="289"/>
    </row>
    <row r="410" spans="1:9">
      <c r="A410" s="126">
        <f t="shared" si="6"/>
        <v>404</v>
      </c>
      <c r="B410" s="283"/>
      <c r="D410" s="291" t="s">
        <v>2057</v>
      </c>
      <c r="E410" s="294" t="s">
        <v>1374</v>
      </c>
      <c r="F410" s="293" t="s">
        <v>2058</v>
      </c>
      <c r="G410" s="288"/>
      <c r="H410" s="288"/>
      <c r="I410" s="289"/>
    </row>
    <row r="411" spans="1:9">
      <c r="A411" s="126">
        <f t="shared" si="6"/>
        <v>405</v>
      </c>
      <c r="B411" s="283" t="s">
        <v>682</v>
      </c>
      <c r="C411" s="290" t="s">
        <v>2059</v>
      </c>
      <c r="D411" s="291" t="s">
        <v>2060</v>
      </c>
      <c r="E411" s="294">
        <v>1</v>
      </c>
      <c r="F411" s="293"/>
      <c r="G411" s="127"/>
      <c r="H411" s="288"/>
      <c r="I411" s="289"/>
    </row>
    <row r="412" spans="1:9">
      <c r="A412" s="126">
        <f t="shared" si="6"/>
        <v>406</v>
      </c>
      <c r="B412" s="283"/>
      <c r="D412" s="291" t="s">
        <v>2061</v>
      </c>
      <c r="E412" s="294">
        <v>1</v>
      </c>
      <c r="F412" s="293"/>
      <c r="G412" s="288"/>
      <c r="H412" s="288"/>
      <c r="I412" s="289"/>
    </row>
    <row r="413" spans="1:9">
      <c r="A413" s="126">
        <f t="shared" si="6"/>
        <v>407</v>
      </c>
      <c r="B413" s="283" t="s">
        <v>684</v>
      </c>
      <c r="C413" s="290" t="s">
        <v>2062</v>
      </c>
      <c r="D413" s="291" t="s">
        <v>1827</v>
      </c>
      <c r="E413" s="294">
        <v>1</v>
      </c>
      <c r="F413" s="293"/>
      <c r="G413" s="288"/>
      <c r="H413" s="288"/>
      <c r="I413" s="289"/>
    </row>
    <row r="414" spans="1:9">
      <c r="A414" s="126">
        <f t="shared" si="6"/>
        <v>408</v>
      </c>
      <c r="B414" s="283" t="s">
        <v>688</v>
      </c>
      <c r="C414" s="290" t="s">
        <v>2063</v>
      </c>
      <c r="D414" s="291" t="s">
        <v>2064</v>
      </c>
      <c r="E414" s="294">
        <v>1</v>
      </c>
      <c r="F414" s="293"/>
      <c r="G414" s="288"/>
      <c r="H414" s="288"/>
      <c r="I414" s="289"/>
    </row>
    <row r="415" spans="1:9">
      <c r="A415" s="126">
        <f t="shared" si="6"/>
        <v>409</v>
      </c>
      <c r="B415" s="283"/>
      <c r="D415" s="291" t="s">
        <v>2065</v>
      </c>
      <c r="E415" s="294">
        <v>1</v>
      </c>
      <c r="F415" s="293"/>
      <c r="G415" s="288"/>
      <c r="H415" s="288"/>
      <c r="I415" s="289"/>
    </row>
    <row r="416" spans="1:9">
      <c r="A416" s="126">
        <f t="shared" si="6"/>
        <v>410</v>
      </c>
      <c r="B416" s="283"/>
      <c r="D416" s="291" t="s">
        <v>2066</v>
      </c>
      <c r="E416" s="294">
        <v>1</v>
      </c>
      <c r="F416" s="293"/>
      <c r="G416" s="288"/>
      <c r="H416" s="288"/>
      <c r="I416" s="289"/>
    </row>
    <row r="417" spans="1:9">
      <c r="A417" s="126">
        <f t="shared" si="6"/>
        <v>411</v>
      </c>
      <c r="B417" s="283"/>
      <c r="D417" s="291" t="s">
        <v>2067</v>
      </c>
      <c r="E417" s="294">
        <v>1</v>
      </c>
      <c r="F417" s="293"/>
      <c r="G417" s="288"/>
      <c r="H417" s="288"/>
      <c r="I417" s="289"/>
    </row>
    <row r="418" spans="1:9">
      <c r="A418" s="126">
        <f t="shared" si="6"/>
        <v>412</v>
      </c>
      <c r="B418" s="283"/>
      <c r="D418" s="291" t="s">
        <v>2068</v>
      </c>
      <c r="E418" s="294">
        <v>1</v>
      </c>
      <c r="F418" s="293"/>
      <c r="G418" s="127"/>
      <c r="H418" s="288"/>
      <c r="I418" s="289"/>
    </row>
    <row r="419" spans="1:9">
      <c r="A419" s="126">
        <f t="shared" si="6"/>
        <v>413</v>
      </c>
      <c r="B419" s="283"/>
      <c r="D419" s="291" t="s">
        <v>2069</v>
      </c>
      <c r="E419" s="294">
        <v>1</v>
      </c>
      <c r="F419" s="293"/>
      <c r="G419" s="288"/>
      <c r="H419" s="288"/>
      <c r="I419" s="289"/>
    </row>
    <row r="420" spans="1:9">
      <c r="A420" s="126">
        <f t="shared" si="6"/>
        <v>414</v>
      </c>
      <c r="B420" s="283"/>
      <c r="D420" s="291" t="s">
        <v>2070</v>
      </c>
      <c r="E420" s="294">
        <v>1</v>
      </c>
      <c r="F420" s="293"/>
      <c r="G420" s="127"/>
      <c r="H420" s="288"/>
      <c r="I420" s="289"/>
    </row>
    <row r="421" spans="1:9">
      <c r="A421" s="126">
        <f t="shared" si="6"/>
        <v>415</v>
      </c>
      <c r="B421" s="283"/>
      <c r="D421" s="291" t="s">
        <v>2071</v>
      </c>
      <c r="E421" s="294">
        <v>1</v>
      </c>
      <c r="F421" s="293"/>
      <c r="G421" s="127"/>
      <c r="H421" s="288"/>
      <c r="I421" s="289"/>
    </row>
    <row r="422" spans="1:9">
      <c r="A422" s="126">
        <f t="shared" si="6"/>
        <v>416</v>
      </c>
      <c r="B422" s="283" t="s">
        <v>690</v>
      </c>
      <c r="C422" s="290" t="s">
        <v>2072</v>
      </c>
      <c r="D422" s="291" t="s">
        <v>2073</v>
      </c>
      <c r="E422" s="294">
        <v>1</v>
      </c>
      <c r="F422" s="293"/>
      <c r="G422" s="127" t="s">
        <v>2074</v>
      </c>
      <c r="H422" s="288" t="s">
        <v>2075</v>
      </c>
      <c r="I422" s="289"/>
    </row>
    <row r="423" spans="1:9">
      <c r="A423" s="126">
        <f t="shared" si="6"/>
        <v>417</v>
      </c>
      <c r="B423" s="283"/>
      <c r="D423" s="291" t="s">
        <v>2076</v>
      </c>
      <c r="E423" s="294">
        <v>1</v>
      </c>
      <c r="F423" s="293"/>
      <c r="G423" s="288"/>
      <c r="H423" s="288"/>
      <c r="I423" s="289"/>
    </row>
    <row r="424" spans="1:9">
      <c r="A424" s="126">
        <f t="shared" si="6"/>
        <v>418</v>
      </c>
      <c r="B424" s="283" t="s">
        <v>2077</v>
      </c>
      <c r="C424" s="290" t="s">
        <v>2078</v>
      </c>
      <c r="D424" s="128" t="s">
        <v>2079</v>
      </c>
      <c r="E424" s="294">
        <v>1</v>
      </c>
      <c r="F424" s="293"/>
      <c r="G424" s="288" t="s">
        <v>2080</v>
      </c>
      <c r="H424" s="288"/>
      <c r="I424" s="289"/>
    </row>
    <row r="425" spans="1:9">
      <c r="A425" s="126">
        <f t="shared" si="6"/>
        <v>419</v>
      </c>
      <c r="B425" s="283"/>
      <c r="E425" s="294"/>
      <c r="F425" s="293"/>
      <c r="G425" s="288" t="s">
        <v>2081</v>
      </c>
      <c r="H425" s="288" t="s">
        <v>2082</v>
      </c>
      <c r="I425" s="289"/>
    </row>
    <row r="426" spans="1:9" ht="18" customHeight="1">
      <c r="A426" s="126">
        <f t="shared" si="6"/>
        <v>420</v>
      </c>
      <c r="B426" s="283" t="s">
        <v>692</v>
      </c>
      <c r="C426" s="290" t="s">
        <v>2083</v>
      </c>
      <c r="D426" s="291" t="s">
        <v>2084</v>
      </c>
      <c r="E426" s="294">
        <v>1</v>
      </c>
      <c r="F426" s="293"/>
      <c r="G426" s="127"/>
      <c r="H426" s="288"/>
      <c r="I426" s="289" t="s">
        <v>2085</v>
      </c>
    </row>
    <row r="427" spans="1:9">
      <c r="A427" s="126">
        <f t="shared" si="6"/>
        <v>421</v>
      </c>
      <c r="B427" s="283"/>
      <c r="D427" s="291" t="s">
        <v>2086</v>
      </c>
      <c r="E427" s="294">
        <v>1</v>
      </c>
      <c r="F427" s="293"/>
      <c r="G427" s="288"/>
      <c r="H427" s="288"/>
      <c r="I427" s="289"/>
    </row>
    <row r="428" spans="1:9">
      <c r="A428" s="126">
        <f t="shared" si="6"/>
        <v>422</v>
      </c>
      <c r="B428" s="283"/>
      <c r="D428" s="291" t="s">
        <v>2087</v>
      </c>
      <c r="E428" s="294">
        <v>1</v>
      </c>
      <c r="F428" s="293"/>
      <c r="G428" s="288"/>
      <c r="H428" s="288"/>
      <c r="I428" s="289"/>
    </row>
    <row r="429" spans="1:9">
      <c r="A429" s="126">
        <f t="shared" si="6"/>
        <v>423</v>
      </c>
      <c r="B429" s="283"/>
      <c r="D429" s="291" t="s">
        <v>2088</v>
      </c>
      <c r="E429" s="294">
        <v>1</v>
      </c>
      <c r="F429" s="293"/>
      <c r="G429" s="288"/>
      <c r="H429" s="288"/>
      <c r="I429" s="289"/>
    </row>
    <row r="430" spans="1:9">
      <c r="A430" s="126">
        <f t="shared" si="6"/>
        <v>424</v>
      </c>
      <c r="B430" s="283"/>
      <c r="D430" s="291" t="s">
        <v>1810</v>
      </c>
      <c r="E430" s="294">
        <v>1</v>
      </c>
      <c r="F430" s="293"/>
      <c r="G430" s="288"/>
      <c r="H430" s="288"/>
      <c r="I430" s="289"/>
    </row>
    <row r="431" spans="1:9">
      <c r="A431" s="126">
        <f t="shared" si="6"/>
        <v>425</v>
      </c>
      <c r="B431" s="283"/>
      <c r="D431" s="291" t="s">
        <v>2089</v>
      </c>
      <c r="E431" s="294">
        <v>1</v>
      </c>
      <c r="F431" s="293"/>
      <c r="G431" s="288"/>
      <c r="H431" s="288"/>
      <c r="I431" s="289"/>
    </row>
    <row r="432" spans="1:9">
      <c r="A432" s="126">
        <f t="shared" si="6"/>
        <v>426</v>
      </c>
      <c r="B432" s="283" t="s">
        <v>694</v>
      </c>
      <c r="C432" s="290" t="s">
        <v>2090</v>
      </c>
      <c r="D432" s="291" t="s">
        <v>2091</v>
      </c>
      <c r="E432" s="294">
        <v>1</v>
      </c>
      <c r="F432" s="293"/>
      <c r="G432" s="288" t="s">
        <v>2007</v>
      </c>
      <c r="H432" s="296" t="s">
        <v>1705</v>
      </c>
      <c r="I432" s="289"/>
    </row>
    <row r="433" spans="1:9">
      <c r="A433" s="126">
        <f t="shared" si="6"/>
        <v>427</v>
      </c>
      <c r="B433" s="283"/>
      <c r="D433" s="291"/>
      <c r="E433" s="294"/>
      <c r="F433" s="293"/>
      <c r="G433" s="127" t="s">
        <v>2092</v>
      </c>
      <c r="H433" s="288" t="s">
        <v>2032</v>
      </c>
      <c r="I433" s="289"/>
    </row>
    <row r="434" spans="1:9" ht="16.149999999999999" customHeight="1">
      <c r="A434" s="126">
        <f t="shared" si="6"/>
        <v>428</v>
      </c>
      <c r="B434" s="283" t="s">
        <v>698</v>
      </c>
      <c r="C434" s="290" t="s">
        <v>2093</v>
      </c>
      <c r="D434" s="291" t="s">
        <v>2094</v>
      </c>
      <c r="E434" s="294">
        <v>1</v>
      </c>
      <c r="F434" s="293"/>
      <c r="G434" s="127" t="s">
        <v>2095</v>
      </c>
      <c r="H434" s="288" t="s">
        <v>2096</v>
      </c>
      <c r="I434" s="289"/>
    </row>
    <row r="435" spans="1:9">
      <c r="A435" s="126">
        <f t="shared" si="6"/>
        <v>429</v>
      </c>
      <c r="B435" s="283"/>
      <c r="D435" s="291" t="s">
        <v>2370</v>
      </c>
      <c r="E435" s="294">
        <v>2</v>
      </c>
      <c r="F435" s="293" t="s">
        <v>2097</v>
      </c>
      <c r="G435" s="127"/>
      <c r="H435" s="288"/>
      <c r="I435" s="289"/>
    </row>
    <row r="436" spans="1:9">
      <c r="A436" s="126">
        <f t="shared" si="6"/>
        <v>430</v>
      </c>
      <c r="B436" s="283"/>
      <c r="D436" s="291" t="s">
        <v>2371</v>
      </c>
      <c r="E436" s="294">
        <v>2</v>
      </c>
      <c r="F436" s="293" t="s">
        <v>2097</v>
      </c>
      <c r="G436" s="288"/>
      <c r="H436" s="288"/>
      <c r="I436" s="289"/>
    </row>
    <row r="437" spans="1:9">
      <c r="A437" s="126">
        <f t="shared" si="6"/>
        <v>431</v>
      </c>
      <c r="B437" s="283" t="s">
        <v>696</v>
      </c>
      <c r="C437" s="290" t="s">
        <v>2098</v>
      </c>
      <c r="D437" s="291" t="s">
        <v>2099</v>
      </c>
      <c r="E437" s="294">
        <v>1</v>
      </c>
      <c r="F437" s="293"/>
      <c r="G437" s="288" t="s">
        <v>2100</v>
      </c>
      <c r="H437" s="288"/>
      <c r="I437" s="289"/>
    </row>
    <row r="438" spans="1:9" ht="15.65" customHeight="1">
      <c r="A438" s="126">
        <f t="shared" si="6"/>
        <v>432</v>
      </c>
      <c r="B438" s="283"/>
      <c r="D438" s="291" t="s">
        <v>2101</v>
      </c>
      <c r="E438" s="294">
        <v>1</v>
      </c>
      <c r="F438" s="293"/>
      <c r="G438" s="288"/>
      <c r="H438" s="288"/>
      <c r="I438" s="289"/>
    </row>
    <row r="439" spans="1:9" ht="16.149999999999999" customHeight="1">
      <c r="A439" s="126">
        <f t="shared" si="6"/>
        <v>433</v>
      </c>
      <c r="B439" s="283"/>
      <c r="D439" s="291" t="s">
        <v>2102</v>
      </c>
      <c r="E439" s="294">
        <v>1</v>
      </c>
      <c r="F439" s="293"/>
      <c r="G439" s="127"/>
      <c r="H439" s="288"/>
      <c r="I439" s="289"/>
    </row>
    <row r="440" spans="1:9">
      <c r="A440" s="126">
        <f t="shared" si="6"/>
        <v>434</v>
      </c>
      <c r="B440" s="283"/>
      <c r="D440" s="291" t="s">
        <v>2103</v>
      </c>
      <c r="E440" s="294">
        <v>1</v>
      </c>
      <c r="F440" s="293"/>
      <c r="G440" s="288"/>
      <c r="H440" s="288"/>
      <c r="I440" s="289"/>
    </row>
    <row r="441" spans="1:9" ht="17.25" customHeight="1">
      <c r="A441" s="126">
        <f t="shared" si="6"/>
        <v>435</v>
      </c>
      <c r="B441" s="283" t="s">
        <v>700</v>
      </c>
      <c r="C441" s="290" t="s">
        <v>2104</v>
      </c>
      <c r="D441" s="291" t="s">
        <v>2105</v>
      </c>
      <c r="E441" s="294">
        <v>1</v>
      </c>
      <c r="F441" s="293"/>
      <c r="G441" s="288" t="s">
        <v>2106</v>
      </c>
      <c r="H441" s="288" t="s">
        <v>2107</v>
      </c>
      <c r="I441" s="289"/>
    </row>
    <row r="442" spans="1:9">
      <c r="A442" s="126">
        <f t="shared" si="6"/>
        <v>436</v>
      </c>
      <c r="B442" s="283"/>
      <c r="D442" s="291" t="s">
        <v>2108</v>
      </c>
      <c r="E442" s="294">
        <v>1</v>
      </c>
      <c r="F442" s="293"/>
      <c r="G442" s="288"/>
      <c r="H442" s="288"/>
      <c r="I442" s="289"/>
    </row>
    <row r="443" spans="1:9">
      <c r="A443" s="126">
        <f t="shared" si="6"/>
        <v>437</v>
      </c>
      <c r="B443" s="283"/>
      <c r="D443" s="291" t="s">
        <v>2109</v>
      </c>
      <c r="E443" s="294">
        <v>1</v>
      </c>
      <c r="F443" s="293"/>
      <c r="G443" s="288"/>
      <c r="H443" s="288"/>
      <c r="I443" s="289"/>
    </row>
    <row r="444" spans="1:9">
      <c r="A444" s="126">
        <f t="shared" si="6"/>
        <v>438</v>
      </c>
      <c r="B444" s="295" t="s">
        <v>2110</v>
      </c>
      <c r="C444" s="127" t="s">
        <v>2111</v>
      </c>
      <c r="D444" s="291"/>
      <c r="E444" s="294"/>
      <c r="F444" s="293"/>
      <c r="G444" s="288" t="s">
        <v>1454</v>
      </c>
      <c r="H444" s="288"/>
      <c r="I444" s="289"/>
    </row>
    <row r="445" spans="1:9">
      <c r="A445" s="126">
        <f t="shared" si="6"/>
        <v>439</v>
      </c>
      <c r="B445" s="295" t="s">
        <v>2110</v>
      </c>
      <c r="C445" s="127" t="s">
        <v>2112</v>
      </c>
      <c r="D445" s="291"/>
      <c r="E445" s="294"/>
      <c r="F445" s="293"/>
      <c r="G445" s="288" t="s">
        <v>1454</v>
      </c>
      <c r="H445" s="288"/>
      <c r="I445" s="289"/>
    </row>
    <row r="446" spans="1:9" ht="26">
      <c r="A446" s="126">
        <f t="shared" si="6"/>
        <v>440</v>
      </c>
      <c r="B446" s="283" t="s">
        <v>704</v>
      </c>
      <c r="C446" s="290" t="s">
        <v>2113</v>
      </c>
      <c r="D446" s="291" t="s">
        <v>2114</v>
      </c>
      <c r="E446" s="294">
        <v>1</v>
      </c>
      <c r="F446" s="293"/>
      <c r="G446" s="127" t="s">
        <v>2115</v>
      </c>
      <c r="H446" s="288"/>
      <c r="I446" s="289"/>
    </row>
    <row r="447" spans="1:9">
      <c r="A447" s="126">
        <f t="shared" si="6"/>
        <v>441</v>
      </c>
      <c r="B447" s="283"/>
      <c r="D447" s="291" t="s">
        <v>2116</v>
      </c>
      <c r="E447" s="294">
        <v>1</v>
      </c>
      <c r="F447" s="293"/>
      <c r="G447" s="127" t="s">
        <v>2117</v>
      </c>
      <c r="H447" s="288" t="s">
        <v>2118</v>
      </c>
      <c r="I447" s="289"/>
    </row>
    <row r="448" spans="1:9">
      <c r="A448" s="126">
        <f t="shared" si="6"/>
        <v>442</v>
      </c>
      <c r="B448" s="283"/>
      <c r="D448" s="291"/>
      <c r="E448" s="294"/>
      <c r="F448" s="293"/>
      <c r="G448" s="127" t="s">
        <v>2119</v>
      </c>
      <c r="H448" s="288" t="s">
        <v>2120</v>
      </c>
      <c r="I448" s="289"/>
    </row>
    <row r="449" spans="1:9">
      <c r="A449" s="126">
        <f t="shared" si="6"/>
        <v>443</v>
      </c>
      <c r="B449" s="283" t="s">
        <v>706</v>
      </c>
      <c r="C449" s="290" t="s">
        <v>2121</v>
      </c>
      <c r="D449" s="291" t="s">
        <v>2122</v>
      </c>
      <c r="E449" s="294">
        <v>1</v>
      </c>
      <c r="F449" s="293"/>
      <c r="G449" s="288" t="s">
        <v>2123</v>
      </c>
      <c r="H449" s="288" t="s">
        <v>2124</v>
      </c>
      <c r="I449" s="289"/>
    </row>
    <row r="450" spans="1:9">
      <c r="A450" s="126">
        <f t="shared" si="6"/>
        <v>444</v>
      </c>
      <c r="B450" s="283"/>
      <c r="D450" s="291" t="s">
        <v>2125</v>
      </c>
      <c r="E450" s="294">
        <v>1</v>
      </c>
      <c r="F450" s="293"/>
      <c r="G450" s="288" t="s">
        <v>2126</v>
      </c>
      <c r="H450" s="288"/>
      <c r="I450" s="289"/>
    </row>
    <row r="451" spans="1:9">
      <c r="A451" s="126">
        <f t="shared" si="6"/>
        <v>445</v>
      </c>
      <c r="B451" s="283"/>
      <c r="D451" s="291"/>
      <c r="E451" s="294"/>
      <c r="F451" s="293"/>
      <c r="G451" s="288" t="s">
        <v>2127</v>
      </c>
      <c r="H451" s="288"/>
      <c r="I451" s="289"/>
    </row>
    <row r="452" spans="1:9">
      <c r="A452" s="126">
        <f t="shared" si="6"/>
        <v>446</v>
      </c>
      <c r="B452" s="283"/>
      <c r="D452" s="291"/>
      <c r="E452" s="294"/>
      <c r="F452" s="293"/>
      <c r="G452" s="290" t="s">
        <v>2128</v>
      </c>
      <c r="H452" s="288"/>
      <c r="I452" s="289"/>
    </row>
    <row r="453" spans="1:9">
      <c r="A453" s="126">
        <f t="shared" si="6"/>
        <v>447</v>
      </c>
      <c r="B453" s="283"/>
      <c r="D453" s="291"/>
      <c r="E453" s="294"/>
      <c r="F453" s="293"/>
      <c r="G453" s="288"/>
      <c r="H453" s="288"/>
      <c r="I453" s="289"/>
    </row>
    <row r="454" spans="1:9">
      <c r="A454" s="126">
        <f t="shared" si="6"/>
        <v>448</v>
      </c>
      <c r="B454" s="283"/>
      <c r="C454" s="304" t="s">
        <v>2129</v>
      </c>
      <c r="D454" s="291"/>
      <c r="E454" s="294"/>
      <c r="F454" s="293"/>
      <c r="G454" s="288"/>
      <c r="H454" s="288"/>
      <c r="I454" s="289"/>
    </row>
    <row r="455" spans="1:9">
      <c r="A455" s="126">
        <f t="shared" si="6"/>
        <v>449</v>
      </c>
      <c r="B455" s="124" t="s">
        <v>250</v>
      </c>
      <c r="C455" s="124" t="s">
        <v>251</v>
      </c>
      <c r="D455" s="291"/>
      <c r="E455" s="294">
        <v>1</v>
      </c>
      <c r="F455" s="293"/>
      <c r="G455" s="288"/>
      <c r="H455" s="288"/>
      <c r="I455" s="289"/>
    </row>
    <row r="456" spans="1:9">
      <c r="A456" s="126">
        <f t="shared" ref="A456:A519" si="7">A455+1</f>
        <v>450</v>
      </c>
      <c r="B456" s="124" t="s">
        <v>248</v>
      </c>
      <c r="C456" s="124" t="s">
        <v>249</v>
      </c>
      <c r="D456" s="291"/>
      <c r="E456" s="294">
        <v>1</v>
      </c>
      <c r="F456" s="293"/>
      <c r="G456" s="288"/>
      <c r="H456" s="288"/>
      <c r="I456" s="289"/>
    </row>
    <row r="457" spans="1:9">
      <c r="A457" s="126">
        <f t="shared" si="7"/>
        <v>451</v>
      </c>
      <c r="B457" s="124" t="s">
        <v>252</v>
      </c>
      <c r="C457" s="124" t="s">
        <v>253</v>
      </c>
      <c r="D457" s="291"/>
      <c r="E457" s="294">
        <v>1</v>
      </c>
      <c r="F457" s="293"/>
      <c r="G457" s="288"/>
      <c r="H457" s="288"/>
      <c r="I457" s="289"/>
    </row>
    <row r="458" spans="1:9">
      <c r="A458" s="126">
        <f t="shared" si="7"/>
        <v>452</v>
      </c>
      <c r="B458" s="305" t="s">
        <v>254</v>
      </c>
      <c r="C458" s="124" t="s">
        <v>255</v>
      </c>
      <c r="D458" s="291"/>
      <c r="E458" s="294">
        <v>1</v>
      </c>
      <c r="F458" s="293"/>
      <c r="G458" s="288"/>
      <c r="H458" s="288"/>
      <c r="I458" s="289"/>
    </row>
    <row r="459" spans="1:9">
      <c r="A459" s="126">
        <f t="shared" si="7"/>
        <v>453</v>
      </c>
      <c r="B459" s="306" t="s">
        <v>256</v>
      </c>
      <c r="C459" s="124" t="s">
        <v>257</v>
      </c>
      <c r="D459" s="291"/>
      <c r="E459" s="294">
        <v>1</v>
      </c>
      <c r="F459" s="293"/>
      <c r="G459" s="127"/>
      <c r="H459" s="288"/>
      <c r="I459" s="289"/>
    </row>
    <row r="460" spans="1:9" ht="17.25" customHeight="1">
      <c r="A460" s="126">
        <f t="shared" si="7"/>
        <v>454</v>
      </c>
      <c r="B460" s="306" t="s">
        <v>258</v>
      </c>
      <c r="C460" s="124" t="s">
        <v>259</v>
      </c>
      <c r="D460" s="291"/>
      <c r="E460" s="294">
        <v>1</v>
      </c>
      <c r="F460" s="293"/>
      <c r="G460" s="288"/>
      <c r="H460" s="288"/>
      <c r="I460" s="289"/>
    </row>
    <row r="461" spans="1:9" ht="15" customHeight="1">
      <c r="A461" s="126">
        <f t="shared" si="7"/>
        <v>455</v>
      </c>
      <c r="B461" s="306" t="s">
        <v>260</v>
      </c>
      <c r="C461" s="124" t="s">
        <v>261</v>
      </c>
      <c r="D461" s="291"/>
      <c r="E461" s="294">
        <v>1</v>
      </c>
      <c r="F461" s="293"/>
      <c r="G461" s="127"/>
      <c r="H461" s="288"/>
      <c r="I461" s="289"/>
    </row>
    <row r="462" spans="1:9">
      <c r="A462" s="126">
        <f t="shared" si="7"/>
        <v>456</v>
      </c>
      <c r="B462" s="306" t="s">
        <v>262</v>
      </c>
      <c r="C462" s="124" t="s">
        <v>263</v>
      </c>
      <c r="D462" s="291"/>
      <c r="E462" s="294">
        <v>1</v>
      </c>
      <c r="F462" s="293"/>
      <c r="G462" s="127"/>
      <c r="H462" s="288"/>
      <c r="I462" s="289"/>
    </row>
    <row r="463" spans="1:9">
      <c r="A463" s="126">
        <f t="shared" si="7"/>
        <v>457</v>
      </c>
      <c r="B463" s="306" t="s">
        <v>264</v>
      </c>
      <c r="C463" s="124" t="s">
        <v>265</v>
      </c>
      <c r="D463" s="291"/>
      <c r="E463" s="294">
        <v>1</v>
      </c>
      <c r="F463" s="293"/>
      <c r="G463" s="127"/>
      <c r="H463" s="288"/>
      <c r="I463" s="289"/>
    </row>
    <row r="464" spans="1:9">
      <c r="A464" s="126">
        <f t="shared" si="7"/>
        <v>458</v>
      </c>
      <c r="B464" s="306" t="s">
        <v>266</v>
      </c>
      <c r="C464" s="124" t="s">
        <v>267</v>
      </c>
      <c r="D464" s="291"/>
      <c r="E464" s="294">
        <v>1</v>
      </c>
      <c r="F464" s="293"/>
      <c r="G464" s="288"/>
      <c r="H464" s="288"/>
      <c r="I464" s="289"/>
    </row>
    <row r="465" spans="1:9">
      <c r="A465" s="126">
        <f t="shared" si="7"/>
        <v>459</v>
      </c>
      <c r="B465" s="306" t="s">
        <v>268</v>
      </c>
      <c r="C465" s="124" t="s">
        <v>269</v>
      </c>
      <c r="D465" s="291"/>
      <c r="E465" s="294">
        <v>1</v>
      </c>
      <c r="F465" s="293"/>
      <c r="G465" s="288"/>
      <c r="H465" s="288"/>
      <c r="I465" s="289"/>
    </row>
    <row r="466" spans="1:9">
      <c r="A466" s="126">
        <f t="shared" si="7"/>
        <v>460</v>
      </c>
      <c r="B466" s="306" t="s">
        <v>270</v>
      </c>
      <c r="C466" s="124" t="s">
        <v>271</v>
      </c>
      <c r="D466" s="291"/>
      <c r="E466" s="294">
        <v>1</v>
      </c>
      <c r="F466" s="293"/>
      <c r="G466" s="288"/>
      <c r="H466" s="288"/>
      <c r="I466" s="289"/>
    </row>
    <row r="467" spans="1:9">
      <c r="A467" s="126">
        <f t="shared" si="7"/>
        <v>461</v>
      </c>
      <c r="B467" s="306" t="s">
        <v>272</v>
      </c>
      <c r="C467" s="124" t="s">
        <v>273</v>
      </c>
      <c r="D467" s="291"/>
      <c r="E467" s="294">
        <v>1</v>
      </c>
      <c r="F467" s="293"/>
      <c r="G467" s="127"/>
      <c r="H467" s="288"/>
      <c r="I467" s="289"/>
    </row>
    <row r="468" spans="1:9">
      <c r="A468" s="126">
        <f t="shared" si="7"/>
        <v>462</v>
      </c>
      <c r="B468" s="306" t="s">
        <v>274</v>
      </c>
      <c r="C468" s="124" t="s">
        <v>275</v>
      </c>
      <c r="D468" s="291"/>
      <c r="E468" s="294">
        <v>1</v>
      </c>
      <c r="F468" s="293"/>
      <c r="G468" s="288"/>
      <c r="H468" s="288"/>
      <c r="I468" s="289"/>
    </row>
    <row r="469" spans="1:9">
      <c r="A469" s="126">
        <f t="shared" si="7"/>
        <v>463</v>
      </c>
      <c r="B469" s="306" t="s">
        <v>276</v>
      </c>
      <c r="C469" s="124" t="s">
        <v>277</v>
      </c>
      <c r="D469" s="291"/>
      <c r="E469" s="294">
        <v>1</v>
      </c>
      <c r="F469" s="293"/>
      <c r="G469" s="288"/>
      <c r="H469" s="288"/>
      <c r="I469" s="289"/>
    </row>
    <row r="470" spans="1:9">
      <c r="A470" s="126">
        <f t="shared" si="7"/>
        <v>464</v>
      </c>
      <c r="B470" s="306" t="s">
        <v>278</v>
      </c>
      <c r="C470" s="124" t="s">
        <v>279</v>
      </c>
      <c r="D470" s="291"/>
      <c r="E470" s="294">
        <v>1</v>
      </c>
      <c r="F470" s="293"/>
      <c r="G470" s="288"/>
      <c r="H470" s="288"/>
      <c r="I470" s="289"/>
    </row>
    <row r="471" spans="1:9">
      <c r="A471" s="126">
        <f t="shared" si="7"/>
        <v>465</v>
      </c>
      <c r="B471" s="306" t="s">
        <v>1122</v>
      </c>
      <c r="C471" s="124" t="s">
        <v>1123</v>
      </c>
      <c r="D471" s="291"/>
      <c r="E471" s="294">
        <v>1</v>
      </c>
      <c r="F471" s="293"/>
      <c r="G471" s="288"/>
      <c r="H471" s="288"/>
      <c r="I471" s="289"/>
    </row>
    <row r="472" spans="1:9">
      <c r="A472" s="126">
        <f t="shared" si="7"/>
        <v>466</v>
      </c>
      <c r="B472" s="306" t="s">
        <v>280</v>
      </c>
      <c r="C472" s="124" t="s">
        <v>281</v>
      </c>
      <c r="D472" s="291"/>
      <c r="E472" s="294">
        <v>1</v>
      </c>
      <c r="F472" s="293"/>
      <c r="G472" s="288"/>
      <c r="H472" s="288"/>
      <c r="I472" s="289"/>
    </row>
    <row r="473" spans="1:9">
      <c r="A473" s="126">
        <f t="shared" si="7"/>
        <v>467</v>
      </c>
      <c r="B473" s="306" t="s">
        <v>282</v>
      </c>
      <c r="C473" s="124" t="s">
        <v>283</v>
      </c>
      <c r="D473" s="291"/>
      <c r="E473" s="294">
        <v>1</v>
      </c>
      <c r="F473" s="293"/>
      <c r="G473" s="288"/>
      <c r="H473" s="288"/>
      <c r="I473" s="289"/>
    </row>
    <row r="474" spans="1:9">
      <c r="A474" s="126">
        <f t="shared" si="7"/>
        <v>468</v>
      </c>
      <c r="B474" s="306" t="s">
        <v>284</v>
      </c>
      <c r="C474" s="124" t="s">
        <v>285</v>
      </c>
      <c r="D474" s="291"/>
      <c r="E474" s="294">
        <v>1</v>
      </c>
      <c r="F474" s="293"/>
      <c r="G474" s="127"/>
      <c r="H474" s="288"/>
      <c r="I474" s="289"/>
    </row>
    <row r="475" spans="1:9">
      <c r="A475" s="126">
        <f t="shared" si="7"/>
        <v>469</v>
      </c>
      <c r="B475" s="306" t="s">
        <v>286</v>
      </c>
      <c r="C475" s="124" t="s">
        <v>287</v>
      </c>
      <c r="D475" s="291"/>
      <c r="E475" s="294">
        <v>1</v>
      </c>
      <c r="F475" s="293"/>
      <c r="G475" s="127"/>
      <c r="H475" s="288"/>
      <c r="I475" s="289"/>
    </row>
    <row r="476" spans="1:9">
      <c r="A476" s="126">
        <f t="shared" si="7"/>
        <v>470</v>
      </c>
      <c r="B476" s="306" t="s">
        <v>288</v>
      </c>
      <c r="C476" s="124" t="s">
        <v>289</v>
      </c>
      <c r="D476" s="291"/>
      <c r="E476" s="294">
        <v>1</v>
      </c>
      <c r="F476" s="293"/>
      <c r="G476" s="127"/>
      <c r="H476" s="288"/>
      <c r="I476" s="289"/>
    </row>
    <row r="477" spans="1:9">
      <c r="A477" s="126">
        <f t="shared" si="7"/>
        <v>471</v>
      </c>
      <c r="B477" s="306" t="s">
        <v>290</v>
      </c>
      <c r="C477" s="124" t="s">
        <v>2130</v>
      </c>
      <c r="D477" s="291"/>
      <c r="E477" s="294">
        <v>1</v>
      </c>
      <c r="F477" s="293"/>
      <c r="G477" s="288"/>
      <c r="H477" s="288"/>
      <c r="I477" s="289"/>
    </row>
    <row r="478" spans="1:9">
      <c r="A478" s="126">
        <f t="shared" si="7"/>
        <v>472</v>
      </c>
      <c r="B478" s="306" t="s">
        <v>292</v>
      </c>
      <c r="C478" s="124" t="s">
        <v>293</v>
      </c>
      <c r="D478" s="291"/>
      <c r="E478" s="294">
        <v>1</v>
      </c>
      <c r="F478" s="293"/>
      <c r="G478" s="288"/>
      <c r="H478" s="288"/>
      <c r="I478" s="289"/>
    </row>
    <row r="479" spans="1:9">
      <c r="A479" s="126">
        <f t="shared" si="7"/>
        <v>473</v>
      </c>
      <c r="B479" s="306" t="s">
        <v>294</v>
      </c>
      <c r="C479" s="124" t="s">
        <v>295</v>
      </c>
      <c r="D479" s="291"/>
      <c r="E479" s="294">
        <v>1</v>
      </c>
      <c r="F479" s="293"/>
      <c r="G479" s="288"/>
      <c r="H479" s="288"/>
      <c r="I479" s="289"/>
    </row>
    <row r="480" spans="1:9">
      <c r="A480" s="126">
        <f t="shared" si="7"/>
        <v>474</v>
      </c>
      <c r="B480" s="306" t="s">
        <v>296</v>
      </c>
      <c r="C480" s="124" t="s">
        <v>297</v>
      </c>
      <c r="D480" s="291"/>
      <c r="E480" s="294">
        <v>1</v>
      </c>
      <c r="F480" s="293"/>
      <c r="G480" s="127"/>
      <c r="H480" s="288"/>
      <c r="I480" s="289"/>
    </row>
    <row r="481" spans="1:9">
      <c r="A481" s="126">
        <f t="shared" si="7"/>
        <v>475</v>
      </c>
      <c r="B481" s="306" t="s">
        <v>298</v>
      </c>
      <c r="C481" s="124" t="s">
        <v>299</v>
      </c>
      <c r="D481" s="291"/>
      <c r="E481" s="294">
        <v>1</v>
      </c>
      <c r="F481" s="293"/>
      <c r="G481" s="288"/>
      <c r="H481" s="288"/>
      <c r="I481" s="289"/>
    </row>
    <row r="482" spans="1:9">
      <c r="A482" s="126">
        <f t="shared" si="7"/>
        <v>476</v>
      </c>
      <c r="B482" s="306" t="s">
        <v>300</v>
      </c>
      <c r="C482" s="124" t="s">
        <v>301</v>
      </c>
      <c r="D482" s="291"/>
      <c r="E482" s="294">
        <v>1</v>
      </c>
      <c r="F482" s="293"/>
      <c r="G482" s="288"/>
      <c r="H482" s="288"/>
      <c r="I482" s="289"/>
    </row>
    <row r="483" spans="1:9">
      <c r="A483" s="126">
        <f t="shared" si="7"/>
        <v>477</v>
      </c>
      <c r="B483" s="306" t="s">
        <v>302</v>
      </c>
      <c r="C483" s="124" t="s">
        <v>303</v>
      </c>
      <c r="D483" s="291"/>
      <c r="E483" s="294">
        <v>1</v>
      </c>
      <c r="F483" s="293"/>
      <c r="G483" s="288"/>
      <c r="H483" s="288"/>
      <c r="I483" s="289"/>
    </row>
    <row r="484" spans="1:9">
      <c r="A484" s="126">
        <f t="shared" si="7"/>
        <v>478</v>
      </c>
      <c r="B484" s="306" t="s">
        <v>304</v>
      </c>
      <c r="C484" s="124" t="s">
        <v>305</v>
      </c>
      <c r="D484" s="291"/>
      <c r="E484" s="294">
        <v>1</v>
      </c>
      <c r="F484" s="293"/>
      <c r="G484" s="288"/>
      <c r="H484" s="288"/>
      <c r="I484" s="289"/>
    </row>
    <row r="485" spans="1:9">
      <c r="A485" s="126">
        <f t="shared" si="7"/>
        <v>479</v>
      </c>
      <c r="B485" s="306" t="s">
        <v>306</v>
      </c>
      <c r="C485" s="124" t="s">
        <v>307</v>
      </c>
      <c r="D485" s="291"/>
      <c r="E485" s="294">
        <v>1</v>
      </c>
      <c r="F485" s="293"/>
      <c r="G485" s="288"/>
      <c r="H485" s="288"/>
      <c r="I485" s="289"/>
    </row>
    <row r="486" spans="1:9">
      <c r="A486" s="126">
        <f t="shared" si="7"/>
        <v>480</v>
      </c>
      <c r="B486" s="306" t="s">
        <v>308</v>
      </c>
      <c r="C486" s="124" t="s">
        <v>309</v>
      </c>
      <c r="D486" s="291"/>
      <c r="E486" s="294">
        <v>1</v>
      </c>
      <c r="F486" s="293"/>
      <c r="G486" s="288"/>
      <c r="H486" s="288"/>
      <c r="I486" s="289"/>
    </row>
    <row r="487" spans="1:9">
      <c r="A487" s="126">
        <f t="shared" si="7"/>
        <v>481</v>
      </c>
      <c r="B487" s="306" t="s">
        <v>310</v>
      </c>
      <c r="C487" s="124" t="s">
        <v>311</v>
      </c>
      <c r="D487" s="291"/>
      <c r="E487" s="294">
        <v>1</v>
      </c>
      <c r="F487" s="293"/>
      <c r="G487" s="127"/>
      <c r="H487" s="288"/>
      <c r="I487" s="289"/>
    </row>
    <row r="488" spans="1:9" ht="17.25" customHeight="1">
      <c r="A488" s="126">
        <f t="shared" si="7"/>
        <v>482</v>
      </c>
      <c r="B488" s="306" t="s">
        <v>312</v>
      </c>
      <c r="C488" s="124" t="s">
        <v>313</v>
      </c>
      <c r="D488" s="291"/>
      <c r="E488" s="294">
        <v>1</v>
      </c>
      <c r="F488" s="293"/>
      <c r="G488" s="127"/>
      <c r="H488" s="288"/>
      <c r="I488" s="289"/>
    </row>
    <row r="489" spans="1:9">
      <c r="A489" s="126">
        <f t="shared" si="7"/>
        <v>483</v>
      </c>
      <c r="B489" s="306" t="s">
        <v>314</v>
      </c>
      <c r="C489" s="124" t="s">
        <v>315</v>
      </c>
      <c r="D489" s="291"/>
      <c r="E489" s="294">
        <v>1</v>
      </c>
      <c r="F489" s="293"/>
      <c r="G489" s="127"/>
      <c r="H489" s="288"/>
      <c r="I489" s="289"/>
    </row>
    <row r="490" spans="1:9">
      <c r="A490" s="126">
        <f t="shared" si="7"/>
        <v>484</v>
      </c>
      <c r="B490" s="306" t="s">
        <v>316</v>
      </c>
      <c r="C490" s="124" t="s">
        <v>317</v>
      </c>
      <c r="D490" s="291"/>
      <c r="E490" s="294">
        <v>1</v>
      </c>
      <c r="F490" s="293"/>
      <c r="G490" s="288"/>
      <c r="H490" s="288"/>
      <c r="I490" s="289"/>
    </row>
    <row r="491" spans="1:9">
      <c r="A491" s="126">
        <f t="shared" si="7"/>
        <v>485</v>
      </c>
      <c r="B491" s="306" t="s">
        <v>1124</v>
      </c>
      <c r="C491" s="124" t="s">
        <v>1125</v>
      </c>
      <c r="D491" s="291"/>
      <c r="E491" s="294">
        <v>1</v>
      </c>
      <c r="F491" s="293"/>
      <c r="G491" s="288"/>
      <c r="H491" s="288"/>
      <c r="I491" s="289"/>
    </row>
    <row r="492" spans="1:9">
      <c r="A492" s="126">
        <f t="shared" si="7"/>
        <v>486</v>
      </c>
      <c r="B492" s="306" t="s">
        <v>1126</v>
      </c>
      <c r="C492" s="124" t="s">
        <v>1127</v>
      </c>
      <c r="D492" s="291"/>
      <c r="E492" s="294">
        <v>1</v>
      </c>
      <c r="F492" s="293"/>
      <c r="G492" s="288"/>
      <c r="H492" s="288"/>
      <c r="I492" s="289"/>
    </row>
    <row r="493" spans="1:9">
      <c r="A493" s="126">
        <f t="shared" si="7"/>
        <v>487</v>
      </c>
      <c r="B493" s="306" t="s">
        <v>318</v>
      </c>
      <c r="C493" s="124" t="s">
        <v>319</v>
      </c>
      <c r="D493" s="291"/>
      <c r="E493" s="294">
        <v>1</v>
      </c>
      <c r="F493" s="293"/>
      <c r="G493" s="127"/>
      <c r="H493" s="288"/>
      <c r="I493" s="289"/>
    </row>
    <row r="494" spans="1:9">
      <c r="A494" s="126">
        <f t="shared" si="7"/>
        <v>488</v>
      </c>
      <c r="B494" s="306" t="s">
        <v>320</v>
      </c>
      <c r="C494" s="124" t="s">
        <v>321</v>
      </c>
      <c r="D494" s="291"/>
      <c r="E494" s="294">
        <v>1</v>
      </c>
      <c r="F494" s="293"/>
      <c r="G494" s="288"/>
      <c r="H494" s="288"/>
      <c r="I494" s="289"/>
    </row>
    <row r="495" spans="1:9">
      <c r="A495" s="126">
        <f t="shared" si="7"/>
        <v>489</v>
      </c>
      <c r="B495" s="306" t="s">
        <v>322</v>
      </c>
      <c r="C495" s="124" t="s">
        <v>323</v>
      </c>
      <c r="D495" s="291"/>
      <c r="E495" s="294">
        <v>1</v>
      </c>
      <c r="F495" s="293"/>
      <c r="G495" s="288"/>
      <c r="H495" s="288"/>
      <c r="I495" s="289"/>
    </row>
    <row r="496" spans="1:9" ht="17.25" customHeight="1">
      <c r="A496" s="126">
        <f t="shared" si="7"/>
        <v>490</v>
      </c>
      <c r="B496" s="306" t="s">
        <v>324</v>
      </c>
      <c r="C496" s="124" t="s">
        <v>325</v>
      </c>
      <c r="D496" s="291"/>
      <c r="E496" s="294">
        <v>1</v>
      </c>
      <c r="F496" s="293"/>
      <c r="G496" s="288"/>
      <c r="H496" s="288"/>
      <c r="I496" s="289"/>
    </row>
    <row r="497" spans="1:9">
      <c r="A497" s="126">
        <f t="shared" si="7"/>
        <v>491</v>
      </c>
      <c r="B497" s="306" t="s">
        <v>326</v>
      </c>
      <c r="C497" s="124" t="s">
        <v>327</v>
      </c>
      <c r="D497" s="291"/>
      <c r="E497" s="294">
        <v>1</v>
      </c>
      <c r="F497" s="293"/>
      <c r="G497" s="288"/>
      <c r="H497" s="288"/>
      <c r="I497" s="289"/>
    </row>
    <row r="498" spans="1:9" ht="17.25" customHeight="1">
      <c r="A498" s="126">
        <f t="shared" si="7"/>
        <v>492</v>
      </c>
      <c r="B498" s="306" t="s">
        <v>328</v>
      </c>
      <c r="C498" s="124" t="s">
        <v>329</v>
      </c>
      <c r="D498" s="291"/>
      <c r="E498" s="294">
        <v>1</v>
      </c>
      <c r="F498" s="293"/>
      <c r="G498" s="288"/>
      <c r="H498" s="288"/>
      <c r="I498" s="289"/>
    </row>
    <row r="499" spans="1:9">
      <c r="A499" s="126">
        <f t="shared" si="7"/>
        <v>493</v>
      </c>
      <c r="B499" s="306" t="s">
        <v>330</v>
      </c>
      <c r="C499" s="124" t="s">
        <v>331</v>
      </c>
      <c r="D499" s="291"/>
      <c r="E499" s="294">
        <v>1</v>
      </c>
      <c r="F499" s="293"/>
      <c r="G499" s="288"/>
      <c r="H499" s="288"/>
      <c r="I499" s="289"/>
    </row>
    <row r="500" spans="1:9">
      <c r="A500" s="126">
        <f t="shared" si="7"/>
        <v>494</v>
      </c>
      <c r="B500" s="306" t="s">
        <v>332</v>
      </c>
      <c r="C500" s="124" t="s">
        <v>333</v>
      </c>
      <c r="D500" s="291"/>
      <c r="E500" s="294">
        <v>1</v>
      </c>
      <c r="F500" s="293"/>
      <c r="G500" s="127"/>
      <c r="H500" s="288"/>
      <c r="I500" s="289"/>
    </row>
    <row r="501" spans="1:9">
      <c r="A501" s="126">
        <f t="shared" si="7"/>
        <v>495</v>
      </c>
      <c r="B501" s="306" t="s">
        <v>334</v>
      </c>
      <c r="C501" s="124" t="s">
        <v>335</v>
      </c>
      <c r="D501" s="291"/>
      <c r="E501" s="294">
        <v>1</v>
      </c>
      <c r="F501" s="293"/>
      <c r="G501" s="288"/>
      <c r="H501" s="288"/>
      <c r="I501" s="289"/>
    </row>
    <row r="502" spans="1:9">
      <c r="A502" s="126">
        <f t="shared" si="7"/>
        <v>496</v>
      </c>
      <c r="B502" s="306" t="s">
        <v>336</v>
      </c>
      <c r="C502" s="124" t="s">
        <v>337</v>
      </c>
      <c r="D502" s="291"/>
      <c r="E502" s="294">
        <v>1</v>
      </c>
      <c r="F502" s="293"/>
      <c r="G502" s="127"/>
      <c r="H502" s="288"/>
      <c r="I502" s="289"/>
    </row>
    <row r="503" spans="1:9">
      <c r="A503" s="126">
        <f t="shared" si="7"/>
        <v>497</v>
      </c>
      <c r="B503" s="306" t="s">
        <v>338</v>
      </c>
      <c r="C503" s="124" t="s">
        <v>339</v>
      </c>
      <c r="D503" s="291"/>
      <c r="E503" s="294">
        <v>1</v>
      </c>
      <c r="F503" s="293"/>
      <c r="G503" s="127"/>
      <c r="H503" s="288"/>
      <c r="I503" s="289"/>
    </row>
    <row r="504" spans="1:9">
      <c r="A504" s="126">
        <f t="shared" si="7"/>
        <v>498</v>
      </c>
      <c r="B504" s="306" t="s">
        <v>340</v>
      </c>
      <c r="C504" s="124" t="s">
        <v>341</v>
      </c>
      <c r="D504" s="291"/>
      <c r="E504" s="294">
        <v>1</v>
      </c>
      <c r="F504" s="293"/>
      <c r="G504" s="127"/>
      <c r="H504" s="288"/>
      <c r="I504" s="289"/>
    </row>
    <row r="505" spans="1:9">
      <c r="A505" s="126">
        <f t="shared" si="7"/>
        <v>499</v>
      </c>
      <c r="B505" s="306" t="s">
        <v>342</v>
      </c>
      <c r="C505" s="124" t="s">
        <v>343</v>
      </c>
      <c r="D505" s="291"/>
      <c r="E505" s="294">
        <v>1</v>
      </c>
      <c r="F505" s="293"/>
      <c r="G505" s="288"/>
      <c r="H505" s="288"/>
      <c r="I505" s="289"/>
    </row>
    <row r="506" spans="1:9">
      <c r="A506" s="126">
        <f t="shared" si="7"/>
        <v>500</v>
      </c>
      <c r="B506" s="306" t="s">
        <v>344</v>
      </c>
      <c r="C506" s="124" t="s">
        <v>345</v>
      </c>
      <c r="D506" s="291"/>
      <c r="E506" s="294">
        <v>1</v>
      </c>
      <c r="F506" s="293"/>
      <c r="G506" s="288"/>
      <c r="H506" s="288"/>
      <c r="I506" s="289"/>
    </row>
    <row r="507" spans="1:9">
      <c r="A507" s="126">
        <f t="shared" si="7"/>
        <v>501</v>
      </c>
      <c r="B507" s="306" t="s">
        <v>346</v>
      </c>
      <c r="C507" s="124" t="s">
        <v>347</v>
      </c>
      <c r="D507" s="291"/>
      <c r="E507" s="294">
        <v>1</v>
      </c>
      <c r="F507" s="293"/>
      <c r="G507" s="288"/>
      <c r="H507" s="288"/>
      <c r="I507" s="289"/>
    </row>
    <row r="508" spans="1:9">
      <c r="A508" s="126">
        <f t="shared" si="7"/>
        <v>502</v>
      </c>
      <c r="B508" s="306" t="s">
        <v>348</v>
      </c>
      <c r="C508" s="124" t="s">
        <v>349</v>
      </c>
      <c r="D508" s="291"/>
      <c r="E508" s="294">
        <v>1</v>
      </c>
      <c r="F508" s="293"/>
      <c r="G508" s="127"/>
      <c r="H508" s="288"/>
      <c r="I508" s="289"/>
    </row>
    <row r="509" spans="1:9" ht="17.25" customHeight="1">
      <c r="A509" s="126">
        <f t="shared" si="7"/>
        <v>503</v>
      </c>
      <c r="B509" s="306" t="s">
        <v>350</v>
      </c>
      <c r="C509" s="124" t="s">
        <v>351</v>
      </c>
      <c r="D509" s="291"/>
      <c r="E509" s="294">
        <v>1</v>
      </c>
      <c r="F509" s="293"/>
      <c r="G509" s="288"/>
      <c r="H509" s="288"/>
      <c r="I509" s="289"/>
    </row>
    <row r="510" spans="1:9">
      <c r="A510" s="126">
        <f t="shared" si="7"/>
        <v>504</v>
      </c>
      <c r="B510" s="306" t="s">
        <v>352</v>
      </c>
      <c r="C510" s="124" t="s">
        <v>353</v>
      </c>
      <c r="D510" s="291"/>
      <c r="E510" s="294">
        <v>1</v>
      </c>
      <c r="F510" s="293"/>
      <c r="G510" s="288"/>
      <c r="H510" s="288"/>
      <c r="I510" s="289"/>
    </row>
    <row r="511" spans="1:9">
      <c r="A511" s="126">
        <f t="shared" si="7"/>
        <v>505</v>
      </c>
      <c r="B511" s="306" t="s">
        <v>354</v>
      </c>
      <c r="C511" s="124" t="s">
        <v>355</v>
      </c>
      <c r="D511" s="291"/>
      <c r="E511" s="294">
        <v>1</v>
      </c>
      <c r="F511" s="293"/>
      <c r="G511" s="288"/>
      <c r="H511" s="288"/>
      <c r="I511" s="289"/>
    </row>
    <row r="512" spans="1:9">
      <c r="A512" s="126">
        <f t="shared" si="7"/>
        <v>506</v>
      </c>
      <c r="B512" s="306" t="s">
        <v>1128</v>
      </c>
      <c r="C512" s="124" t="s">
        <v>1129</v>
      </c>
      <c r="D512" s="291"/>
      <c r="E512" s="294">
        <v>1</v>
      </c>
      <c r="F512" s="293"/>
      <c r="G512" s="288"/>
      <c r="H512" s="288"/>
      <c r="I512" s="289"/>
    </row>
    <row r="513" spans="1:9">
      <c r="A513" s="126">
        <f t="shared" si="7"/>
        <v>507</v>
      </c>
      <c r="B513" s="306" t="s">
        <v>356</v>
      </c>
      <c r="C513" s="124" t="s">
        <v>357</v>
      </c>
      <c r="D513" s="291"/>
      <c r="E513" s="294">
        <v>1</v>
      </c>
      <c r="F513" s="293"/>
      <c r="G513" s="288"/>
      <c r="H513" s="288"/>
      <c r="I513" s="289"/>
    </row>
    <row r="514" spans="1:9">
      <c r="A514" s="126">
        <f t="shared" si="7"/>
        <v>508</v>
      </c>
      <c r="B514" s="306" t="s">
        <v>358</v>
      </c>
      <c r="C514" s="124" t="s">
        <v>359</v>
      </c>
      <c r="D514" s="291"/>
      <c r="E514" s="294">
        <v>1</v>
      </c>
      <c r="F514" s="293"/>
      <c r="G514" s="288"/>
      <c r="H514" s="288"/>
      <c r="I514" s="289"/>
    </row>
    <row r="515" spans="1:9">
      <c r="A515" s="126">
        <f t="shared" si="7"/>
        <v>509</v>
      </c>
      <c r="B515" s="306" t="s">
        <v>360</v>
      </c>
      <c r="C515" s="124" t="s">
        <v>361</v>
      </c>
      <c r="D515" s="291"/>
      <c r="E515" s="294">
        <v>1</v>
      </c>
      <c r="F515" s="293"/>
      <c r="G515" s="127"/>
      <c r="H515" s="288"/>
      <c r="I515" s="289"/>
    </row>
    <row r="516" spans="1:9">
      <c r="A516" s="126">
        <f t="shared" si="7"/>
        <v>510</v>
      </c>
      <c r="B516" s="306" t="s">
        <v>1130</v>
      </c>
      <c r="C516" s="124" t="s">
        <v>1131</v>
      </c>
      <c r="D516" s="291"/>
      <c r="E516" s="294">
        <v>1</v>
      </c>
      <c r="F516" s="293"/>
      <c r="G516" s="127"/>
      <c r="H516" s="288"/>
      <c r="I516" s="289"/>
    </row>
    <row r="517" spans="1:9">
      <c r="A517" s="126">
        <f t="shared" si="7"/>
        <v>511</v>
      </c>
      <c r="B517" s="306" t="s">
        <v>1132</v>
      </c>
      <c r="C517" s="124" t="s">
        <v>1133</v>
      </c>
      <c r="D517" s="291"/>
      <c r="E517" s="294">
        <v>1</v>
      </c>
      <c r="F517" s="293"/>
      <c r="G517" s="127"/>
      <c r="H517" s="288"/>
      <c r="I517" s="289"/>
    </row>
    <row r="518" spans="1:9">
      <c r="A518" s="126">
        <f t="shared" si="7"/>
        <v>512</v>
      </c>
      <c r="B518" s="306" t="s">
        <v>362</v>
      </c>
      <c r="C518" s="124" t="s">
        <v>363</v>
      </c>
      <c r="D518" s="291"/>
      <c r="E518" s="294">
        <v>1</v>
      </c>
      <c r="F518" s="293"/>
      <c r="G518" s="288"/>
      <c r="H518" s="288"/>
      <c r="I518" s="289"/>
    </row>
    <row r="519" spans="1:9">
      <c r="A519" s="126">
        <f t="shared" si="7"/>
        <v>513</v>
      </c>
      <c r="B519" s="306" t="s">
        <v>364</v>
      </c>
      <c r="C519" s="124" t="s">
        <v>365</v>
      </c>
      <c r="D519" s="291"/>
      <c r="E519" s="294">
        <v>1</v>
      </c>
      <c r="F519" s="293"/>
      <c r="G519" s="288"/>
      <c r="H519" s="288"/>
      <c r="I519" s="289"/>
    </row>
    <row r="520" spans="1:9">
      <c r="A520" s="126">
        <f t="shared" ref="A520:A583" si="8">A519+1</f>
        <v>514</v>
      </c>
      <c r="B520" s="306" t="s">
        <v>366</v>
      </c>
      <c r="C520" s="124" t="s">
        <v>367</v>
      </c>
      <c r="D520" s="291"/>
      <c r="E520" s="294">
        <v>1</v>
      </c>
      <c r="F520" s="293"/>
      <c r="G520" s="288"/>
      <c r="H520" s="288"/>
      <c r="I520" s="289"/>
    </row>
    <row r="521" spans="1:9">
      <c r="A521" s="126">
        <f t="shared" si="8"/>
        <v>515</v>
      </c>
      <c r="B521" s="306" t="s">
        <v>368</v>
      </c>
      <c r="C521" s="124" t="s">
        <v>369</v>
      </c>
      <c r="D521" s="291"/>
      <c r="E521" s="294">
        <v>1</v>
      </c>
      <c r="F521" s="293"/>
      <c r="G521" s="127"/>
      <c r="H521" s="288"/>
      <c r="I521" s="289"/>
    </row>
    <row r="522" spans="1:9">
      <c r="A522" s="126">
        <f t="shared" si="8"/>
        <v>516</v>
      </c>
      <c r="B522" s="306" t="s">
        <v>370</v>
      </c>
      <c r="C522" s="124" t="s">
        <v>371</v>
      </c>
      <c r="D522" s="291"/>
      <c r="E522" s="294">
        <v>1</v>
      </c>
      <c r="F522" s="293"/>
      <c r="G522" s="288"/>
      <c r="H522" s="288"/>
      <c r="I522" s="289"/>
    </row>
    <row r="523" spans="1:9">
      <c r="A523" s="126">
        <f t="shared" si="8"/>
        <v>517</v>
      </c>
      <c r="B523" s="306" t="s">
        <v>372</v>
      </c>
      <c r="C523" s="124" t="s">
        <v>373</v>
      </c>
      <c r="D523" s="291"/>
      <c r="E523" s="294">
        <v>1</v>
      </c>
      <c r="F523" s="293"/>
      <c r="G523" s="288"/>
      <c r="H523" s="288"/>
      <c r="I523" s="289"/>
    </row>
    <row r="524" spans="1:9">
      <c r="A524" s="126">
        <f t="shared" si="8"/>
        <v>518</v>
      </c>
      <c r="B524" s="306" t="s">
        <v>374</v>
      </c>
      <c r="C524" s="124" t="s">
        <v>375</v>
      </c>
      <c r="D524" s="291"/>
      <c r="E524" s="294">
        <v>1</v>
      </c>
      <c r="F524" s="293"/>
      <c r="G524" s="288"/>
      <c r="H524" s="288"/>
      <c r="I524" s="289"/>
    </row>
    <row r="525" spans="1:9" ht="16.5" customHeight="1">
      <c r="A525" s="126">
        <f t="shared" si="8"/>
        <v>519</v>
      </c>
      <c r="B525" s="306" t="s">
        <v>376</v>
      </c>
      <c r="C525" s="124" t="s">
        <v>377</v>
      </c>
      <c r="D525" s="291"/>
      <c r="E525" s="294">
        <v>1</v>
      </c>
      <c r="F525" s="293"/>
      <c r="G525" s="288"/>
      <c r="H525" s="288"/>
      <c r="I525" s="289"/>
    </row>
    <row r="526" spans="1:9">
      <c r="A526" s="126">
        <f t="shared" si="8"/>
        <v>520</v>
      </c>
      <c r="B526" s="306" t="s">
        <v>378</v>
      </c>
      <c r="C526" s="124" t="s">
        <v>379</v>
      </c>
      <c r="D526" s="291"/>
      <c r="E526" s="294">
        <v>1</v>
      </c>
      <c r="F526" s="293"/>
      <c r="G526" s="288"/>
      <c r="H526" s="288"/>
      <c r="I526" s="289"/>
    </row>
    <row r="527" spans="1:9" ht="26">
      <c r="A527" s="126">
        <f t="shared" si="8"/>
        <v>521</v>
      </c>
      <c r="B527" s="307" t="s">
        <v>380</v>
      </c>
      <c r="C527" s="128" t="s">
        <v>381</v>
      </c>
      <c r="D527" s="291"/>
      <c r="E527" s="294">
        <v>1</v>
      </c>
      <c r="F527" s="293"/>
      <c r="G527" s="288"/>
      <c r="H527" s="288"/>
      <c r="I527" s="297" t="s">
        <v>2131</v>
      </c>
    </row>
    <row r="528" spans="1:9">
      <c r="A528" s="126">
        <f t="shared" si="8"/>
        <v>522</v>
      </c>
      <c r="B528" s="306" t="s">
        <v>1134</v>
      </c>
      <c r="C528" s="124" t="s">
        <v>1135</v>
      </c>
      <c r="D528" s="291"/>
      <c r="E528" s="294">
        <v>1</v>
      </c>
      <c r="F528" s="293"/>
      <c r="G528" s="127"/>
      <c r="H528" s="288"/>
      <c r="I528" s="289"/>
    </row>
    <row r="529" spans="1:9">
      <c r="A529" s="126">
        <f t="shared" si="8"/>
        <v>523</v>
      </c>
      <c r="B529" s="306" t="s">
        <v>382</v>
      </c>
      <c r="C529" s="124" t="s">
        <v>383</v>
      </c>
      <c r="D529" s="291"/>
      <c r="E529" s="294">
        <v>1</v>
      </c>
      <c r="F529" s="293"/>
      <c r="G529" s="127"/>
      <c r="H529" s="288"/>
      <c r="I529" s="289"/>
    </row>
    <row r="530" spans="1:9">
      <c r="A530" s="126">
        <f t="shared" si="8"/>
        <v>524</v>
      </c>
      <c r="B530" s="306" t="s">
        <v>384</v>
      </c>
      <c r="C530" s="124" t="s">
        <v>385</v>
      </c>
      <c r="D530" s="291"/>
      <c r="E530" s="294">
        <v>1</v>
      </c>
      <c r="F530" s="293"/>
      <c r="G530" s="127"/>
      <c r="H530" s="288"/>
      <c r="I530" s="289"/>
    </row>
    <row r="531" spans="1:9">
      <c r="A531" s="126">
        <f t="shared" si="8"/>
        <v>525</v>
      </c>
      <c r="B531" s="306" t="s">
        <v>386</v>
      </c>
      <c r="C531" s="124" t="s">
        <v>387</v>
      </c>
      <c r="D531" s="291"/>
      <c r="E531" s="294">
        <v>1</v>
      </c>
      <c r="F531" s="293"/>
      <c r="G531" s="288"/>
      <c r="H531" s="288"/>
      <c r="I531" s="289"/>
    </row>
    <row r="532" spans="1:9">
      <c r="A532" s="126">
        <f t="shared" si="8"/>
        <v>526</v>
      </c>
      <c r="B532" s="306" t="s">
        <v>388</v>
      </c>
      <c r="C532" s="124" t="s">
        <v>389</v>
      </c>
      <c r="D532" s="291"/>
      <c r="E532" s="294">
        <v>1</v>
      </c>
      <c r="F532" s="293"/>
      <c r="G532" s="288"/>
      <c r="H532" s="288"/>
      <c r="I532" s="289"/>
    </row>
    <row r="533" spans="1:9">
      <c r="A533" s="126">
        <f t="shared" si="8"/>
        <v>527</v>
      </c>
      <c r="B533" s="306" t="s">
        <v>390</v>
      </c>
      <c r="C533" s="124" t="s">
        <v>391</v>
      </c>
      <c r="D533" s="291"/>
      <c r="E533" s="294">
        <v>1</v>
      </c>
      <c r="F533" s="293"/>
      <c r="G533" s="288"/>
      <c r="H533" s="288"/>
      <c r="I533" s="289"/>
    </row>
    <row r="534" spans="1:9">
      <c r="A534" s="126">
        <f t="shared" si="8"/>
        <v>528</v>
      </c>
      <c r="B534" s="306" t="s">
        <v>392</v>
      </c>
      <c r="C534" s="124" t="s">
        <v>393</v>
      </c>
      <c r="D534" s="291"/>
      <c r="E534" s="294">
        <v>1</v>
      </c>
      <c r="F534" s="293"/>
      <c r="G534" s="127"/>
      <c r="H534" s="288"/>
      <c r="I534" s="289"/>
    </row>
    <row r="535" spans="1:9">
      <c r="A535" s="126">
        <f t="shared" si="8"/>
        <v>529</v>
      </c>
      <c r="B535" s="306" t="s">
        <v>394</v>
      </c>
      <c r="C535" s="124" t="s">
        <v>395</v>
      </c>
      <c r="D535" s="291"/>
      <c r="E535" s="294">
        <v>1</v>
      </c>
      <c r="F535" s="293"/>
      <c r="G535" s="288"/>
      <c r="H535" s="288"/>
      <c r="I535" s="289"/>
    </row>
    <row r="536" spans="1:9">
      <c r="A536" s="126">
        <f t="shared" si="8"/>
        <v>530</v>
      </c>
      <c r="B536" s="306" t="s">
        <v>1136</v>
      </c>
      <c r="C536" s="124" t="s">
        <v>1137</v>
      </c>
      <c r="D536" s="291"/>
      <c r="E536" s="294">
        <v>1</v>
      </c>
      <c r="F536" s="293"/>
      <c r="G536" s="288"/>
      <c r="H536" s="288"/>
      <c r="I536" s="289"/>
    </row>
    <row r="537" spans="1:9">
      <c r="A537" s="126">
        <f t="shared" si="8"/>
        <v>531</v>
      </c>
      <c r="B537" s="306" t="s">
        <v>396</v>
      </c>
      <c r="C537" s="124" t="s">
        <v>397</v>
      </c>
      <c r="D537" s="291"/>
      <c r="E537" s="294">
        <v>1</v>
      </c>
      <c r="F537" s="293"/>
      <c r="G537" s="288"/>
      <c r="H537" s="288"/>
      <c r="I537" s="289"/>
    </row>
    <row r="538" spans="1:9">
      <c r="A538" s="126">
        <f t="shared" si="8"/>
        <v>532</v>
      </c>
      <c r="B538" s="306" t="s">
        <v>398</v>
      </c>
      <c r="C538" s="124" t="s">
        <v>399</v>
      </c>
      <c r="D538" s="291"/>
      <c r="E538" s="294">
        <v>1</v>
      </c>
      <c r="F538" s="293"/>
      <c r="G538" s="288"/>
      <c r="H538" s="288"/>
      <c r="I538" s="289"/>
    </row>
    <row r="539" spans="1:9">
      <c r="A539" s="126">
        <f t="shared" si="8"/>
        <v>533</v>
      </c>
      <c r="B539" s="306" t="s">
        <v>400</v>
      </c>
      <c r="C539" s="124" t="s">
        <v>401</v>
      </c>
      <c r="D539" s="291"/>
      <c r="E539" s="294">
        <v>1</v>
      </c>
      <c r="F539" s="293"/>
      <c r="G539" s="288"/>
      <c r="H539" s="288"/>
      <c r="I539" s="289"/>
    </row>
    <row r="540" spans="1:9">
      <c r="A540" s="126">
        <f t="shared" si="8"/>
        <v>534</v>
      </c>
      <c r="B540" s="306" t="s">
        <v>402</v>
      </c>
      <c r="C540" s="124" t="s">
        <v>403</v>
      </c>
      <c r="D540" s="291"/>
      <c r="E540" s="294">
        <v>1</v>
      </c>
      <c r="F540" s="293"/>
      <c r="G540" s="288"/>
      <c r="H540" s="288"/>
      <c r="I540" s="289"/>
    </row>
    <row r="541" spans="1:9">
      <c r="A541" s="126">
        <f t="shared" si="8"/>
        <v>535</v>
      </c>
      <c r="B541" s="306" t="s">
        <v>404</v>
      </c>
      <c r="C541" s="124" t="s">
        <v>405</v>
      </c>
      <c r="D541" s="291"/>
      <c r="E541" s="294">
        <v>1</v>
      </c>
      <c r="F541" s="293"/>
      <c r="G541" s="127"/>
      <c r="H541" s="288"/>
      <c r="I541" s="289"/>
    </row>
    <row r="542" spans="1:9">
      <c r="A542" s="126">
        <f t="shared" si="8"/>
        <v>536</v>
      </c>
      <c r="B542" s="306" t="s">
        <v>406</v>
      </c>
      <c r="C542" s="124" t="s">
        <v>407</v>
      </c>
      <c r="D542" s="291"/>
      <c r="E542" s="294">
        <v>1</v>
      </c>
      <c r="F542" s="293"/>
      <c r="G542" s="288"/>
      <c r="H542" s="288"/>
      <c r="I542" s="289"/>
    </row>
    <row r="543" spans="1:9">
      <c r="A543" s="126">
        <f t="shared" si="8"/>
        <v>537</v>
      </c>
      <c r="B543" s="306" t="s">
        <v>408</v>
      </c>
      <c r="C543" s="124" t="s">
        <v>409</v>
      </c>
      <c r="D543" s="291"/>
      <c r="E543" s="294">
        <v>1</v>
      </c>
      <c r="F543" s="293"/>
      <c r="G543" s="127"/>
      <c r="H543" s="288"/>
      <c r="I543" s="289"/>
    </row>
    <row r="544" spans="1:9">
      <c r="A544" s="126">
        <f t="shared" si="8"/>
        <v>538</v>
      </c>
      <c r="B544" s="306" t="s">
        <v>410</v>
      </c>
      <c r="C544" s="124" t="s">
        <v>411</v>
      </c>
      <c r="D544" s="291"/>
      <c r="E544" s="294">
        <v>1</v>
      </c>
      <c r="F544" s="293"/>
      <c r="G544" s="127"/>
      <c r="H544" s="288"/>
      <c r="I544" s="289"/>
    </row>
    <row r="545" spans="1:9">
      <c r="A545" s="126">
        <f t="shared" si="8"/>
        <v>539</v>
      </c>
      <c r="B545" s="306" t="s">
        <v>412</v>
      </c>
      <c r="C545" s="124" t="s">
        <v>413</v>
      </c>
      <c r="D545" s="291"/>
      <c r="E545" s="294">
        <v>1</v>
      </c>
      <c r="F545" s="293"/>
      <c r="G545" s="127"/>
      <c r="H545" s="288"/>
      <c r="I545" s="289"/>
    </row>
    <row r="546" spans="1:9" ht="15" customHeight="1">
      <c r="A546" s="126">
        <f t="shared" si="8"/>
        <v>540</v>
      </c>
      <c r="B546" s="306" t="s">
        <v>414</v>
      </c>
      <c r="C546" s="124" t="s">
        <v>415</v>
      </c>
      <c r="D546" s="291"/>
      <c r="E546" s="294">
        <v>1</v>
      </c>
      <c r="F546" s="293"/>
      <c r="G546" s="288"/>
      <c r="H546" s="288"/>
      <c r="I546" s="289"/>
    </row>
    <row r="547" spans="1:9">
      <c r="A547" s="126">
        <f t="shared" si="8"/>
        <v>541</v>
      </c>
      <c r="B547" s="306" t="s">
        <v>416</v>
      </c>
      <c r="C547" s="124" t="s">
        <v>417</v>
      </c>
      <c r="D547" s="291"/>
      <c r="E547" s="294">
        <v>1</v>
      </c>
      <c r="F547" s="293"/>
      <c r="G547" s="288"/>
      <c r="H547" s="288"/>
      <c r="I547" s="289"/>
    </row>
    <row r="548" spans="1:9">
      <c r="A548" s="126">
        <f t="shared" si="8"/>
        <v>542</v>
      </c>
      <c r="B548" s="306" t="s">
        <v>418</v>
      </c>
      <c r="C548" s="124" t="s">
        <v>419</v>
      </c>
      <c r="D548" s="291"/>
      <c r="E548" s="294">
        <v>1</v>
      </c>
      <c r="F548" s="293"/>
      <c r="G548" s="288"/>
      <c r="H548" s="288"/>
      <c r="I548" s="289"/>
    </row>
    <row r="549" spans="1:9">
      <c r="A549" s="126">
        <f t="shared" si="8"/>
        <v>543</v>
      </c>
      <c r="B549" s="306" t="s">
        <v>420</v>
      </c>
      <c r="C549" s="124" t="s">
        <v>421</v>
      </c>
      <c r="D549" s="291"/>
      <c r="E549" s="294">
        <v>1</v>
      </c>
      <c r="F549" s="293"/>
      <c r="G549" s="127"/>
      <c r="H549" s="288"/>
      <c r="I549" s="289"/>
    </row>
    <row r="550" spans="1:9">
      <c r="A550" s="126">
        <f t="shared" si="8"/>
        <v>544</v>
      </c>
      <c r="B550" s="306" t="s">
        <v>422</v>
      </c>
      <c r="C550" s="124" t="s">
        <v>423</v>
      </c>
      <c r="D550" s="291"/>
      <c r="E550" s="294">
        <v>1</v>
      </c>
      <c r="F550" s="293"/>
      <c r="G550" s="288"/>
      <c r="H550" s="288"/>
      <c r="I550" s="289"/>
    </row>
    <row r="551" spans="1:9">
      <c r="A551" s="126">
        <f t="shared" si="8"/>
        <v>545</v>
      </c>
      <c r="B551" s="306" t="s">
        <v>424</v>
      </c>
      <c r="C551" s="124" t="s">
        <v>425</v>
      </c>
      <c r="D551" s="291"/>
      <c r="E551" s="294">
        <v>1</v>
      </c>
      <c r="F551" s="293"/>
      <c r="G551" s="288"/>
      <c r="H551" s="288"/>
      <c r="I551" s="289"/>
    </row>
    <row r="552" spans="1:9">
      <c r="A552" s="126">
        <f t="shared" si="8"/>
        <v>546</v>
      </c>
      <c r="B552" s="306" t="s">
        <v>426</v>
      </c>
      <c r="C552" s="124" t="s">
        <v>427</v>
      </c>
      <c r="D552" s="291"/>
      <c r="E552" s="294">
        <v>1</v>
      </c>
      <c r="F552" s="293"/>
      <c r="G552" s="288"/>
      <c r="H552" s="288"/>
      <c r="I552" s="289"/>
    </row>
    <row r="553" spans="1:9">
      <c r="A553" s="126">
        <f t="shared" si="8"/>
        <v>547</v>
      </c>
      <c r="B553" s="306" t="s">
        <v>428</v>
      </c>
      <c r="C553" s="124" t="s">
        <v>429</v>
      </c>
      <c r="D553" s="291"/>
      <c r="E553" s="294">
        <v>1</v>
      </c>
      <c r="F553" s="293"/>
      <c r="G553" s="288"/>
      <c r="H553" s="288"/>
      <c r="I553" s="289"/>
    </row>
    <row r="554" spans="1:9">
      <c r="A554" s="126">
        <f t="shared" si="8"/>
        <v>548</v>
      </c>
      <c r="B554" s="306" t="s">
        <v>1138</v>
      </c>
      <c r="C554" s="124" t="s">
        <v>1139</v>
      </c>
      <c r="D554" s="291"/>
      <c r="E554" s="294"/>
      <c r="F554" s="293"/>
      <c r="G554" s="288" t="s">
        <v>1454</v>
      </c>
      <c r="H554" s="288"/>
      <c r="I554" s="289"/>
    </row>
    <row r="555" spans="1:9">
      <c r="A555" s="126">
        <f t="shared" si="8"/>
        <v>549</v>
      </c>
      <c r="B555" s="306" t="s">
        <v>430</v>
      </c>
      <c r="C555" s="124" t="s">
        <v>431</v>
      </c>
      <c r="D555" s="291"/>
      <c r="E555" s="294">
        <v>1</v>
      </c>
      <c r="F555" s="293"/>
      <c r="G555" s="288"/>
      <c r="H555" s="288"/>
      <c r="I555" s="289"/>
    </row>
    <row r="556" spans="1:9">
      <c r="A556" s="126">
        <f t="shared" si="8"/>
        <v>550</v>
      </c>
      <c r="B556" s="306" t="s">
        <v>432</v>
      </c>
      <c r="C556" s="124" t="s">
        <v>433</v>
      </c>
      <c r="D556" s="291"/>
      <c r="E556" s="294">
        <v>1</v>
      </c>
      <c r="F556" s="293"/>
      <c r="G556" s="127"/>
      <c r="H556" s="288"/>
      <c r="I556" s="289"/>
    </row>
    <row r="557" spans="1:9">
      <c r="A557" s="126">
        <f t="shared" si="8"/>
        <v>551</v>
      </c>
      <c r="B557" s="306" t="s">
        <v>434</v>
      </c>
      <c r="C557" s="124" t="s">
        <v>435</v>
      </c>
      <c r="D557" s="291"/>
      <c r="E557" s="294">
        <v>1</v>
      </c>
      <c r="F557" s="293"/>
      <c r="G557" s="127"/>
      <c r="H557" s="288"/>
      <c r="I557" s="289"/>
    </row>
    <row r="558" spans="1:9">
      <c r="A558" s="126">
        <f t="shared" si="8"/>
        <v>552</v>
      </c>
      <c r="B558" s="306" t="s">
        <v>436</v>
      </c>
      <c r="C558" s="124" t="s">
        <v>437</v>
      </c>
      <c r="D558" s="291"/>
      <c r="E558" s="294">
        <v>1</v>
      </c>
      <c r="F558" s="293"/>
      <c r="G558" s="127"/>
      <c r="H558" s="288"/>
      <c r="I558" s="289"/>
    </row>
    <row r="559" spans="1:9">
      <c r="A559" s="126">
        <f t="shared" si="8"/>
        <v>553</v>
      </c>
      <c r="B559" s="306" t="s">
        <v>438</v>
      </c>
      <c r="C559" s="124" t="s">
        <v>439</v>
      </c>
      <c r="D559" s="291"/>
      <c r="E559" s="294">
        <v>1</v>
      </c>
      <c r="F559" s="293"/>
      <c r="G559" s="288"/>
      <c r="H559" s="288"/>
      <c r="I559" s="289"/>
    </row>
    <row r="560" spans="1:9">
      <c r="A560" s="126">
        <f t="shared" si="8"/>
        <v>554</v>
      </c>
      <c r="B560" s="306" t="s">
        <v>1140</v>
      </c>
      <c r="C560" s="124" t="s">
        <v>1141</v>
      </c>
      <c r="D560" s="291"/>
      <c r="E560" s="294">
        <v>1</v>
      </c>
      <c r="F560" s="293"/>
      <c r="G560" s="288"/>
      <c r="H560" s="288"/>
      <c r="I560" s="289"/>
    </row>
    <row r="561" spans="1:9">
      <c r="A561" s="126">
        <f t="shared" si="8"/>
        <v>555</v>
      </c>
      <c r="B561" s="306" t="s">
        <v>440</v>
      </c>
      <c r="C561" s="124" t="s">
        <v>441</v>
      </c>
      <c r="D561" s="291"/>
      <c r="E561" s="294">
        <v>1</v>
      </c>
      <c r="F561" s="293"/>
      <c r="G561" s="288"/>
      <c r="H561" s="288"/>
      <c r="I561" s="289"/>
    </row>
    <row r="562" spans="1:9">
      <c r="A562" s="126">
        <f t="shared" si="8"/>
        <v>556</v>
      </c>
      <c r="B562" s="306" t="s">
        <v>442</v>
      </c>
      <c r="C562" s="124" t="s">
        <v>443</v>
      </c>
      <c r="D562" s="291"/>
      <c r="E562" s="294">
        <v>1</v>
      </c>
      <c r="F562" s="293"/>
      <c r="G562" s="127"/>
      <c r="H562" s="288"/>
      <c r="I562" s="289"/>
    </row>
    <row r="563" spans="1:9">
      <c r="A563" s="126">
        <f t="shared" si="8"/>
        <v>557</v>
      </c>
      <c r="B563" s="306" t="s">
        <v>1142</v>
      </c>
      <c r="C563" s="124" t="s">
        <v>1143</v>
      </c>
      <c r="D563" s="291"/>
      <c r="E563" s="294">
        <v>1</v>
      </c>
      <c r="F563" s="293"/>
      <c r="G563" s="288"/>
      <c r="H563" s="288"/>
      <c r="I563" s="289"/>
    </row>
    <row r="564" spans="1:9">
      <c r="A564" s="126">
        <f t="shared" si="8"/>
        <v>558</v>
      </c>
      <c r="B564" s="306" t="s">
        <v>444</v>
      </c>
      <c r="C564" s="124" t="s">
        <v>445</v>
      </c>
      <c r="D564" s="291"/>
      <c r="E564" s="294">
        <v>1</v>
      </c>
      <c r="F564" s="293"/>
      <c r="G564" s="288"/>
      <c r="H564" s="288"/>
      <c r="I564" s="289"/>
    </row>
    <row r="565" spans="1:9">
      <c r="A565" s="126">
        <f t="shared" si="8"/>
        <v>559</v>
      </c>
      <c r="B565" s="306" t="s">
        <v>446</v>
      </c>
      <c r="C565" s="124" t="s">
        <v>447</v>
      </c>
      <c r="D565" s="291"/>
      <c r="E565" s="294">
        <v>1</v>
      </c>
      <c r="F565" s="293"/>
      <c r="G565" s="288"/>
      <c r="H565" s="288"/>
      <c r="I565" s="289"/>
    </row>
    <row r="566" spans="1:9">
      <c r="A566" s="126">
        <f t="shared" si="8"/>
        <v>560</v>
      </c>
      <c r="B566" s="306" t="s">
        <v>448</v>
      </c>
      <c r="C566" s="124" t="s">
        <v>449</v>
      </c>
      <c r="D566" s="291"/>
      <c r="E566" s="294">
        <v>1</v>
      </c>
      <c r="F566" s="293"/>
      <c r="G566" s="288"/>
      <c r="H566" s="288"/>
      <c r="I566" s="289"/>
    </row>
    <row r="567" spans="1:9">
      <c r="A567" s="126">
        <f t="shared" si="8"/>
        <v>561</v>
      </c>
      <c r="B567" s="306" t="s">
        <v>450</v>
      </c>
      <c r="C567" s="124" t="s">
        <v>451</v>
      </c>
      <c r="D567" s="291"/>
      <c r="E567" s="294">
        <v>1</v>
      </c>
      <c r="F567" s="293"/>
      <c r="G567" s="288"/>
      <c r="H567" s="288"/>
      <c r="I567" s="289"/>
    </row>
    <row r="568" spans="1:9">
      <c r="A568" s="126">
        <f t="shared" si="8"/>
        <v>562</v>
      </c>
      <c r="B568" s="306" t="s">
        <v>452</v>
      </c>
      <c r="C568" s="124" t="s">
        <v>453</v>
      </c>
      <c r="D568" s="291"/>
      <c r="E568" s="294">
        <v>1</v>
      </c>
      <c r="F568" s="293"/>
      <c r="G568" s="288"/>
      <c r="H568" s="288"/>
      <c r="I568" s="289"/>
    </row>
    <row r="569" spans="1:9">
      <c r="A569" s="126">
        <f t="shared" si="8"/>
        <v>563</v>
      </c>
      <c r="B569" s="306" t="s">
        <v>454</v>
      </c>
      <c r="C569" s="124" t="s">
        <v>455</v>
      </c>
      <c r="D569" s="291"/>
      <c r="E569" s="294">
        <v>1</v>
      </c>
      <c r="F569" s="293"/>
      <c r="G569" s="127"/>
      <c r="H569" s="288"/>
      <c r="I569" s="289"/>
    </row>
    <row r="570" spans="1:9">
      <c r="A570" s="126">
        <f t="shared" si="8"/>
        <v>564</v>
      </c>
      <c r="B570" s="306" t="s">
        <v>456</v>
      </c>
      <c r="C570" s="124" t="s">
        <v>457</v>
      </c>
      <c r="D570" s="291"/>
      <c r="E570" s="294">
        <v>1</v>
      </c>
      <c r="F570" s="293"/>
      <c r="G570" s="127"/>
      <c r="H570" s="288"/>
      <c r="I570" s="289"/>
    </row>
    <row r="571" spans="1:9">
      <c r="A571" s="126">
        <f t="shared" si="8"/>
        <v>565</v>
      </c>
      <c r="B571" s="306" t="s">
        <v>1144</v>
      </c>
      <c r="C571" s="124" t="s">
        <v>1145</v>
      </c>
      <c r="D571" s="291"/>
      <c r="E571" s="294">
        <v>1</v>
      </c>
      <c r="F571" s="293"/>
      <c r="G571" s="127"/>
      <c r="H571" s="288"/>
      <c r="I571" s="289"/>
    </row>
    <row r="572" spans="1:9">
      <c r="A572" s="126">
        <f t="shared" si="8"/>
        <v>566</v>
      </c>
      <c r="B572" s="283"/>
      <c r="C572" s="305"/>
      <c r="D572" s="291"/>
      <c r="E572" s="294"/>
      <c r="F572" s="293"/>
      <c r="G572" s="127"/>
      <c r="H572" s="288"/>
      <c r="I572" s="289"/>
    </row>
    <row r="573" spans="1:9" ht="26">
      <c r="A573" s="126">
        <f t="shared" si="8"/>
        <v>567</v>
      </c>
      <c r="B573" s="283"/>
      <c r="C573" s="284" t="s">
        <v>2132</v>
      </c>
      <c r="D573" s="291"/>
      <c r="E573" s="294"/>
      <c r="F573" s="293"/>
      <c r="G573" s="127"/>
      <c r="H573" s="288"/>
      <c r="I573" s="289"/>
    </row>
    <row r="574" spans="1:9">
      <c r="A574" s="126">
        <f t="shared" si="8"/>
        <v>568</v>
      </c>
      <c r="B574" s="306" t="s">
        <v>715</v>
      </c>
      <c r="C574" s="290" t="s">
        <v>716</v>
      </c>
      <c r="D574" s="291"/>
      <c r="E574" s="294">
        <v>3</v>
      </c>
      <c r="F574" s="293"/>
      <c r="G574" s="288"/>
      <c r="H574" s="288"/>
      <c r="I574" s="289"/>
    </row>
    <row r="575" spans="1:9">
      <c r="A575" s="126">
        <f t="shared" si="8"/>
        <v>569</v>
      </c>
      <c r="B575" s="306" t="s">
        <v>717</v>
      </c>
      <c r="C575" s="290" t="s">
        <v>718</v>
      </c>
      <c r="D575" s="291"/>
      <c r="E575" s="294">
        <v>3</v>
      </c>
      <c r="F575" s="293"/>
      <c r="G575" s="288"/>
      <c r="H575" s="288"/>
      <c r="I575" s="289" t="s">
        <v>2133</v>
      </c>
    </row>
    <row r="576" spans="1:9">
      <c r="A576" s="126">
        <f t="shared" si="8"/>
        <v>570</v>
      </c>
      <c r="B576" s="306" t="s">
        <v>719</v>
      </c>
      <c r="C576" s="290" t="s">
        <v>720</v>
      </c>
      <c r="D576" s="291"/>
      <c r="E576" s="294">
        <v>3</v>
      </c>
      <c r="F576" s="293"/>
      <c r="G576" s="288"/>
      <c r="H576" s="288"/>
      <c r="I576" s="289"/>
    </row>
    <row r="577" spans="1:9" ht="14.25" customHeight="1">
      <c r="A577" s="126">
        <f t="shared" si="8"/>
        <v>571</v>
      </c>
      <c r="B577" s="306" t="s">
        <v>721</v>
      </c>
      <c r="C577" s="290" t="s">
        <v>722</v>
      </c>
      <c r="D577" s="291"/>
      <c r="E577" s="294">
        <v>3</v>
      </c>
      <c r="F577" s="293"/>
      <c r="G577" s="127"/>
      <c r="H577" s="288"/>
      <c r="I577" s="289"/>
    </row>
    <row r="578" spans="1:9" ht="26">
      <c r="A578" s="126">
        <f t="shared" si="8"/>
        <v>572</v>
      </c>
      <c r="B578" s="306" t="s">
        <v>723</v>
      </c>
      <c r="C578" s="290" t="s">
        <v>724</v>
      </c>
      <c r="D578" s="291"/>
      <c r="E578" s="294">
        <v>3</v>
      </c>
      <c r="F578" s="293"/>
      <c r="G578" s="288"/>
      <c r="H578" s="288"/>
      <c r="I578" s="289"/>
    </row>
    <row r="579" spans="1:9">
      <c r="A579" s="126">
        <f t="shared" si="8"/>
        <v>573</v>
      </c>
      <c r="B579" s="306" t="s">
        <v>725</v>
      </c>
      <c r="C579" s="290" t="s">
        <v>726</v>
      </c>
      <c r="D579" s="291"/>
      <c r="E579" s="294">
        <v>3</v>
      </c>
      <c r="F579" s="293"/>
      <c r="G579" s="127"/>
      <c r="H579" s="288"/>
      <c r="I579" s="289"/>
    </row>
    <row r="580" spans="1:9">
      <c r="A580" s="126">
        <f t="shared" si="8"/>
        <v>574</v>
      </c>
      <c r="B580" s="306" t="s">
        <v>728</v>
      </c>
      <c r="C580" s="290" t="s">
        <v>729</v>
      </c>
      <c r="D580" s="291"/>
      <c r="E580" s="294">
        <v>3</v>
      </c>
      <c r="F580" s="293"/>
      <c r="G580" s="288"/>
      <c r="H580" s="288"/>
      <c r="I580" s="289"/>
    </row>
    <row r="581" spans="1:9" ht="15.75" customHeight="1">
      <c r="A581" s="126">
        <f t="shared" si="8"/>
        <v>575</v>
      </c>
      <c r="B581" s="306" t="s">
        <v>730</v>
      </c>
      <c r="C581" s="290" t="s">
        <v>731</v>
      </c>
      <c r="D581" s="291"/>
      <c r="E581" s="294">
        <v>3</v>
      </c>
      <c r="F581" s="293"/>
      <c r="G581" s="127"/>
      <c r="H581" s="288"/>
      <c r="I581" s="289"/>
    </row>
    <row r="582" spans="1:9">
      <c r="A582" s="126">
        <f t="shared" si="8"/>
        <v>576</v>
      </c>
      <c r="B582" s="306" t="s">
        <v>1184</v>
      </c>
      <c r="C582" s="290" t="s">
        <v>1185</v>
      </c>
      <c r="D582" s="291"/>
      <c r="E582" s="294">
        <v>3</v>
      </c>
      <c r="F582" s="293"/>
      <c r="G582" s="127"/>
      <c r="H582" s="288"/>
      <c r="I582" s="289"/>
    </row>
    <row r="583" spans="1:9">
      <c r="A583" s="126">
        <f t="shared" si="8"/>
        <v>577</v>
      </c>
      <c r="B583" s="306" t="s">
        <v>732</v>
      </c>
      <c r="C583" s="290" t="s">
        <v>733</v>
      </c>
      <c r="D583" s="291"/>
      <c r="E583" s="294">
        <v>3</v>
      </c>
      <c r="F583" s="293"/>
      <c r="G583" s="127"/>
      <c r="H583" s="288"/>
      <c r="I583" s="289"/>
    </row>
    <row r="584" spans="1:9" ht="16.5" customHeight="1">
      <c r="A584" s="126">
        <f t="shared" ref="A584:A647" si="9">A583+1</f>
        <v>578</v>
      </c>
      <c r="B584" s="306" t="s">
        <v>734</v>
      </c>
      <c r="C584" s="290" t="s">
        <v>735</v>
      </c>
      <c r="D584" s="291"/>
      <c r="E584" s="294">
        <v>3</v>
      </c>
      <c r="F584" s="293"/>
      <c r="G584" s="288"/>
      <c r="H584" s="288"/>
      <c r="I584" s="289"/>
    </row>
    <row r="585" spans="1:9">
      <c r="A585" s="126">
        <f t="shared" si="9"/>
        <v>579</v>
      </c>
      <c r="B585" s="306" t="s">
        <v>1186</v>
      </c>
      <c r="C585" s="290" t="s">
        <v>1187</v>
      </c>
      <c r="D585" s="291"/>
      <c r="E585" s="294">
        <v>3</v>
      </c>
      <c r="F585" s="293"/>
      <c r="G585" s="288"/>
      <c r="H585" s="288"/>
      <c r="I585" s="289"/>
    </row>
    <row r="586" spans="1:9">
      <c r="A586" s="126">
        <f t="shared" si="9"/>
        <v>580</v>
      </c>
      <c r="B586" s="306" t="s">
        <v>736</v>
      </c>
      <c r="C586" s="290" t="s">
        <v>1187</v>
      </c>
      <c r="D586" s="291"/>
      <c r="E586" s="294">
        <v>3</v>
      </c>
      <c r="F586" s="293"/>
      <c r="G586" s="288"/>
      <c r="H586" s="288"/>
      <c r="I586" s="289"/>
    </row>
    <row r="587" spans="1:9" ht="15" customHeight="1">
      <c r="A587" s="126">
        <f t="shared" si="9"/>
        <v>581</v>
      </c>
      <c r="B587" s="306" t="s">
        <v>738</v>
      </c>
      <c r="C587" s="290" t="s">
        <v>737</v>
      </c>
      <c r="D587" s="291"/>
      <c r="E587" s="294">
        <v>3</v>
      </c>
      <c r="F587" s="293"/>
      <c r="G587" s="127"/>
      <c r="H587" s="288"/>
      <c r="I587" s="289"/>
    </row>
    <row r="588" spans="1:9">
      <c r="A588" s="126">
        <f t="shared" si="9"/>
        <v>582</v>
      </c>
      <c r="B588" s="306" t="s">
        <v>740</v>
      </c>
      <c r="C588" s="290" t="s">
        <v>739</v>
      </c>
      <c r="D588" s="291"/>
      <c r="E588" s="294">
        <v>3</v>
      </c>
      <c r="F588" s="293"/>
      <c r="G588" s="288"/>
      <c r="H588" s="288"/>
      <c r="I588" s="289"/>
    </row>
    <row r="589" spans="1:9">
      <c r="A589" s="126">
        <f t="shared" si="9"/>
        <v>583</v>
      </c>
      <c r="B589" s="306" t="s">
        <v>742</v>
      </c>
      <c r="C589" s="290" t="s">
        <v>741</v>
      </c>
      <c r="D589" s="291"/>
      <c r="E589" s="294">
        <v>3</v>
      </c>
      <c r="F589" s="293"/>
      <c r="G589" s="288"/>
      <c r="H589" s="288"/>
      <c r="I589" s="289"/>
    </row>
    <row r="590" spans="1:9" ht="15.75" customHeight="1">
      <c r="A590" s="126">
        <f t="shared" si="9"/>
        <v>584</v>
      </c>
      <c r="B590" s="306" t="s">
        <v>744</v>
      </c>
      <c r="C590" s="290" t="s">
        <v>743</v>
      </c>
      <c r="D590" s="291"/>
      <c r="E590" s="294">
        <v>3</v>
      </c>
      <c r="F590" s="293"/>
      <c r="G590" s="288"/>
      <c r="H590" s="288"/>
      <c r="I590" s="289"/>
    </row>
    <row r="591" spans="1:9">
      <c r="A591" s="126">
        <f t="shared" si="9"/>
        <v>585</v>
      </c>
      <c r="B591" s="308" t="s">
        <v>746</v>
      </c>
      <c r="C591" s="290" t="s">
        <v>747</v>
      </c>
      <c r="D591" s="291"/>
      <c r="E591" s="294">
        <v>3</v>
      </c>
      <c r="F591" s="293"/>
      <c r="G591" s="288"/>
      <c r="H591" s="288"/>
      <c r="I591" s="289" t="s">
        <v>2134</v>
      </c>
    </row>
    <row r="592" spans="1:9" ht="16.5" customHeight="1">
      <c r="A592" s="126">
        <f t="shared" si="9"/>
        <v>586</v>
      </c>
      <c r="B592" s="306" t="s">
        <v>748</v>
      </c>
      <c r="C592" s="290" t="s">
        <v>749</v>
      </c>
      <c r="D592" s="291"/>
      <c r="E592" s="294">
        <v>3</v>
      </c>
      <c r="F592" s="293"/>
      <c r="G592" s="288"/>
      <c r="H592" s="288"/>
      <c r="I592" s="289"/>
    </row>
    <row r="593" spans="1:9">
      <c r="A593" s="126">
        <f t="shared" si="9"/>
        <v>587</v>
      </c>
      <c r="B593" s="306" t="s">
        <v>750</v>
      </c>
      <c r="C593" s="290" t="s">
        <v>751</v>
      </c>
      <c r="D593" s="291"/>
      <c r="E593" s="294">
        <v>3</v>
      </c>
      <c r="F593" s="293"/>
      <c r="G593" s="288"/>
      <c r="H593" s="288"/>
      <c r="I593" s="289"/>
    </row>
    <row r="594" spans="1:9">
      <c r="A594" s="126">
        <f t="shared" si="9"/>
        <v>588</v>
      </c>
      <c r="B594" s="283"/>
      <c r="D594" s="291"/>
      <c r="E594" s="294"/>
      <c r="F594" s="293"/>
      <c r="G594" s="127"/>
      <c r="H594" s="288"/>
      <c r="I594" s="289"/>
    </row>
    <row r="595" spans="1:9">
      <c r="A595" s="126">
        <f t="shared" si="9"/>
        <v>589</v>
      </c>
      <c r="B595" s="283"/>
      <c r="C595" s="284" t="s">
        <v>2135</v>
      </c>
      <c r="D595" s="291"/>
      <c r="E595" s="294"/>
      <c r="F595" s="293"/>
      <c r="G595" s="127"/>
      <c r="H595" s="288"/>
      <c r="I595" s="289"/>
    </row>
    <row r="596" spans="1:9" ht="26">
      <c r="A596" s="126">
        <f t="shared" si="9"/>
        <v>590</v>
      </c>
      <c r="B596" s="283"/>
      <c r="C596" s="290" t="s">
        <v>755</v>
      </c>
      <c r="D596" s="291"/>
      <c r="E596" s="294">
        <v>3</v>
      </c>
      <c r="F596" s="293"/>
      <c r="G596" s="127"/>
      <c r="H596" s="288"/>
      <c r="I596" s="289"/>
    </row>
    <row r="597" spans="1:9">
      <c r="A597" s="126">
        <f t="shared" si="9"/>
        <v>591</v>
      </c>
      <c r="B597" s="283"/>
      <c r="C597" s="290" t="s">
        <v>758</v>
      </c>
      <c r="D597" s="291"/>
      <c r="E597" s="294">
        <v>3</v>
      </c>
      <c r="F597" s="293"/>
      <c r="G597" s="288"/>
      <c r="H597" s="288"/>
      <c r="I597" s="289"/>
    </row>
    <row r="598" spans="1:9">
      <c r="A598" s="126">
        <f t="shared" si="9"/>
        <v>592</v>
      </c>
      <c r="B598" s="283"/>
      <c r="C598" s="290" t="s">
        <v>760</v>
      </c>
      <c r="D598" s="291"/>
      <c r="E598" s="294">
        <v>3</v>
      </c>
      <c r="F598" s="293"/>
      <c r="G598" s="288"/>
      <c r="H598" s="288"/>
      <c r="I598" s="289"/>
    </row>
    <row r="599" spans="1:9">
      <c r="A599" s="126">
        <f t="shared" si="9"/>
        <v>593</v>
      </c>
      <c r="B599" s="283"/>
      <c r="D599" s="291"/>
      <c r="E599" s="294"/>
      <c r="F599" s="293"/>
      <c r="G599" s="288"/>
      <c r="H599" s="288"/>
      <c r="I599" s="289"/>
    </row>
    <row r="600" spans="1:9">
      <c r="A600" s="126">
        <f t="shared" si="9"/>
        <v>594</v>
      </c>
      <c r="B600" s="283"/>
      <c r="C600" s="284" t="s">
        <v>2136</v>
      </c>
      <c r="D600" s="291"/>
      <c r="E600" s="294"/>
      <c r="F600" s="293"/>
      <c r="G600" s="127"/>
      <c r="H600" s="288"/>
      <c r="I600" s="289"/>
    </row>
    <row r="601" spans="1:9" ht="16.5" customHeight="1">
      <c r="A601" s="126">
        <f t="shared" si="9"/>
        <v>595</v>
      </c>
      <c r="B601" s="306" t="s">
        <v>764</v>
      </c>
      <c r="C601" s="124" t="s">
        <v>765</v>
      </c>
      <c r="D601" s="291"/>
      <c r="E601" s="294">
        <v>1</v>
      </c>
      <c r="F601" s="293"/>
      <c r="G601" s="288"/>
      <c r="H601" s="288"/>
      <c r="I601" s="289"/>
    </row>
    <row r="602" spans="1:9" ht="17.25" customHeight="1">
      <c r="A602" s="126">
        <f t="shared" si="9"/>
        <v>596</v>
      </c>
      <c r="B602" s="306" t="s">
        <v>766</v>
      </c>
      <c r="C602" s="124" t="s">
        <v>767</v>
      </c>
      <c r="D602" s="291"/>
      <c r="E602" s="294">
        <v>1</v>
      </c>
      <c r="F602" s="293"/>
      <c r="G602" s="288"/>
      <c r="H602" s="288"/>
      <c r="I602" s="289"/>
    </row>
    <row r="603" spans="1:9">
      <c r="A603" s="126">
        <f t="shared" si="9"/>
        <v>597</v>
      </c>
      <c r="B603" s="306" t="s">
        <v>1188</v>
      </c>
      <c r="C603" s="124" t="s">
        <v>1189</v>
      </c>
      <c r="D603" s="291"/>
      <c r="E603" s="294">
        <v>1</v>
      </c>
      <c r="F603" s="293"/>
      <c r="G603" s="288"/>
      <c r="H603" s="288"/>
      <c r="I603" s="289"/>
    </row>
    <row r="604" spans="1:9">
      <c r="A604" s="126">
        <f t="shared" si="9"/>
        <v>598</v>
      </c>
      <c r="B604" s="306" t="s">
        <v>768</v>
      </c>
      <c r="C604" s="124" t="s">
        <v>769</v>
      </c>
      <c r="D604" s="291"/>
      <c r="E604" s="294">
        <v>1</v>
      </c>
      <c r="F604" s="293"/>
      <c r="G604" s="288"/>
      <c r="H604" s="288"/>
      <c r="I604" s="289"/>
    </row>
    <row r="605" spans="1:9">
      <c r="A605" s="126">
        <f t="shared" si="9"/>
        <v>599</v>
      </c>
      <c r="B605" s="306" t="s">
        <v>770</v>
      </c>
      <c r="C605" s="124" t="s">
        <v>771</v>
      </c>
      <c r="D605" s="291"/>
      <c r="E605" s="294">
        <v>1</v>
      </c>
      <c r="F605" s="293"/>
      <c r="G605" s="288"/>
      <c r="H605" s="288"/>
      <c r="I605" s="289"/>
    </row>
    <row r="606" spans="1:9">
      <c r="A606" s="126">
        <f t="shared" si="9"/>
        <v>600</v>
      </c>
      <c r="B606" s="306" t="s">
        <v>772</v>
      </c>
      <c r="C606" s="124" t="s">
        <v>773</v>
      </c>
      <c r="D606" s="291"/>
      <c r="E606" s="294">
        <v>1</v>
      </c>
      <c r="F606" s="293"/>
      <c r="G606" s="288"/>
      <c r="H606" s="288"/>
      <c r="I606" s="289"/>
    </row>
    <row r="607" spans="1:9">
      <c r="A607" s="126">
        <f t="shared" si="9"/>
        <v>601</v>
      </c>
      <c r="B607" s="306" t="s">
        <v>774</v>
      </c>
      <c r="C607" s="124" t="s">
        <v>775</v>
      </c>
      <c r="D607" s="291"/>
      <c r="E607" s="294">
        <v>1</v>
      </c>
      <c r="F607" s="293"/>
      <c r="G607" s="127"/>
      <c r="H607" s="288"/>
      <c r="I607" s="289"/>
    </row>
    <row r="608" spans="1:9" ht="16.5" customHeight="1">
      <c r="A608" s="126">
        <f t="shared" si="9"/>
        <v>602</v>
      </c>
      <c r="B608" s="306" t="s">
        <v>776</v>
      </c>
      <c r="C608" s="124" t="s">
        <v>777</v>
      </c>
      <c r="D608" s="291"/>
      <c r="E608" s="294">
        <v>1</v>
      </c>
      <c r="F608" s="293"/>
      <c r="G608" s="127"/>
      <c r="H608" s="288"/>
      <c r="I608" s="289"/>
    </row>
    <row r="609" spans="1:9">
      <c r="A609" s="126">
        <f t="shared" si="9"/>
        <v>603</v>
      </c>
      <c r="B609" s="306" t="s">
        <v>778</v>
      </c>
      <c r="C609" s="124" t="s">
        <v>779</v>
      </c>
      <c r="D609" s="291"/>
      <c r="E609" s="294">
        <v>1</v>
      </c>
      <c r="F609" s="293"/>
      <c r="G609" s="127"/>
      <c r="H609" s="288"/>
      <c r="I609" s="289"/>
    </row>
    <row r="610" spans="1:9" ht="16.5" customHeight="1">
      <c r="A610" s="126">
        <f t="shared" si="9"/>
        <v>604</v>
      </c>
      <c r="B610" s="306" t="s">
        <v>780</v>
      </c>
      <c r="C610" s="124" t="s">
        <v>781</v>
      </c>
      <c r="D610" s="291"/>
      <c r="E610" s="294">
        <v>1</v>
      </c>
      <c r="F610" s="293"/>
      <c r="G610" s="288"/>
      <c r="H610" s="288"/>
      <c r="I610" s="289"/>
    </row>
    <row r="611" spans="1:9">
      <c r="A611" s="126">
        <f t="shared" si="9"/>
        <v>605</v>
      </c>
      <c r="B611" s="306" t="s">
        <v>782</v>
      </c>
      <c r="C611" s="124" t="s">
        <v>783</v>
      </c>
      <c r="D611" s="291"/>
      <c r="E611" s="294"/>
      <c r="F611" s="293"/>
      <c r="G611" s="288" t="s">
        <v>1454</v>
      </c>
      <c r="H611" s="288"/>
      <c r="I611" s="289"/>
    </row>
    <row r="612" spans="1:9">
      <c r="A612" s="126">
        <f t="shared" si="9"/>
        <v>606</v>
      </c>
      <c r="B612" s="306" t="s">
        <v>784</v>
      </c>
      <c r="C612" s="124" t="s">
        <v>785</v>
      </c>
      <c r="D612" s="291"/>
      <c r="E612" s="294"/>
      <c r="F612" s="293"/>
      <c r="G612" s="288" t="s">
        <v>1454</v>
      </c>
      <c r="H612" s="288"/>
      <c r="I612" s="289"/>
    </row>
    <row r="613" spans="1:9">
      <c r="A613" s="126">
        <f t="shared" si="9"/>
        <v>607</v>
      </c>
      <c r="B613" s="306" t="s">
        <v>786</v>
      </c>
      <c r="C613" s="124" t="s">
        <v>787</v>
      </c>
      <c r="D613" s="291"/>
      <c r="E613" s="294">
        <v>1</v>
      </c>
      <c r="F613" s="293"/>
      <c r="G613" s="127"/>
      <c r="H613" s="288"/>
      <c r="I613" s="289" t="s">
        <v>2137</v>
      </c>
    </row>
    <row r="614" spans="1:9">
      <c r="A614" s="126">
        <f t="shared" si="9"/>
        <v>608</v>
      </c>
      <c r="B614" s="306" t="s">
        <v>788</v>
      </c>
      <c r="C614" s="124" t="s">
        <v>789</v>
      </c>
      <c r="D614" s="291"/>
      <c r="E614" s="294">
        <v>1</v>
      </c>
      <c r="F614" s="293"/>
      <c r="G614" s="288"/>
      <c r="H614" s="288"/>
      <c r="I614" s="289"/>
    </row>
    <row r="615" spans="1:9">
      <c r="A615" s="126">
        <f t="shared" si="9"/>
        <v>609</v>
      </c>
      <c r="B615" s="283"/>
      <c r="D615" s="291"/>
      <c r="E615" s="294"/>
      <c r="F615" s="293"/>
      <c r="G615" s="288"/>
      <c r="H615" s="288"/>
      <c r="I615" s="289"/>
    </row>
    <row r="616" spans="1:9" ht="26">
      <c r="A616" s="126">
        <f t="shared" si="9"/>
        <v>610</v>
      </c>
      <c r="B616" s="283"/>
      <c r="C616" s="284" t="s">
        <v>2138</v>
      </c>
      <c r="D616" s="291"/>
      <c r="E616" s="294"/>
      <c r="F616" s="293"/>
      <c r="G616" s="127"/>
      <c r="H616" s="288"/>
      <c r="I616" s="289"/>
    </row>
    <row r="617" spans="1:9">
      <c r="A617" s="126">
        <f t="shared" si="9"/>
        <v>611</v>
      </c>
      <c r="B617" s="306" t="s">
        <v>793</v>
      </c>
      <c r="C617" s="124" t="s">
        <v>794</v>
      </c>
      <c r="D617" s="291"/>
      <c r="E617" s="294">
        <v>1</v>
      </c>
      <c r="F617" s="293"/>
      <c r="G617" s="127"/>
      <c r="H617" s="288"/>
      <c r="I617" s="289"/>
    </row>
    <row r="618" spans="1:9">
      <c r="A618" s="126">
        <f t="shared" si="9"/>
        <v>612</v>
      </c>
      <c r="B618" s="306" t="s">
        <v>795</v>
      </c>
      <c r="C618" s="124" t="s">
        <v>796</v>
      </c>
      <c r="D618" s="291"/>
      <c r="E618" s="294">
        <v>1</v>
      </c>
      <c r="F618" s="293"/>
      <c r="G618" s="127"/>
      <c r="H618" s="288"/>
      <c r="I618" s="289"/>
    </row>
    <row r="619" spans="1:9">
      <c r="A619" s="126">
        <f t="shared" si="9"/>
        <v>613</v>
      </c>
      <c r="B619" s="306" t="s">
        <v>797</v>
      </c>
      <c r="C619" s="124" t="s">
        <v>798</v>
      </c>
      <c r="D619" s="291"/>
      <c r="E619" s="294">
        <v>1</v>
      </c>
      <c r="F619" s="293"/>
      <c r="G619" s="127"/>
      <c r="H619" s="288"/>
      <c r="I619" s="289"/>
    </row>
    <row r="620" spans="1:9">
      <c r="A620" s="126">
        <f t="shared" si="9"/>
        <v>614</v>
      </c>
      <c r="B620" s="306" t="s">
        <v>799</v>
      </c>
      <c r="C620" s="124" t="s">
        <v>800</v>
      </c>
      <c r="D620" s="291"/>
      <c r="E620" s="294">
        <v>1</v>
      </c>
      <c r="F620" s="293"/>
      <c r="G620" s="127"/>
      <c r="H620" s="288"/>
      <c r="I620" s="289"/>
    </row>
    <row r="621" spans="1:9">
      <c r="A621" s="126">
        <f t="shared" si="9"/>
        <v>615</v>
      </c>
      <c r="B621" s="283"/>
      <c r="D621" s="291"/>
      <c r="E621" s="294"/>
      <c r="F621" s="293"/>
      <c r="G621" s="288"/>
      <c r="H621" s="288"/>
      <c r="I621" s="289"/>
    </row>
    <row r="622" spans="1:9">
      <c r="A622" s="126">
        <f t="shared" si="9"/>
        <v>616</v>
      </c>
      <c r="B622" s="283"/>
      <c r="C622" s="284" t="s">
        <v>2139</v>
      </c>
      <c r="D622" s="291"/>
      <c r="E622" s="294"/>
      <c r="F622" s="293"/>
      <c r="G622" s="288"/>
      <c r="H622" s="288"/>
      <c r="I622" s="289"/>
    </row>
    <row r="623" spans="1:9">
      <c r="A623" s="126">
        <f t="shared" si="9"/>
        <v>617</v>
      </c>
      <c r="B623" s="306" t="s">
        <v>804</v>
      </c>
      <c r="C623" s="124" t="s">
        <v>805</v>
      </c>
      <c r="D623" s="291"/>
      <c r="E623" s="294">
        <v>3</v>
      </c>
      <c r="F623" s="293"/>
      <c r="G623" s="288"/>
      <c r="H623" s="288"/>
      <c r="I623" s="289"/>
    </row>
    <row r="624" spans="1:9">
      <c r="A624" s="126">
        <f t="shared" si="9"/>
        <v>618</v>
      </c>
      <c r="B624" s="306" t="s">
        <v>807</v>
      </c>
      <c r="C624" s="124" t="s">
        <v>808</v>
      </c>
      <c r="D624" s="291"/>
      <c r="E624" s="294">
        <v>3</v>
      </c>
      <c r="F624" s="293"/>
      <c r="G624" s="127"/>
      <c r="H624" s="288"/>
      <c r="I624" s="289"/>
    </row>
    <row r="625" spans="1:9">
      <c r="A625" s="126">
        <f t="shared" si="9"/>
        <v>619</v>
      </c>
      <c r="B625" s="306" t="s">
        <v>809</v>
      </c>
      <c r="C625" s="124" t="s">
        <v>810</v>
      </c>
      <c r="D625" s="291"/>
      <c r="E625" s="294">
        <v>3</v>
      </c>
      <c r="F625" s="293"/>
      <c r="G625" s="127"/>
      <c r="H625" s="288"/>
      <c r="I625" s="289"/>
    </row>
    <row r="626" spans="1:9">
      <c r="A626" s="126">
        <f t="shared" si="9"/>
        <v>620</v>
      </c>
      <c r="B626" s="306" t="s">
        <v>811</v>
      </c>
      <c r="C626" s="124" t="s">
        <v>812</v>
      </c>
      <c r="D626" s="291"/>
      <c r="E626" s="294">
        <v>3</v>
      </c>
      <c r="F626" s="293"/>
      <c r="G626" s="127"/>
      <c r="H626" s="288"/>
      <c r="I626" s="289"/>
    </row>
    <row r="627" spans="1:9">
      <c r="A627" s="126">
        <f t="shared" si="9"/>
        <v>621</v>
      </c>
      <c r="B627" s="306" t="s">
        <v>813</v>
      </c>
      <c r="C627" s="124" t="s">
        <v>814</v>
      </c>
      <c r="D627" s="291"/>
      <c r="E627" s="294">
        <v>3</v>
      </c>
      <c r="F627" s="293"/>
      <c r="G627" s="127"/>
      <c r="H627" s="288"/>
      <c r="I627" s="289"/>
    </row>
    <row r="628" spans="1:9">
      <c r="A628" s="126">
        <f t="shared" si="9"/>
        <v>622</v>
      </c>
      <c r="B628" s="306" t="s">
        <v>815</v>
      </c>
      <c r="C628" s="124" t="s">
        <v>816</v>
      </c>
      <c r="D628" s="291"/>
      <c r="E628" s="294">
        <v>3</v>
      </c>
      <c r="F628" s="293"/>
      <c r="G628" s="127"/>
      <c r="H628" s="288"/>
      <c r="I628" s="289"/>
    </row>
    <row r="629" spans="1:9">
      <c r="A629" s="126">
        <f t="shared" si="9"/>
        <v>623</v>
      </c>
      <c r="B629" s="306" t="s">
        <v>817</v>
      </c>
      <c r="C629" s="124" t="s">
        <v>818</v>
      </c>
      <c r="D629" s="291"/>
      <c r="E629" s="294">
        <v>3</v>
      </c>
      <c r="F629" s="293"/>
      <c r="G629" s="127"/>
      <c r="H629" s="288"/>
      <c r="I629" s="289"/>
    </row>
    <row r="630" spans="1:9">
      <c r="A630" s="126">
        <f t="shared" si="9"/>
        <v>624</v>
      </c>
      <c r="B630" s="306" t="s">
        <v>819</v>
      </c>
      <c r="C630" s="124" t="s">
        <v>820</v>
      </c>
      <c r="D630" s="291"/>
      <c r="E630" s="294">
        <v>3</v>
      </c>
      <c r="F630" s="293"/>
      <c r="G630" s="127"/>
      <c r="H630" s="288"/>
      <c r="I630" s="289"/>
    </row>
    <row r="631" spans="1:9">
      <c r="A631" s="126">
        <f t="shared" si="9"/>
        <v>625</v>
      </c>
      <c r="B631" s="306" t="s">
        <v>821</v>
      </c>
      <c r="C631" s="124" t="s">
        <v>822</v>
      </c>
      <c r="D631" s="291"/>
      <c r="E631" s="294">
        <v>3</v>
      </c>
      <c r="F631" s="293"/>
      <c r="G631" s="127"/>
      <c r="H631" s="288"/>
      <c r="I631" s="289"/>
    </row>
    <row r="632" spans="1:9">
      <c r="A632" s="126">
        <f t="shared" si="9"/>
        <v>626</v>
      </c>
      <c r="B632" s="306" t="s">
        <v>823</v>
      </c>
      <c r="C632" s="124" t="s">
        <v>824</v>
      </c>
      <c r="D632" s="291"/>
      <c r="E632" s="294">
        <v>3</v>
      </c>
      <c r="F632" s="293"/>
      <c r="G632" s="127"/>
      <c r="H632" s="288"/>
      <c r="I632" s="289"/>
    </row>
    <row r="633" spans="1:9">
      <c r="A633" s="126">
        <f t="shared" si="9"/>
        <v>627</v>
      </c>
      <c r="B633" s="306" t="s">
        <v>1190</v>
      </c>
      <c r="C633" s="124" t="s">
        <v>1191</v>
      </c>
      <c r="D633" s="291"/>
      <c r="E633" s="294">
        <v>3</v>
      </c>
      <c r="F633" s="293"/>
      <c r="G633" s="127"/>
      <c r="H633" s="288"/>
      <c r="I633" s="289"/>
    </row>
    <row r="634" spans="1:9">
      <c r="A634" s="126">
        <f t="shared" si="9"/>
        <v>628</v>
      </c>
      <c r="B634" s="306" t="s">
        <v>825</v>
      </c>
      <c r="C634" s="124" t="s">
        <v>826</v>
      </c>
      <c r="D634" s="291"/>
      <c r="E634" s="294">
        <v>3</v>
      </c>
      <c r="F634" s="293"/>
      <c r="G634" s="127"/>
      <c r="H634" s="288"/>
      <c r="I634" s="289"/>
    </row>
    <row r="635" spans="1:9">
      <c r="A635" s="126">
        <f t="shared" si="9"/>
        <v>629</v>
      </c>
      <c r="B635" s="306" t="s">
        <v>827</v>
      </c>
      <c r="C635" s="124" t="s">
        <v>828</v>
      </c>
      <c r="D635" s="291"/>
      <c r="E635" s="294">
        <v>3</v>
      </c>
      <c r="F635" s="293"/>
      <c r="G635" s="288"/>
      <c r="H635" s="288"/>
      <c r="I635" s="289"/>
    </row>
    <row r="636" spans="1:9">
      <c r="A636" s="126">
        <f t="shared" si="9"/>
        <v>630</v>
      </c>
      <c r="B636" s="306" t="s">
        <v>829</v>
      </c>
      <c r="C636" s="124" t="s">
        <v>830</v>
      </c>
      <c r="D636" s="291"/>
      <c r="E636" s="294">
        <v>3</v>
      </c>
      <c r="F636" s="293"/>
      <c r="G636" s="288"/>
      <c r="H636" s="288"/>
      <c r="I636" s="289"/>
    </row>
    <row r="637" spans="1:9">
      <c r="A637" s="126">
        <f t="shared" si="9"/>
        <v>631</v>
      </c>
      <c r="B637" s="306" t="s">
        <v>1192</v>
      </c>
      <c r="C637" s="124" t="s">
        <v>1193</v>
      </c>
      <c r="D637" s="291"/>
      <c r="E637" s="294">
        <v>3</v>
      </c>
      <c r="F637" s="293"/>
      <c r="G637" s="288"/>
      <c r="H637" s="288"/>
      <c r="I637" s="289"/>
    </row>
    <row r="638" spans="1:9">
      <c r="A638" s="126">
        <f t="shared" si="9"/>
        <v>632</v>
      </c>
      <c r="B638" s="306" t="s">
        <v>831</v>
      </c>
      <c r="C638" s="124" t="s">
        <v>832</v>
      </c>
      <c r="D638" s="291"/>
      <c r="E638" s="294">
        <v>3</v>
      </c>
      <c r="F638" s="293"/>
      <c r="G638" s="288"/>
      <c r="H638" s="288"/>
      <c r="I638" s="289"/>
    </row>
    <row r="639" spans="1:9">
      <c r="A639" s="126">
        <f t="shared" si="9"/>
        <v>633</v>
      </c>
      <c r="B639" s="306" t="s">
        <v>833</v>
      </c>
      <c r="C639" s="124" t="s">
        <v>834</v>
      </c>
      <c r="D639" s="291"/>
      <c r="E639" s="294">
        <v>3</v>
      </c>
      <c r="F639" s="293"/>
      <c r="G639" s="288"/>
      <c r="H639" s="288"/>
      <c r="I639" s="289"/>
    </row>
    <row r="640" spans="1:9">
      <c r="A640" s="126">
        <f t="shared" si="9"/>
        <v>634</v>
      </c>
      <c r="B640" s="306" t="s">
        <v>835</v>
      </c>
      <c r="C640" s="124" t="s">
        <v>836</v>
      </c>
      <c r="D640" s="291"/>
      <c r="E640" s="294">
        <v>3</v>
      </c>
      <c r="F640" s="293"/>
      <c r="G640" s="288"/>
      <c r="H640" s="288"/>
      <c r="I640" s="289"/>
    </row>
    <row r="641" spans="1:9">
      <c r="A641" s="126">
        <f t="shared" si="9"/>
        <v>635</v>
      </c>
      <c r="B641" s="306" t="s">
        <v>837</v>
      </c>
      <c r="C641" s="124" t="s">
        <v>838</v>
      </c>
      <c r="D641" s="291"/>
      <c r="E641" s="294">
        <v>3</v>
      </c>
      <c r="F641" s="293"/>
      <c r="G641" s="127"/>
      <c r="H641" s="288"/>
      <c r="I641" s="289"/>
    </row>
    <row r="642" spans="1:9">
      <c r="A642" s="126">
        <f t="shared" si="9"/>
        <v>636</v>
      </c>
      <c r="B642" s="306" t="s">
        <v>839</v>
      </c>
      <c r="C642" s="124" t="s">
        <v>840</v>
      </c>
      <c r="D642" s="291"/>
      <c r="E642" s="294">
        <v>3</v>
      </c>
      <c r="F642" s="293"/>
      <c r="G642" s="127"/>
      <c r="H642" s="288"/>
      <c r="I642" s="289"/>
    </row>
    <row r="643" spans="1:9">
      <c r="A643" s="126">
        <f t="shared" si="9"/>
        <v>637</v>
      </c>
      <c r="B643" s="306" t="s">
        <v>841</v>
      </c>
      <c r="C643" s="124" t="s">
        <v>842</v>
      </c>
      <c r="D643" s="291"/>
      <c r="E643" s="294">
        <v>3</v>
      </c>
      <c r="F643" s="293"/>
      <c r="G643" s="127"/>
      <c r="H643" s="288"/>
      <c r="I643" s="289"/>
    </row>
    <row r="644" spans="1:9">
      <c r="A644" s="126">
        <f t="shared" si="9"/>
        <v>638</v>
      </c>
      <c r="B644" s="306" t="s">
        <v>843</v>
      </c>
      <c r="C644" s="124" t="s">
        <v>844</v>
      </c>
      <c r="D644" s="291"/>
      <c r="E644" s="294">
        <v>3</v>
      </c>
      <c r="F644" s="293"/>
      <c r="G644" s="288"/>
      <c r="H644" s="288"/>
      <c r="I644" s="289"/>
    </row>
    <row r="645" spans="1:9">
      <c r="A645" s="126">
        <f t="shared" si="9"/>
        <v>639</v>
      </c>
      <c r="B645" s="306" t="s">
        <v>845</v>
      </c>
      <c r="C645" s="124" t="s">
        <v>846</v>
      </c>
      <c r="D645" s="291"/>
      <c r="E645" s="294">
        <v>3</v>
      </c>
      <c r="F645" s="293"/>
      <c r="G645" s="288"/>
      <c r="H645" s="288"/>
      <c r="I645" s="289"/>
    </row>
    <row r="646" spans="1:9">
      <c r="A646" s="126">
        <f t="shared" si="9"/>
        <v>640</v>
      </c>
      <c r="B646" s="306" t="s">
        <v>1194</v>
      </c>
      <c r="C646" s="124" t="s">
        <v>1195</v>
      </c>
      <c r="D646" s="291"/>
      <c r="E646" s="294">
        <v>3</v>
      </c>
      <c r="F646" s="293"/>
      <c r="G646" s="288"/>
      <c r="H646" s="288"/>
      <c r="I646" s="289"/>
    </row>
    <row r="647" spans="1:9">
      <c r="A647" s="126">
        <f t="shared" si="9"/>
        <v>641</v>
      </c>
      <c r="B647" s="306" t="s">
        <v>1196</v>
      </c>
      <c r="C647" s="124" t="s">
        <v>1197</v>
      </c>
      <c r="D647" s="291"/>
      <c r="E647" s="294">
        <v>3</v>
      </c>
      <c r="F647" s="293"/>
      <c r="G647" s="127"/>
      <c r="H647" s="288"/>
      <c r="I647" s="289"/>
    </row>
    <row r="648" spans="1:9">
      <c r="A648" s="126">
        <f t="shared" ref="A648:A711" si="10">A647+1</f>
        <v>642</v>
      </c>
      <c r="B648" s="306" t="s">
        <v>847</v>
      </c>
      <c r="C648" s="124" t="s">
        <v>848</v>
      </c>
      <c r="D648" s="291"/>
      <c r="E648" s="294">
        <v>3</v>
      </c>
      <c r="F648" s="293"/>
      <c r="G648" s="288"/>
      <c r="H648" s="288"/>
      <c r="I648" s="289"/>
    </row>
    <row r="649" spans="1:9">
      <c r="A649" s="126">
        <f t="shared" si="10"/>
        <v>643</v>
      </c>
      <c r="B649" s="306" t="s">
        <v>849</v>
      </c>
      <c r="C649" s="124" t="s">
        <v>850</v>
      </c>
      <c r="D649" s="291"/>
      <c r="E649" s="294">
        <v>3</v>
      </c>
      <c r="F649" s="293"/>
      <c r="G649" s="288"/>
      <c r="H649" s="288"/>
      <c r="I649" s="289"/>
    </row>
    <row r="650" spans="1:9">
      <c r="A650" s="126">
        <f t="shared" si="10"/>
        <v>644</v>
      </c>
      <c r="B650" s="306" t="s">
        <v>851</v>
      </c>
      <c r="C650" s="124" t="s">
        <v>852</v>
      </c>
      <c r="D650" s="291"/>
      <c r="E650" s="294">
        <v>3</v>
      </c>
      <c r="F650" s="293"/>
      <c r="G650" s="288"/>
      <c r="H650" s="288"/>
      <c r="I650" s="289"/>
    </row>
    <row r="651" spans="1:9">
      <c r="A651" s="126">
        <f t="shared" si="10"/>
        <v>645</v>
      </c>
      <c r="B651" s="306" t="s">
        <v>853</v>
      </c>
      <c r="C651" s="124" t="s">
        <v>854</v>
      </c>
      <c r="D651" s="291"/>
      <c r="E651" s="294">
        <v>3</v>
      </c>
      <c r="F651" s="293"/>
      <c r="G651" s="288"/>
      <c r="H651" s="288"/>
      <c r="I651" s="289"/>
    </row>
    <row r="652" spans="1:9">
      <c r="A652" s="126">
        <f t="shared" si="10"/>
        <v>646</v>
      </c>
      <c r="B652" s="306" t="s">
        <v>1198</v>
      </c>
      <c r="C652" s="124" t="s">
        <v>1199</v>
      </c>
      <c r="D652" s="291"/>
      <c r="E652" s="294">
        <v>3</v>
      </c>
      <c r="F652" s="293"/>
      <c r="G652" s="288"/>
      <c r="H652" s="288"/>
      <c r="I652" s="289"/>
    </row>
    <row r="653" spans="1:9">
      <c r="A653" s="126">
        <f t="shared" si="10"/>
        <v>647</v>
      </c>
      <c r="B653" s="306" t="s">
        <v>1200</v>
      </c>
      <c r="C653" s="124" t="s">
        <v>1201</v>
      </c>
      <c r="D653" s="291"/>
      <c r="E653" s="294">
        <v>3</v>
      </c>
      <c r="F653" s="293"/>
      <c r="G653" s="288"/>
      <c r="H653" s="288"/>
      <c r="I653" s="289"/>
    </row>
    <row r="654" spans="1:9">
      <c r="A654" s="126">
        <f t="shared" si="10"/>
        <v>648</v>
      </c>
      <c r="B654" s="306" t="s">
        <v>855</v>
      </c>
      <c r="C654" s="124" t="s">
        <v>856</v>
      </c>
      <c r="D654" s="291"/>
      <c r="E654" s="294">
        <v>3</v>
      </c>
      <c r="F654" s="293"/>
      <c r="G654" s="127"/>
      <c r="H654" s="288"/>
      <c r="I654" s="289"/>
    </row>
    <row r="655" spans="1:9">
      <c r="A655" s="126">
        <f t="shared" si="10"/>
        <v>649</v>
      </c>
      <c r="B655" s="306" t="s">
        <v>857</v>
      </c>
      <c r="C655" s="124" t="s">
        <v>858</v>
      </c>
      <c r="D655" s="291"/>
      <c r="E655" s="294">
        <v>3</v>
      </c>
      <c r="F655" s="293"/>
      <c r="G655" s="127"/>
      <c r="H655" s="288"/>
      <c r="I655" s="289"/>
    </row>
    <row r="656" spans="1:9">
      <c r="A656" s="126">
        <f t="shared" si="10"/>
        <v>650</v>
      </c>
      <c r="B656" s="306" t="s">
        <v>859</v>
      </c>
      <c r="C656" s="124" t="s">
        <v>860</v>
      </c>
      <c r="D656" s="291"/>
      <c r="E656" s="294">
        <v>3</v>
      </c>
      <c r="F656" s="293"/>
      <c r="G656" s="127"/>
      <c r="H656" s="288"/>
      <c r="I656" s="289"/>
    </row>
    <row r="657" spans="1:9">
      <c r="A657" s="126">
        <f t="shared" si="10"/>
        <v>651</v>
      </c>
      <c r="B657" s="306" t="s">
        <v>861</v>
      </c>
      <c r="C657" s="124" t="s">
        <v>862</v>
      </c>
      <c r="D657" s="291"/>
      <c r="E657" s="294">
        <v>3</v>
      </c>
      <c r="F657" s="293"/>
      <c r="G657" s="288"/>
      <c r="H657" s="288"/>
      <c r="I657" s="289"/>
    </row>
    <row r="658" spans="1:9">
      <c r="A658" s="126">
        <f t="shared" si="10"/>
        <v>652</v>
      </c>
      <c r="B658" s="306" t="s">
        <v>863</v>
      </c>
      <c r="C658" s="124" t="s">
        <v>864</v>
      </c>
      <c r="D658" s="291"/>
      <c r="E658" s="294">
        <v>3</v>
      </c>
      <c r="F658" s="293"/>
      <c r="G658" s="288"/>
      <c r="H658" s="288"/>
      <c r="I658" s="289"/>
    </row>
    <row r="659" spans="1:9">
      <c r="A659" s="126">
        <f t="shared" si="10"/>
        <v>653</v>
      </c>
      <c r="B659" s="306" t="s">
        <v>865</v>
      </c>
      <c r="C659" s="124" t="s">
        <v>866</v>
      </c>
      <c r="D659" s="291"/>
      <c r="E659" s="294">
        <v>3</v>
      </c>
      <c r="F659" s="293"/>
      <c r="G659" s="288"/>
      <c r="H659" s="288"/>
      <c r="I659" s="289"/>
    </row>
    <row r="660" spans="1:9">
      <c r="A660" s="126">
        <f t="shared" si="10"/>
        <v>654</v>
      </c>
      <c r="B660" s="306" t="s">
        <v>867</v>
      </c>
      <c r="C660" s="124" t="s">
        <v>868</v>
      </c>
      <c r="D660" s="291"/>
      <c r="E660" s="294">
        <v>3</v>
      </c>
      <c r="F660" s="293"/>
      <c r="G660" s="127"/>
      <c r="H660" s="288"/>
      <c r="I660" s="289"/>
    </row>
    <row r="661" spans="1:9">
      <c r="A661" s="126">
        <f t="shared" si="10"/>
        <v>655</v>
      </c>
      <c r="B661" s="306" t="s">
        <v>869</v>
      </c>
      <c r="C661" s="124" t="s">
        <v>870</v>
      </c>
      <c r="D661" s="291"/>
      <c r="E661" s="294">
        <v>3</v>
      </c>
      <c r="F661" s="293"/>
      <c r="G661" s="288"/>
      <c r="H661" s="288"/>
      <c r="I661" s="289"/>
    </row>
    <row r="662" spans="1:9">
      <c r="A662" s="126">
        <f t="shared" si="10"/>
        <v>656</v>
      </c>
      <c r="B662" s="306" t="s">
        <v>871</v>
      </c>
      <c r="C662" s="124" t="s">
        <v>872</v>
      </c>
      <c r="D662" s="291"/>
      <c r="E662" s="294">
        <v>3</v>
      </c>
      <c r="F662" s="293"/>
      <c r="G662" s="127"/>
      <c r="H662" s="288"/>
      <c r="I662" s="289"/>
    </row>
    <row r="663" spans="1:9">
      <c r="A663" s="126">
        <f t="shared" si="10"/>
        <v>657</v>
      </c>
      <c r="B663" s="306" t="s">
        <v>1202</v>
      </c>
      <c r="C663" s="124" t="s">
        <v>1203</v>
      </c>
      <c r="D663" s="291"/>
      <c r="E663" s="294">
        <v>3</v>
      </c>
      <c r="F663" s="293"/>
      <c r="G663" s="288"/>
      <c r="H663" s="288"/>
      <c r="I663" s="289"/>
    </row>
    <row r="664" spans="1:9">
      <c r="A664" s="126">
        <f t="shared" si="10"/>
        <v>658</v>
      </c>
      <c r="B664" s="306" t="s">
        <v>873</v>
      </c>
      <c r="C664" s="124" t="s">
        <v>874</v>
      </c>
      <c r="D664" s="291"/>
      <c r="E664" s="294">
        <v>3</v>
      </c>
      <c r="F664" s="293"/>
      <c r="G664" s="127"/>
      <c r="H664" s="288"/>
      <c r="I664" s="289"/>
    </row>
    <row r="665" spans="1:9">
      <c r="A665" s="126">
        <f t="shared" si="10"/>
        <v>659</v>
      </c>
      <c r="B665" s="306" t="s">
        <v>875</v>
      </c>
      <c r="C665" s="124" t="s">
        <v>876</v>
      </c>
      <c r="D665" s="291"/>
      <c r="E665" s="294">
        <v>3</v>
      </c>
      <c r="F665" s="293"/>
      <c r="G665" s="127"/>
      <c r="H665" s="288"/>
      <c r="I665" s="289"/>
    </row>
    <row r="666" spans="1:9">
      <c r="A666" s="126">
        <f t="shared" si="10"/>
        <v>660</v>
      </c>
      <c r="B666" s="306" t="s">
        <v>877</v>
      </c>
      <c r="C666" s="124" t="s">
        <v>878</v>
      </c>
      <c r="D666" s="291"/>
      <c r="E666" s="294">
        <v>3</v>
      </c>
      <c r="F666" s="293"/>
      <c r="G666" s="127"/>
      <c r="H666" s="288"/>
      <c r="I666" s="289"/>
    </row>
    <row r="667" spans="1:9">
      <c r="A667" s="126">
        <f t="shared" si="10"/>
        <v>661</v>
      </c>
      <c r="B667" s="306" t="s">
        <v>1204</v>
      </c>
      <c r="C667" s="124" t="s">
        <v>1205</v>
      </c>
      <c r="D667" s="291"/>
      <c r="E667" s="294">
        <v>3</v>
      </c>
      <c r="F667" s="293"/>
      <c r="G667" s="288"/>
      <c r="H667" s="288"/>
      <c r="I667" s="289"/>
    </row>
    <row r="668" spans="1:9">
      <c r="A668" s="126">
        <f t="shared" si="10"/>
        <v>662</v>
      </c>
      <c r="B668" s="306" t="s">
        <v>879</v>
      </c>
      <c r="C668" s="124" t="s">
        <v>880</v>
      </c>
      <c r="D668" s="291"/>
      <c r="E668" s="294">
        <v>3</v>
      </c>
      <c r="F668" s="293"/>
      <c r="G668" s="288"/>
      <c r="H668" s="288"/>
      <c r="I668" s="289"/>
    </row>
    <row r="669" spans="1:9">
      <c r="A669" s="126">
        <f t="shared" si="10"/>
        <v>663</v>
      </c>
      <c r="B669" s="306" t="s">
        <v>881</v>
      </c>
      <c r="C669" s="124" t="s">
        <v>882</v>
      </c>
      <c r="D669" s="291"/>
      <c r="E669" s="294">
        <v>3</v>
      </c>
      <c r="F669" s="293"/>
      <c r="G669" s="288"/>
      <c r="H669" s="288"/>
      <c r="I669" s="289"/>
    </row>
    <row r="670" spans="1:9">
      <c r="A670" s="126">
        <f t="shared" si="10"/>
        <v>664</v>
      </c>
      <c r="B670" s="306" t="s">
        <v>883</v>
      </c>
      <c r="C670" s="124" t="s">
        <v>884</v>
      </c>
      <c r="D670" s="291"/>
      <c r="E670" s="294">
        <v>3</v>
      </c>
      <c r="F670" s="293"/>
      <c r="G670" s="127"/>
      <c r="H670" s="288"/>
      <c r="I670" s="289"/>
    </row>
    <row r="671" spans="1:9">
      <c r="A671" s="126">
        <f t="shared" si="10"/>
        <v>665</v>
      </c>
      <c r="B671" s="306" t="s">
        <v>885</v>
      </c>
      <c r="C671" s="124" t="s">
        <v>886</v>
      </c>
      <c r="D671" s="291"/>
      <c r="E671" s="294">
        <v>3</v>
      </c>
      <c r="F671" s="293"/>
      <c r="G671" s="288"/>
      <c r="H671" s="288"/>
      <c r="I671" s="289"/>
    </row>
    <row r="672" spans="1:9">
      <c r="A672" s="126">
        <f t="shared" si="10"/>
        <v>666</v>
      </c>
      <c r="B672" s="306" t="s">
        <v>887</v>
      </c>
      <c r="C672" s="124" t="s">
        <v>888</v>
      </c>
      <c r="D672" s="291"/>
      <c r="E672" s="294">
        <v>3</v>
      </c>
      <c r="F672" s="293"/>
      <c r="G672" s="288"/>
      <c r="H672" s="288"/>
      <c r="I672" s="289"/>
    </row>
    <row r="673" spans="1:9">
      <c r="A673" s="126">
        <f t="shared" si="10"/>
        <v>667</v>
      </c>
      <c r="B673" s="306" t="s">
        <v>889</v>
      </c>
      <c r="C673" s="124" t="s">
        <v>890</v>
      </c>
      <c r="D673" s="291"/>
      <c r="E673" s="294">
        <v>3</v>
      </c>
      <c r="F673" s="293"/>
      <c r="G673" s="288"/>
      <c r="H673" s="288"/>
      <c r="I673" s="289"/>
    </row>
    <row r="674" spans="1:9">
      <c r="A674" s="126">
        <f t="shared" si="10"/>
        <v>668</v>
      </c>
      <c r="B674" s="306" t="s">
        <v>891</v>
      </c>
      <c r="C674" s="124" t="s">
        <v>892</v>
      </c>
      <c r="D674" s="291"/>
      <c r="E674" s="294">
        <v>3</v>
      </c>
      <c r="F674" s="293"/>
      <c r="G674" s="288"/>
      <c r="H674" s="288"/>
      <c r="I674" s="289"/>
    </row>
    <row r="675" spans="1:9">
      <c r="A675" s="126">
        <f t="shared" si="10"/>
        <v>669</v>
      </c>
      <c r="B675" s="306" t="s">
        <v>893</v>
      </c>
      <c r="C675" s="124" t="s">
        <v>894</v>
      </c>
      <c r="D675" s="291"/>
      <c r="E675" s="294">
        <v>3</v>
      </c>
      <c r="F675" s="293"/>
      <c r="G675" s="288"/>
      <c r="H675" s="288"/>
      <c r="I675" s="289"/>
    </row>
    <row r="676" spans="1:9">
      <c r="A676" s="126">
        <f t="shared" si="10"/>
        <v>670</v>
      </c>
      <c r="B676" s="306" t="s">
        <v>895</v>
      </c>
      <c r="C676" s="124" t="s">
        <v>896</v>
      </c>
      <c r="D676" s="291"/>
      <c r="E676" s="294">
        <v>3</v>
      </c>
      <c r="F676" s="293"/>
      <c r="G676" s="288"/>
      <c r="H676" s="288"/>
      <c r="I676" s="289"/>
    </row>
    <row r="677" spans="1:9">
      <c r="A677" s="126">
        <f t="shared" si="10"/>
        <v>671</v>
      </c>
      <c r="B677" s="306" t="s">
        <v>897</v>
      </c>
      <c r="C677" s="124" t="s">
        <v>898</v>
      </c>
      <c r="D677" s="291"/>
      <c r="E677" s="294">
        <v>3</v>
      </c>
      <c r="F677" s="293"/>
      <c r="G677" s="127"/>
      <c r="H677" s="288"/>
      <c r="I677" s="289"/>
    </row>
    <row r="678" spans="1:9">
      <c r="A678" s="126">
        <f t="shared" si="10"/>
        <v>672</v>
      </c>
      <c r="B678" s="306" t="s">
        <v>899</v>
      </c>
      <c r="C678" s="124" t="s">
        <v>900</v>
      </c>
      <c r="D678" s="291"/>
      <c r="E678" s="294">
        <v>3</v>
      </c>
      <c r="F678" s="293"/>
      <c r="G678" s="127"/>
      <c r="H678" s="288"/>
      <c r="I678" s="289"/>
    </row>
    <row r="679" spans="1:9">
      <c r="A679" s="126">
        <f t="shared" si="10"/>
        <v>673</v>
      </c>
      <c r="B679" s="306" t="s">
        <v>901</v>
      </c>
      <c r="C679" s="124" t="s">
        <v>902</v>
      </c>
      <c r="D679" s="291"/>
      <c r="E679" s="294">
        <v>3</v>
      </c>
      <c r="F679" s="293"/>
      <c r="G679" s="127"/>
      <c r="H679" s="288"/>
      <c r="I679" s="289"/>
    </row>
    <row r="680" spans="1:9">
      <c r="A680" s="126">
        <f t="shared" si="10"/>
        <v>674</v>
      </c>
      <c r="B680" s="306" t="s">
        <v>903</v>
      </c>
      <c r="C680" s="124" t="s">
        <v>904</v>
      </c>
      <c r="D680" s="291"/>
      <c r="E680" s="294">
        <v>3</v>
      </c>
      <c r="F680" s="293"/>
      <c r="G680" s="288"/>
      <c r="H680" s="288"/>
      <c r="I680" s="289"/>
    </row>
    <row r="681" spans="1:9">
      <c r="A681" s="126">
        <f t="shared" si="10"/>
        <v>675</v>
      </c>
      <c r="B681" s="306" t="s">
        <v>905</v>
      </c>
      <c r="C681" s="124" t="s">
        <v>906</v>
      </c>
      <c r="D681" s="291"/>
      <c r="E681" s="294">
        <v>3</v>
      </c>
      <c r="F681" s="293"/>
      <c r="G681" s="288"/>
      <c r="H681" s="288"/>
      <c r="I681" s="289"/>
    </row>
    <row r="682" spans="1:9">
      <c r="A682" s="126">
        <f t="shared" si="10"/>
        <v>676</v>
      </c>
      <c r="B682" s="306" t="s">
        <v>1206</v>
      </c>
      <c r="C682" s="124" t="s">
        <v>1207</v>
      </c>
      <c r="D682" s="291"/>
      <c r="E682" s="294">
        <v>3</v>
      </c>
      <c r="F682" s="293"/>
      <c r="G682" s="288"/>
      <c r="H682" s="288"/>
      <c r="I682" s="289"/>
    </row>
    <row r="683" spans="1:9">
      <c r="A683" s="126">
        <f t="shared" si="10"/>
        <v>677</v>
      </c>
      <c r="B683" s="306" t="s">
        <v>907</v>
      </c>
      <c r="C683" s="124" t="s">
        <v>908</v>
      </c>
      <c r="D683" s="291"/>
      <c r="E683" s="294">
        <v>3</v>
      </c>
      <c r="F683" s="293"/>
      <c r="G683" s="127"/>
      <c r="H683" s="288"/>
      <c r="I683" s="289"/>
    </row>
    <row r="684" spans="1:9">
      <c r="A684" s="126">
        <f t="shared" si="10"/>
        <v>678</v>
      </c>
      <c r="B684" s="306" t="s">
        <v>909</v>
      </c>
      <c r="C684" s="124" t="s">
        <v>910</v>
      </c>
      <c r="D684" s="291"/>
      <c r="E684" s="294">
        <v>3</v>
      </c>
      <c r="F684" s="293"/>
      <c r="G684" s="288"/>
      <c r="H684" s="288"/>
      <c r="I684" s="289"/>
    </row>
    <row r="685" spans="1:9">
      <c r="A685" s="126">
        <f t="shared" si="10"/>
        <v>679</v>
      </c>
      <c r="B685" s="306" t="s">
        <v>1208</v>
      </c>
      <c r="C685" s="124" t="s">
        <v>1209</v>
      </c>
      <c r="D685" s="291"/>
      <c r="E685" s="294">
        <v>3</v>
      </c>
      <c r="F685" s="293"/>
      <c r="G685" s="288"/>
      <c r="H685" s="288"/>
      <c r="I685" s="289"/>
    </row>
    <row r="686" spans="1:9">
      <c r="A686" s="126">
        <f t="shared" si="10"/>
        <v>680</v>
      </c>
      <c r="B686" s="306" t="s">
        <v>911</v>
      </c>
      <c r="C686" s="124" t="s">
        <v>912</v>
      </c>
      <c r="D686" s="291"/>
      <c r="E686" s="294">
        <v>3</v>
      </c>
      <c r="F686" s="293"/>
      <c r="G686" s="288"/>
      <c r="H686" s="288"/>
      <c r="I686" s="289"/>
    </row>
    <row r="687" spans="1:9">
      <c r="A687" s="126">
        <f t="shared" si="10"/>
        <v>681</v>
      </c>
      <c r="B687" s="306" t="s">
        <v>913</v>
      </c>
      <c r="C687" s="124" t="s">
        <v>914</v>
      </c>
      <c r="D687" s="291"/>
      <c r="E687" s="294">
        <v>3</v>
      </c>
      <c r="F687" s="293"/>
      <c r="G687" s="288"/>
      <c r="H687" s="288"/>
      <c r="I687" s="289"/>
    </row>
    <row r="688" spans="1:9">
      <c r="A688" s="126">
        <f t="shared" si="10"/>
        <v>682</v>
      </c>
      <c r="B688" s="306" t="s">
        <v>915</v>
      </c>
      <c r="C688" s="124" t="s">
        <v>916</v>
      </c>
      <c r="D688" s="291"/>
      <c r="E688" s="294">
        <v>3</v>
      </c>
      <c r="F688" s="293"/>
      <c r="G688" s="288"/>
      <c r="H688" s="288"/>
      <c r="I688" s="289"/>
    </row>
    <row r="689" spans="1:9">
      <c r="A689" s="126">
        <f t="shared" si="10"/>
        <v>683</v>
      </c>
      <c r="B689" s="306" t="s">
        <v>1210</v>
      </c>
      <c r="C689" s="124" t="s">
        <v>1211</v>
      </c>
      <c r="D689" s="291"/>
      <c r="E689" s="294">
        <v>3</v>
      </c>
      <c r="F689" s="293"/>
      <c r="G689" s="288"/>
      <c r="H689" s="288"/>
      <c r="I689" s="289"/>
    </row>
    <row r="690" spans="1:9">
      <c r="A690" s="126">
        <f t="shared" si="10"/>
        <v>684</v>
      </c>
      <c r="B690" s="306" t="s">
        <v>917</v>
      </c>
      <c r="C690" s="124" t="s">
        <v>918</v>
      </c>
      <c r="D690" s="291"/>
      <c r="E690" s="294">
        <v>3</v>
      </c>
      <c r="F690" s="293"/>
      <c r="G690" s="127"/>
      <c r="H690" s="288"/>
      <c r="I690" s="289"/>
    </row>
    <row r="691" spans="1:9">
      <c r="A691" s="126">
        <f t="shared" si="10"/>
        <v>685</v>
      </c>
      <c r="B691" s="306" t="s">
        <v>919</v>
      </c>
      <c r="C691" s="124" t="s">
        <v>920</v>
      </c>
      <c r="D691" s="291"/>
      <c r="E691" s="294">
        <v>3</v>
      </c>
      <c r="F691" s="293"/>
      <c r="G691" s="127"/>
      <c r="H691" s="288"/>
      <c r="I691" s="289"/>
    </row>
    <row r="692" spans="1:9">
      <c r="A692" s="126">
        <f t="shared" si="10"/>
        <v>686</v>
      </c>
      <c r="B692" s="306" t="s">
        <v>921</v>
      </c>
      <c r="C692" s="124" t="s">
        <v>922</v>
      </c>
      <c r="D692" s="291"/>
      <c r="E692" s="294">
        <v>3</v>
      </c>
      <c r="F692" s="293"/>
      <c r="G692" s="127"/>
      <c r="H692" s="288"/>
      <c r="I692" s="289"/>
    </row>
    <row r="693" spans="1:9">
      <c r="A693" s="126">
        <f t="shared" si="10"/>
        <v>687</v>
      </c>
      <c r="B693" s="306" t="s">
        <v>923</v>
      </c>
      <c r="C693" s="124" t="s">
        <v>924</v>
      </c>
      <c r="D693" s="291"/>
      <c r="E693" s="294">
        <v>3</v>
      </c>
      <c r="F693" s="293"/>
      <c r="G693" s="288"/>
      <c r="H693" s="288"/>
      <c r="I693" s="289"/>
    </row>
    <row r="694" spans="1:9">
      <c r="A694" s="126">
        <f t="shared" si="10"/>
        <v>688</v>
      </c>
      <c r="B694" s="306" t="s">
        <v>925</v>
      </c>
      <c r="C694" s="124" t="s">
        <v>926</v>
      </c>
      <c r="D694" s="291"/>
      <c r="E694" s="294">
        <v>3</v>
      </c>
      <c r="F694" s="309"/>
      <c r="G694" s="288"/>
      <c r="H694" s="288"/>
      <c r="I694" s="289"/>
    </row>
    <row r="695" spans="1:9">
      <c r="A695" s="126">
        <f t="shared" si="10"/>
        <v>689</v>
      </c>
      <c r="B695" s="306" t="s">
        <v>927</v>
      </c>
      <c r="C695" s="124" t="s">
        <v>928</v>
      </c>
      <c r="D695" s="291"/>
      <c r="E695" s="294">
        <v>3</v>
      </c>
      <c r="F695" s="293"/>
      <c r="G695" s="288"/>
      <c r="H695" s="288"/>
      <c r="I695" s="289"/>
    </row>
    <row r="696" spans="1:9">
      <c r="A696" s="126">
        <f t="shared" si="10"/>
        <v>690</v>
      </c>
      <c r="B696" s="306" t="s">
        <v>929</v>
      </c>
      <c r="C696" s="124" t="s">
        <v>930</v>
      </c>
      <c r="D696" s="291"/>
      <c r="E696" s="294">
        <v>3</v>
      </c>
      <c r="F696" s="293"/>
      <c r="G696" s="127"/>
      <c r="H696" s="288"/>
      <c r="I696" s="289"/>
    </row>
    <row r="697" spans="1:9">
      <c r="A697" s="126">
        <f t="shared" si="10"/>
        <v>691</v>
      </c>
      <c r="B697" s="306" t="s">
        <v>931</v>
      </c>
      <c r="C697" s="124" t="s">
        <v>932</v>
      </c>
      <c r="D697" s="291"/>
      <c r="E697" s="294">
        <v>3</v>
      </c>
      <c r="F697" s="293"/>
      <c r="G697" s="288"/>
      <c r="H697" s="288"/>
      <c r="I697" s="289"/>
    </row>
    <row r="698" spans="1:9">
      <c r="A698" s="126">
        <f t="shared" si="10"/>
        <v>692</v>
      </c>
      <c r="B698" s="306" t="s">
        <v>933</v>
      </c>
      <c r="C698" s="124" t="s">
        <v>934</v>
      </c>
      <c r="D698" s="291"/>
      <c r="E698" s="294">
        <v>3</v>
      </c>
      <c r="F698" s="293"/>
      <c r="G698" s="127"/>
      <c r="H698" s="288"/>
      <c r="I698" s="289"/>
    </row>
    <row r="699" spans="1:9" ht="14.5" customHeight="1">
      <c r="A699" s="126">
        <f t="shared" si="10"/>
        <v>693</v>
      </c>
      <c r="B699" s="306" t="s">
        <v>935</v>
      </c>
      <c r="C699" s="124" t="s">
        <v>936</v>
      </c>
      <c r="D699" s="291"/>
      <c r="E699" s="294">
        <v>3</v>
      </c>
      <c r="F699" s="293"/>
      <c r="G699" s="288"/>
      <c r="H699" s="288"/>
      <c r="I699" s="289"/>
    </row>
    <row r="700" spans="1:9">
      <c r="A700" s="126">
        <f t="shared" si="10"/>
        <v>694</v>
      </c>
      <c r="B700" s="306" t="s">
        <v>937</v>
      </c>
      <c r="C700" s="124" t="s">
        <v>938</v>
      </c>
      <c r="D700" s="291"/>
      <c r="E700" s="294">
        <v>3</v>
      </c>
      <c r="F700" s="293"/>
      <c r="G700" s="127"/>
      <c r="H700" s="288"/>
      <c r="I700" s="289"/>
    </row>
    <row r="701" spans="1:9">
      <c r="A701" s="126">
        <f t="shared" si="10"/>
        <v>695</v>
      </c>
      <c r="B701" s="306" t="s">
        <v>939</v>
      </c>
      <c r="C701" s="124" t="s">
        <v>940</v>
      </c>
      <c r="D701" s="291"/>
      <c r="E701" s="294">
        <v>3</v>
      </c>
      <c r="F701" s="293"/>
      <c r="G701" s="127"/>
      <c r="H701" s="288"/>
      <c r="I701" s="289"/>
    </row>
    <row r="702" spans="1:9" ht="14.5" customHeight="1">
      <c r="A702" s="126">
        <f t="shared" si="10"/>
        <v>696</v>
      </c>
      <c r="B702" s="306" t="s">
        <v>1212</v>
      </c>
      <c r="C702" s="124" t="s">
        <v>1213</v>
      </c>
      <c r="D702" s="291"/>
      <c r="E702" s="294">
        <v>3</v>
      </c>
      <c r="F702" s="293"/>
      <c r="G702" s="127"/>
      <c r="H702" s="288"/>
      <c r="I702" s="289"/>
    </row>
    <row r="703" spans="1:9">
      <c r="A703" s="126">
        <f t="shared" si="10"/>
        <v>697</v>
      </c>
      <c r="B703" s="306" t="s">
        <v>1214</v>
      </c>
      <c r="C703" s="124" t="s">
        <v>1215</v>
      </c>
      <c r="D703" s="291"/>
      <c r="E703" s="294">
        <v>3</v>
      </c>
      <c r="F703" s="293"/>
      <c r="G703" s="288"/>
      <c r="H703" s="288"/>
      <c r="I703" s="289"/>
    </row>
    <row r="704" spans="1:9">
      <c r="A704" s="126">
        <f t="shared" si="10"/>
        <v>698</v>
      </c>
      <c r="B704" s="306" t="s">
        <v>941</v>
      </c>
      <c r="C704" s="124" t="s">
        <v>942</v>
      </c>
      <c r="D704" s="291"/>
      <c r="E704" s="294">
        <v>3</v>
      </c>
      <c r="F704" s="293"/>
      <c r="G704" s="288"/>
      <c r="H704" s="288"/>
      <c r="I704" s="289"/>
    </row>
    <row r="705" spans="1:9">
      <c r="A705" s="126">
        <f t="shared" si="10"/>
        <v>699</v>
      </c>
      <c r="B705" s="306" t="s">
        <v>943</v>
      </c>
      <c r="C705" s="124" t="s">
        <v>944</v>
      </c>
      <c r="D705" s="291"/>
      <c r="E705" s="294">
        <v>3</v>
      </c>
      <c r="F705" s="293"/>
      <c r="G705" s="288"/>
      <c r="H705" s="288"/>
      <c r="I705" s="289"/>
    </row>
    <row r="706" spans="1:9">
      <c r="A706" s="126">
        <f t="shared" si="10"/>
        <v>700</v>
      </c>
      <c r="B706" s="306" t="s">
        <v>1216</v>
      </c>
      <c r="C706" s="124" t="s">
        <v>1217</v>
      </c>
      <c r="D706" s="291"/>
      <c r="E706" s="294">
        <v>3</v>
      </c>
      <c r="F706" s="293"/>
      <c r="G706" s="127"/>
      <c r="H706" s="288"/>
      <c r="I706" s="289"/>
    </row>
    <row r="707" spans="1:9">
      <c r="A707" s="126">
        <f t="shared" si="10"/>
        <v>701</v>
      </c>
      <c r="B707" s="306" t="s">
        <v>1218</v>
      </c>
      <c r="C707" s="124" t="s">
        <v>1219</v>
      </c>
      <c r="D707" s="291"/>
      <c r="E707" s="294">
        <v>3</v>
      </c>
      <c r="F707" s="293"/>
      <c r="G707" s="288"/>
      <c r="H707" s="288"/>
      <c r="I707" s="289"/>
    </row>
    <row r="708" spans="1:9">
      <c r="A708" s="126">
        <f t="shared" si="10"/>
        <v>702</v>
      </c>
      <c r="B708" s="306" t="s">
        <v>1220</v>
      </c>
      <c r="C708" s="124" t="s">
        <v>1221</v>
      </c>
      <c r="D708" s="291"/>
      <c r="E708" s="294">
        <v>3</v>
      </c>
      <c r="F708" s="293"/>
      <c r="G708" s="288"/>
      <c r="H708" s="288"/>
      <c r="I708" s="289"/>
    </row>
    <row r="709" spans="1:9">
      <c r="A709" s="126">
        <f t="shared" si="10"/>
        <v>703</v>
      </c>
      <c r="B709" s="306" t="s">
        <v>945</v>
      </c>
      <c r="C709" s="124" t="s">
        <v>946</v>
      </c>
      <c r="D709" s="291"/>
      <c r="E709" s="294">
        <v>3</v>
      </c>
      <c r="F709" s="293"/>
      <c r="G709" s="288"/>
      <c r="H709" s="288"/>
      <c r="I709" s="289"/>
    </row>
    <row r="710" spans="1:9">
      <c r="A710" s="126">
        <f t="shared" si="10"/>
        <v>704</v>
      </c>
      <c r="B710" s="306" t="s">
        <v>947</v>
      </c>
      <c r="C710" s="124" t="s">
        <v>948</v>
      </c>
      <c r="D710" s="291"/>
      <c r="E710" s="294">
        <v>3</v>
      </c>
      <c r="F710" s="293"/>
      <c r="G710" s="288"/>
      <c r="H710" s="288"/>
      <c r="I710" s="289"/>
    </row>
    <row r="711" spans="1:9">
      <c r="A711" s="126">
        <f t="shared" si="10"/>
        <v>705</v>
      </c>
      <c r="B711" s="306" t="s">
        <v>949</v>
      </c>
      <c r="C711" s="124" t="s">
        <v>950</v>
      </c>
      <c r="D711" s="291"/>
      <c r="E711" s="294">
        <v>3</v>
      </c>
      <c r="F711" s="293"/>
      <c r="G711" s="288"/>
      <c r="H711" s="288"/>
      <c r="I711" s="289"/>
    </row>
    <row r="712" spans="1:9">
      <c r="A712" s="126">
        <f t="shared" ref="A712:A775" si="11">A711+1</f>
        <v>706</v>
      </c>
      <c r="B712" s="306" t="s">
        <v>1222</v>
      </c>
      <c r="C712" s="124" t="s">
        <v>1223</v>
      </c>
      <c r="D712" s="291"/>
      <c r="E712" s="294">
        <v>3</v>
      </c>
      <c r="F712" s="293"/>
      <c r="G712" s="288"/>
      <c r="H712" s="288"/>
      <c r="I712" s="289"/>
    </row>
    <row r="713" spans="1:9">
      <c r="A713" s="126">
        <f t="shared" si="11"/>
        <v>707</v>
      </c>
      <c r="B713" s="306" t="s">
        <v>951</v>
      </c>
      <c r="C713" s="124" t="s">
        <v>952</v>
      </c>
      <c r="D713" s="291"/>
      <c r="E713" s="294">
        <v>3</v>
      </c>
      <c r="F713" s="293"/>
      <c r="G713" s="127"/>
      <c r="H713" s="288"/>
      <c r="I713" s="289"/>
    </row>
    <row r="714" spans="1:9">
      <c r="A714" s="126">
        <f t="shared" si="11"/>
        <v>708</v>
      </c>
      <c r="B714" s="306" t="s">
        <v>953</v>
      </c>
      <c r="C714" s="124" t="s">
        <v>954</v>
      </c>
      <c r="D714" s="291"/>
      <c r="E714" s="294">
        <v>3</v>
      </c>
      <c r="F714" s="293"/>
      <c r="G714" s="127"/>
      <c r="H714" s="288"/>
      <c r="I714" s="289"/>
    </row>
    <row r="715" spans="1:9">
      <c r="A715" s="126">
        <f t="shared" si="11"/>
        <v>709</v>
      </c>
      <c r="B715" s="306" t="s">
        <v>955</v>
      </c>
      <c r="C715" s="124" t="s">
        <v>956</v>
      </c>
      <c r="D715" s="291"/>
      <c r="E715" s="294">
        <v>3</v>
      </c>
      <c r="F715" s="293"/>
      <c r="G715" s="127"/>
      <c r="H715" s="288"/>
      <c r="I715" s="289"/>
    </row>
    <row r="716" spans="1:9">
      <c r="A716" s="126">
        <f t="shared" si="11"/>
        <v>710</v>
      </c>
      <c r="B716" s="306" t="s">
        <v>957</v>
      </c>
      <c r="C716" s="124" t="s">
        <v>958</v>
      </c>
      <c r="D716" s="291"/>
      <c r="E716" s="294">
        <v>3</v>
      </c>
      <c r="F716" s="293"/>
      <c r="G716" s="288"/>
      <c r="H716" s="288"/>
      <c r="I716" s="289"/>
    </row>
    <row r="717" spans="1:9">
      <c r="A717" s="126">
        <f t="shared" si="11"/>
        <v>711</v>
      </c>
      <c r="B717" s="306" t="s">
        <v>1224</v>
      </c>
      <c r="C717" s="124" t="s">
        <v>1225</v>
      </c>
      <c r="D717" s="291"/>
      <c r="E717" s="294">
        <v>3</v>
      </c>
      <c r="F717" s="293"/>
      <c r="G717" s="288"/>
      <c r="H717" s="288"/>
      <c r="I717" s="289"/>
    </row>
    <row r="718" spans="1:9">
      <c r="A718" s="126">
        <f t="shared" si="11"/>
        <v>712</v>
      </c>
      <c r="B718" s="306" t="s">
        <v>959</v>
      </c>
      <c r="C718" s="124" t="s">
        <v>960</v>
      </c>
      <c r="D718" s="291"/>
      <c r="E718" s="294">
        <v>3</v>
      </c>
      <c r="F718" s="293"/>
      <c r="G718" s="288"/>
      <c r="H718" s="288"/>
      <c r="I718" s="289"/>
    </row>
    <row r="719" spans="1:9">
      <c r="A719" s="126">
        <f t="shared" si="11"/>
        <v>713</v>
      </c>
      <c r="B719" s="306" t="s">
        <v>961</v>
      </c>
      <c r="C719" s="124" t="s">
        <v>962</v>
      </c>
      <c r="D719" s="291"/>
      <c r="E719" s="294">
        <v>3</v>
      </c>
      <c r="F719" s="293"/>
      <c r="G719" s="127"/>
      <c r="H719" s="288"/>
      <c r="I719" s="289"/>
    </row>
    <row r="720" spans="1:9">
      <c r="A720" s="126">
        <f t="shared" si="11"/>
        <v>714</v>
      </c>
      <c r="B720" s="306" t="s">
        <v>963</v>
      </c>
      <c r="C720" s="124" t="s">
        <v>964</v>
      </c>
      <c r="D720" s="291"/>
      <c r="E720" s="294">
        <v>3</v>
      </c>
      <c r="F720" s="293"/>
      <c r="G720" s="288"/>
      <c r="H720" s="288"/>
      <c r="I720" s="289"/>
    </row>
    <row r="721" spans="1:9">
      <c r="A721" s="126">
        <f t="shared" si="11"/>
        <v>715</v>
      </c>
      <c r="B721" s="306" t="s">
        <v>965</v>
      </c>
      <c r="C721" s="124" t="s">
        <v>966</v>
      </c>
      <c r="D721" s="291"/>
      <c r="E721" s="294">
        <v>3</v>
      </c>
      <c r="F721" s="293"/>
      <c r="G721" s="288"/>
      <c r="H721" s="288"/>
      <c r="I721" s="289"/>
    </row>
    <row r="722" spans="1:9">
      <c r="A722" s="126">
        <f t="shared" si="11"/>
        <v>716</v>
      </c>
      <c r="B722" s="306" t="s">
        <v>967</v>
      </c>
      <c r="C722" s="124" t="s">
        <v>968</v>
      </c>
      <c r="D722" s="291"/>
      <c r="E722" s="294">
        <v>3</v>
      </c>
      <c r="F722" s="293"/>
      <c r="G722" s="288"/>
      <c r="H722" s="288"/>
      <c r="I722" s="289"/>
    </row>
    <row r="723" spans="1:9">
      <c r="A723" s="126">
        <f t="shared" si="11"/>
        <v>717</v>
      </c>
      <c r="B723" s="306" t="s">
        <v>969</v>
      </c>
      <c r="C723" s="124" t="s">
        <v>970</v>
      </c>
      <c r="D723" s="291"/>
      <c r="E723" s="294">
        <v>3</v>
      </c>
      <c r="F723" s="293"/>
      <c r="G723" s="288"/>
      <c r="H723" s="288"/>
      <c r="I723" s="289"/>
    </row>
    <row r="724" spans="1:9">
      <c r="A724" s="126">
        <f t="shared" si="11"/>
        <v>718</v>
      </c>
      <c r="B724" s="306" t="s">
        <v>1226</v>
      </c>
      <c r="C724" s="124" t="s">
        <v>1227</v>
      </c>
      <c r="D724" s="291"/>
      <c r="E724" s="294">
        <v>3</v>
      </c>
      <c r="F724" s="293"/>
      <c r="G724" s="288"/>
      <c r="H724" s="288"/>
      <c r="I724" s="289"/>
    </row>
    <row r="725" spans="1:9">
      <c r="A725" s="126">
        <f t="shared" si="11"/>
        <v>719</v>
      </c>
      <c r="B725" s="306" t="s">
        <v>971</v>
      </c>
      <c r="C725" s="124" t="s">
        <v>972</v>
      </c>
      <c r="D725" s="291"/>
      <c r="E725" s="294">
        <v>3</v>
      </c>
      <c r="F725" s="293"/>
      <c r="G725" s="288"/>
      <c r="H725" s="288"/>
      <c r="I725" s="289"/>
    </row>
    <row r="726" spans="1:9">
      <c r="A726" s="126">
        <f t="shared" si="11"/>
        <v>720</v>
      </c>
      <c r="B726" s="306" t="s">
        <v>973</v>
      </c>
      <c r="C726" s="124" t="s">
        <v>974</v>
      </c>
      <c r="D726" s="291"/>
      <c r="E726" s="294">
        <v>3</v>
      </c>
      <c r="F726" s="293"/>
      <c r="G726" s="127"/>
      <c r="H726" s="288"/>
      <c r="I726" s="289"/>
    </row>
    <row r="727" spans="1:9">
      <c r="A727" s="126">
        <f t="shared" si="11"/>
        <v>721</v>
      </c>
      <c r="B727" s="306" t="s">
        <v>975</v>
      </c>
      <c r="C727" s="124" t="s">
        <v>976</v>
      </c>
      <c r="D727" s="291"/>
      <c r="E727" s="294">
        <v>3</v>
      </c>
      <c r="F727" s="293"/>
      <c r="G727" s="127"/>
      <c r="H727" s="288"/>
      <c r="I727" s="289"/>
    </row>
    <row r="728" spans="1:9">
      <c r="A728" s="126">
        <f t="shared" si="11"/>
        <v>722</v>
      </c>
      <c r="B728" s="306" t="s">
        <v>977</v>
      </c>
      <c r="C728" s="124" t="s">
        <v>978</v>
      </c>
      <c r="D728" s="291"/>
      <c r="E728" s="294">
        <v>3</v>
      </c>
      <c r="F728" s="293"/>
      <c r="G728" s="127"/>
      <c r="H728" s="288"/>
      <c r="I728" s="289"/>
    </row>
    <row r="729" spans="1:9">
      <c r="A729" s="126">
        <f t="shared" si="11"/>
        <v>723</v>
      </c>
      <c r="B729" s="306" t="s">
        <v>979</v>
      </c>
      <c r="C729" s="124" t="s">
        <v>980</v>
      </c>
      <c r="D729" s="291"/>
      <c r="E729" s="294">
        <v>3</v>
      </c>
      <c r="F729" s="293"/>
      <c r="G729" s="288"/>
      <c r="H729" s="288"/>
      <c r="I729" s="289"/>
    </row>
    <row r="730" spans="1:9">
      <c r="A730" s="126">
        <f t="shared" si="11"/>
        <v>724</v>
      </c>
      <c r="B730" s="306" t="s">
        <v>981</v>
      </c>
      <c r="C730" s="124" t="s">
        <v>982</v>
      </c>
      <c r="D730" s="291"/>
      <c r="E730" s="294">
        <v>3</v>
      </c>
      <c r="F730" s="293"/>
      <c r="G730" s="288"/>
      <c r="H730" s="288"/>
      <c r="I730" s="289"/>
    </row>
    <row r="731" spans="1:9">
      <c r="A731" s="126">
        <f t="shared" si="11"/>
        <v>725</v>
      </c>
      <c r="B731" s="306" t="s">
        <v>983</v>
      </c>
      <c r="C731" s="124" t="s">
        <v>984</v>
      </c>
      <c r="D731" s="291"/>
      <c r="E731" s="294">
        <v>3</v>
      </c>
      <c r="F731" s="293"/>
      <c r="G731" s="288"/>
      <c r="H731" s="288"/>
      <c r="I731" s="289"/>
    </row>
    <row r="732" spans="1:9">
      <c r="A732" s="126">
        <f t="shared" si="11"/>
        <v>726</v>
      </c>
      <c r="B732" s="306" t="s">
        <v>985</v>
      </c>
      <c r="C732" s="124" t="s">
        <v>986</v>
      </c>
      <c r="D732" s="291"/>
      <c r="E732" s="294">
        <v>3</v>
      </c>
      <c r="F732" s="293"/>
      <c r="G732" s="127"/>
      <c r="H732" s="288"/>
      <c r="I732" s="289"/>
    </row>
    <row r="733" spans="1:9">
      <c r="A733" s="126">
        <f t="shared" si="11"/>
        <v>727</v>
      </c>
      <c r="B733" s="306" t="s">
        <v>987</v>
      </c>
      <c r="C733" s="124" t="s">
        <v>988</v>
      </c>
      <c r="D733" s="291"/>
      <c r="E733" s="294">
        <v>3</v>
      </c>
      <c r="F733" s="293"/>
      <c r="G733" s="288"/>
      <c r="H733" s="288"/>
      <c r="I733" s="289"/>
    </row>
    <row r="734" spans="1:9">
      <c r="A734" s="126">
        <f t="shared" si="11"/>
        <v>728</v>
      </c>
      <c r="B734" s="306" t="s">
        <v>989</v>
      </c>
      <c r="C734" s="124" t="s">
        <v>990</v>
      </c>
      <c r="D734" s="291"/>
      <c r="E734" s="294">
        <v>3</v>
      </c>
      <c r="F734" s="293"/>
      <c r="G734" s="127"/>
      <c r="H734" s="288"/>
      <c r="I734" s="289"/>
    </row>
    <row r="735" spans="1:9">
      <c r="A735" s="126">
        <f t="shared" si="11"/>
        <v>729</v>
      </c>
      <c r="B735" s="306" t="s">
        <v>991</v>
      </c>
      <c r="C735" s="124" t="s">
        <v>992</v>
      </c>
      <c r="D735" s="291"/>
      <c r="E735" s="294">
        <v>3</v>
      </c>
      <c r="F735" s="293"/>
      <c r="G735" s="288"/>
      <c r="H735" s="288"/>
      <c r="I735" s="289"/>
    </row>
    <row r="736" spans="1:9" ht="12.65" customHeight="1">
      <c r="A736" s="126">
        <f t="shared" si="11"/>
        <v>730</v>
      </c>
      <c r="B736" s="306" t="s">
        <v>993</v>
      </c>
      <c r="C736" s="124" t="s">
        <v>994</v>
      </c>
      <c r="D736" s="291"/>
      <c r="E736" s="294">
        <v>3</v>
      </c>
      <c r="F736" s="293"/>
      <c r="G736" s="127"/>
      <c r="H736" s="288"/>
      <c r="I736" s="289"/>
    </row>
    <row r="737" spans="1:9">
      <c r="A737" s="126">
        <f t="shared" si="11"/>
        <v>731</v>
      </c>
      <c r="B737" s="306" t="s">
        <v>995</v>
      </c>
      <c r="C737" s="124" t="s">
        <v>996</v>
      </c>
      <c r="D737" s="291"/>
      <c r="E737" s="294">
        <v>3</v>
      </c>
      <c r="F737" s="293"/>
      <c r="G737" s="127"/>
      <c r="H737" s="288"/>
      <c r="I737" s="289"/>
    </row>
    <row r="738" spans="1:9">
      <c r="A738" s="126">
        <f t="shared" si="11"/>
        <v>732</v>
      </c>
      <c r="B738" s="306" t="s">
        <v>997</v>
      </c>
      <c r="C738" s="124" t="s">
        <v>998</v>
      </c>
      <c r="D738" s="291"/>
      <c r="E738" s="294">
        <v>3</v>
      </c>
      <c r="F738" s="293"/>
      <c r="G738" s="127"/>
      <c r="H738" s="288"/>
      <c r="I738" s="289"/>
    </row>
    <row r="739" spans="1:9">
      <c r="A739" s="126">
        <f t="shared" si="11"/>
        <v>733</v>
      </c>
      <c r="B739" s="306" t="s">
        <v>999</v>
      </c>
      <c r="C739" s="124" t="s">
        <v>1000</v>
      </c>
      <c r="D739" s="291"/>
      <c r="E739" s="294">
        <v>3</v>
      </c>
      <c r="F739" s="293"/>
      <c r="G739" s="288"/>
      <c r="H739" s="288"/>
      <c r="I739" s="289"/>
    </row>
    <row r="740" spans="1:9">
      <c r="A740" s="126">
        <f t="shared" si="11"/>
        <v>734</v>
      </c>
      <c r="B740" s="306" t="s">
        <v>1001</v>
      </c>
      <c r="C740" s="124" t="s">
        <v>1002</v>
      </c>
      <c r="D740" s="291"/>
      <c r="E740" s="294">
        <v>3</v>
      </c>
      <c r="F740" s="293"/>
      <c r="G740" s="288"/>
      <c r="H740" s="288"/>
      <c r="I740" s="289"/>
    </row>
    <row r="741" spans="1:9">
      <c r="A741" s="126">
        <f t="shared" si="11"/>
        <v>735</v>
      </c>
      <c r="B741" s="306" t="s">
        <v>1003</v>
      </c>
      <c r="C741" s="124" t="s">
        <v>1004</v>
      </c>
      <c r="D741" s="291"/>
      <c r="E741" s="294">
        <v>3</v>
      </c>
      <c r="F741" s="293"/>
      <c r="G741" s="288"/>
      <c r="H741" s="288"/>
      <c r="I741" s="289"/>
    </row>
    <row r="742" spans="1:9">
      <c r="A742" s="126">
        <f t="shared" si="11"/>
        <v>736</v>
      </c>
      <c r="B742" s="306" t="s">
        <v>1005</v>
      </c>
      <c r="C742" s="124" t="s">
        <v>1006</v>
      </c>
      <c r="D742" s="291"/>
      <c r="E742" s="294">
        <v>3</v>
      </c>
      <c r="F742" s="293"/>
      <c r="G742" s="127"/>
      <c r="H742" s="288"/>
      <c r="I742" s="289"/>
    </row>
    <row r="743" spans="1:9">
      <c r="A743" s="126">
        <f t="shared" si="11"/>
        <v>737</v>
      </c>
      <c r="B743" s="306" t="s">
        <v>1007</v>
      </c>
      <c r="C743" s="124" t="s">
        <v>1008</v>
      </c>
      <c r="D743" s="291"/>
      <c r="E743" s="294">
        <v>3</v>
      </c>
      <c r="F743" s="293"/>
      <c r="G743" s="288"/>
      <c r="H743" s="288"/>
      <c r="I743" s="289"/>
    </row>
    <row r="744" spans="1:9">
      <c r="A744" s="126">
        <f t="shared" si="11"/>
        <v>738</v>
      </c>
      <c r="B744" s="306" t="s">
        <v>1228</v>
      </c>
      <c r="C744" s="124" t="s">
        <v>1229</v>
      </c>
      <c r="D744" s="291"/>
      <c r="E744" s="294">
        <v>3</v>
      </c>
      <c r="F744" s="293"/>
      <c r="G744" s="288"/>
      <c r="H744" s="288"/>
      <c r="I744" s="289"/>
    </row>
    <row r="745" spans="1:9">
      <c r="A745" s="126">
        <f t="shared" si="11"/>
        <v>739</v>
      </c>
      <c r="B745" s="306" t="s">
        <v>1009</v>
      </c>
      <c r="C745" s="124" t="s">
        <v>1010</v>
      </c>
      <c r="D745" s="291"/>
      <c r="E745" s="294">
        <v>3</v>
      </c>
      <c r="F745" s="293"/>
      <c r="G745" s="288"/>
      <c r="H745" s="288"/>
      <c r="I745" s="289"/>
    </row>
    <row r="746" spans="1:9">
      <c r="A746" s="126">
        <f t="shared" si="11"/>
        <v>740</v>
      </c>
      <c r="B746" s="306" t="s">
        <v>1011</v>
      </c>
      <c r="C746" s="124" t="s">
        <v>1012</v>
      </c>
      <c r="D746" s="291"/>
      <c r="E746" s="294">
        <v>3</v>
      </c>
      <c r="F746" s="293"/>
      <c r="G746" s="288"/>
      <c r="H746" s="288"/>
      <c r="I746" s="289"/>
    </row>
    <row r="747" spans="1:9">
      <c r="A747" s="126">
        <f t="shared" si="11"/>
        <v>741</v>
      </c>
      <c r="B747" s="306" t="s">
        <v>1013</v>
      </c>
      <c r="C747" s="124" t="s">
        <v>1014</v>
      </c>
      <c r="D747" s="291"/>
      <c r="E747" s="294">
        <v>3</v>
      </c>
      <c r="F747" s="293"/>
      <c r="G747" s="288"/>
      <c r="H747" s="288"/>
      <c r="I747" s="289"/>
    </row>
    <row r="748" spans="1:9">
      <c r="A748" s="126">
        <f t="shared" si="11"/>
        <v>742</v>
      </c>
      <c r="B748" s="306" t="s">
        <v>1015</v>
      </c>
      <c r="C748" s="124" t="s">
        <v>1016</v>
      </c>
      <c r="D748" s="291"/>
      <c r="E748" s="294">
        <v>3</v>
      </c>
      <c r="F748" s="293"/>
      <c r="G748" s="288"/>
      <c r="H748" s="288"/>
      <c r="I748" s="289"/>
    </row>
    <row r="749" spans="1:9">
      <c r="A749" s="126">
        <f t="shared" si="11"/>
        <v>743</v>
      </c>
      <c r="B749" s="306" t="s">
        <v>1017</v>
      </c>
      <c r="C749" s="124" t="s">
        <v>1018</v>
      </c>
      <c r="D749" s="291"/>
      <c r="E749" s="294">
        <v>3</v>
      </c>
      <c r="F749" s="293"/>
      <c r="G749" s="127"/>
      <c r="H749" s="288"/>
      <c r="I749" s="289"/>
    </row>
    <row r="750" spans="1:9">
      <c r="A750" s="126">
        <f t="shared" si="11"/>
        <v>744</v>
      </c>
      <c r="B750" s="306" t="s">
        <v>1230</v>
      </c>
      <c r="C750" s="124" t="s">
        <v>1231</v>
      </c>
      <c r="D750" s="291"/>
      <c r="E750" s="294">
        <v>3</v>
      </c>
      <c r="F750" s="293"/>
      <c r="G750" s="127"/>
      <c r="H750" s="288"/>
      <c r="I750" s="289"/>
    </row>
    <row r="751" spans="1:9">
      <c r="A751" s="126">
        <f t="shared" si="11"/>
        <v>745</v>
      </c>
      <c r="B751" s="306" t="s">
        <v>1232</v>
      </c>
      <c r="C751" s="124" t="s">
        <v>1233</v>
      </c>
      <c r="D751" s="291"/>
      <c r="E751" s="294">
        <v>3</v>
      </c>
      <c r="F751" s="293"/>
      <c r="G751" s="127"/>
      <c r="H751" s="288"/>
      <c r="I751" s="289"/>
    </row>
    <row r="752" spans="1:9">
      <c r="A752" s="126">
        <f t="shared" si="11"/>
        <v>746</v>
      </c>
      <c r="B752" s="306" t="s">
        <v>1234</v>
      </c>
      <c r="C752" s="124" t="s">
        <v>1235</v>
      </c>
      <c r="D752" s="291"/>
      <c r="E752" s="294">
        <v>3</v>
      </c>
      <c r="F752" s="293"/>
      <c r="G752" s="288"/>
      <c r="H752" s="288"/>
      <c r="I752" s="289"/>
    </row>
    <row r="753" spans="1:9">
      <c r="A753" s="126">
        <f t="shared" si="11"/>
        <v>747</v>
      </c>
      <c r="B753" s="306" t="s">
        <v>1019</v>
      </c>
      <c r="C753" s="124" t="s">
        <v>1020</v>
      </c>
      <c r="D753" s="291"/>
      <c r="E753" s="294">
        <v>3</v>
      </c>
      <c r="F753" s="293"/>
      <c r="G753" s="288"/>
      <c r="H753" s="288"/>
      <c r="I753" s="289"/>
    </row>
    <row r="754" spans="1:9">
      <c r="A754" s="126">
        <f t="shared" si="11"/>
        <v>748</v>
      </c>
      <c r="B754" s="306" t="s">
        <v>1021</v>
      </c>
      <c r="C754" s="124" t="s">
        <v>1022</v>
      </c>
      <c r="D754" s="291"/>
      <c r="E754" s="294">
        <v>3</v>
      </c>
      <c r="F754" s="293"/>
      <c r="G754" s="288"/>
      <c r="H754" s="288"/>
      <c r="I754" s="289"/>
    </row>
    <row r="755" spans="1:9">
      <c r="A755" s="126">
        <f t="shared" si="11"/>
        <v>749</v>
      </c>
      <c r="B755" s="306" t="s">
        <v>1023</v>
      </c>
      <c r="C755" s="124" t="s">
        <v>1024</v>
      </c>
      <c r="D755" s="291"/>
      <c r="E755" s="294">
        <v>3</v>
      </c>
      <c r="F755" s="293"/>
      <c r="G755" s="127"/>
      <c r="H755" s="288"/>
      <c r="I755" s="289"/>
    </row>
    <row r="756" spans="1:9">
      <c r="A756" s="126">
        <f t="shared" si="11"/>
        <v>750</v>
      </c>
      <c r="B756" s="306" t="s">
        <v>1025</v>
      </c>
      <c r="C756" s="124" t="s">
        <v>1026</v>
      </c>
      <c r="D756" s="291"/>
      <c r="E756" s="294">
        <v>3</v>
      </c>
      <c r="F756" s="293"/>
      <c r="G756" s="288"/>
      <c r="H756" s="288"/>
      <c r="I756" s="289"/>
    </row>
    <row r="757" spans="1:9">
      <c r="A757" s="126">
        <f t="shared" si="11"/>
        <v>751</v>
      </c>
      <c r="B757" s="306" t="s">
        <v>1027</v>
      </c>
      <c r="C757" s="124" t="s">
        <v>1028</v>
      </c>
      <c r="D757" s="291"/>
      <c r="E757" s="294">
        <v>3</v>
      </c>
      <c r="F757" s="293"/>
      <c r="G757" s="288"/>
      <c r="H757" s="288"/>
      <c r="I757" s="289"/>
    </row>
    <row r="758" spans="1:9">
      <c r="A758" s="126">
        <f t="shared" si="11"/>
        <v>752</v>
      </c>
      <c r="B758" s="306" t="s">
        <v>1236</v>
      </c>
      <c r="C758" s="124" t="s">
        <v>1237</v>
      </c>
      <c r="D758" s="291"/>
      <c r="E758" s="294">
        <v>3</v>
      </c>
      <c r="F758" s="293"/>
      <c r="G758" s="288"/>
      <c r="H758" s="288"/>
      <c r="I758" s="289"/>
    </row>
    <row r="759" spans="1:9">
      <c r="A759" s="126">
        <f t="shared" si="11"/>
        <v>753</v>
      </c>
      <c r="B759" s="306" t="s">
        <v>1029</v>
      </c>
      <c r="C759" s="124" t="s">
        <v>1030</v>
      </c>
      <c r="D759" s="291"/>
      <c r="E759" s="294">
        <v>3</v>
      </c>
      <c r="F759" s="293"/>
      <c r="G759" s="288"/>
      <c r="H759" s="288"/>
      <c r="I759" s="289"/>
    </row>
    <row r="760" spans="1:9">
      <c r="A760" s="126">
        <f t="shared" si="11"/>
        <v>754</v>
      </c>
      <c r="B760" s="306" t="s">
        <v>1238</v>
      </c>
      <c r="C760" s="124" t="s">
        <v>1239</v>
      </c>
      <c r="D760" s="291"/>
      <c r="E760" s="294">
        <v>3</v>
      </c>
      <c r="F760" s="293"/>
      <c r="G760" s="288"/>
      <c r="H760" s="288"/>
      <c r="I760" s="289"/>
    </row>
    <row r="761" spans="1:9">
      <c r="A761" s="126">
        <f t="shared" si="11"/>
        <v>755</v>
      </c>
      <c r="B761" s="306" t="s">
        <v>1031</v>
      </c>
      <c r="C761" s="124" t="s">
        <v>1032</v>
      </c>
      <c r="D761" s="291"/>
      <c r="E761" s="294">
        <v>3</v>
      </c>
      <c r="F761" s="293"/>
      <c r="G761" s="288"/>
      <c r="H761" s="288"/>
      <c r="I761" s="289"/>
    </row>
    <row r="762" spans="1:9">
      <c r="A762" s="126">
        <f t="shared" si="11"/>
        <v>756</v>
      </c>
      <c r="B762" s="306" t="s">
        <v>1033</v>
      </c>
      <c r="C762" s="124" t="s">
        <v>1034</v>
      </c>
      <c r="D762" s="291"/>
      <c r="E762" s="294">
        <v>3</v>
      </c>
      <c r="F762" s="293"/>
      <c r="G762" s="127"/>
      <c r="H762" s="288"/>
      <c r="I762" s="289"/>
    </row>
    <row r="763" spans="1:9">
      <c r="A763" s="126">
        <f t="shared" si="11"/>
        <v>757</v>
      </c>
      <c r="B763" s="306" t="s">
        <v>1035</v>
      </c>
      <c r="C763" s="124" t="s">
        <v>1036</v>
      </c>
      <c r="D763" s="291"/>
      <c r="E763" s="294">
        <v>3</v>
      </c>
      <c r="F763" s="293"/>
      <c r="G763" s="127"/>
      <c r="H763" s="288"/>
      <c r="I763" s="289"/>
    </row>
    <row r="764" spans="1:9">
      <c r="A764" s="126">
        <f t="shared" si="11"/>
        <v>758</v>
      </c>
      <c r="B764" s="306" t="s">
        <v>1037</v>
      </c>
      <c r="C764" s="124" t="s">
        <v>1038</v>
      </c>
      <c r="D764" s="291"/>
      <c r="E764" s="294">
        <v>3</v>
      </c>
      <c r="F764" s="293"/>
      <c r="G764" s="127"/>
      <c r="H764" s="288"/>
      <c r="I764" s="289"/>
    </row>
    <row r="765" spans="1:9">
      <c r="A765" s="126">
        <f t="shared" si="11"/>
        <v>759</v>
      </c>
      <c r="B765" s="306" t="s">
        <v>1039</v>
      </c>
      <c r="C765" s="124" t="s">
        <v>1040</v>
      </c>
      <c r="D765" s="291"/>
      <c r="E765" s="294">
        <v>3</v>
      </c>
      <c r="F765" s="293"/>
      <c r="G765" s="288"/>
      <c r="H765" s="288"/>
      <c r="I765" s="289"/>
    </row>
    <row r="766" spans="1:9">
      <c r="A766" s="126">
        <f t="shared" si="11"/>
        <v>760</v>
      </c>
      <c r="B766" s="306" t="s">
        <v>1041</v>
      </c>
      <c r="C766" s="124" t="s">
        <v>1042</v>
      </c>
      <c r="D766" s="291"/>
      <c r="E766" s="294">
        <v>3</v>
      </c>
      <c r="F766" s="293"/>
      <c r="G766" s="288"/>
      <c r="H766" s="288"/>
      <c r="I766" s="289"/>
    </row>
    <row r="767" spans="1:9">
      <c r="A767" s="126">
        <f t="shared" si="11"/>
        <v>761</v>
      </c>
      <c r="B767" s="306" t="s">
        <v>1043</v>
      </c>
      <c r="C767" s="124" t="s">
        <v>1044</v>
      </c>
      <c r="D767" s="291"/>
      <c r="E767" s="294">
        <v>3</v>
      </c>
      <c r="F767" s="293"/>
      <c r="G767" s="288"/>
      <c r="H767" s="288"/>
      <c r="I767" s="289"/>
    </row>
    <row r="768" spans="1:9">
      <c r="A768" s="126">
        <f t="shared" si="11"/>
        <v>762</v>
      </c>
      <c r="B768" s="306" t="s">
        <v>1045</v>
      </c>
      <c r="C768" s="124" t="s">
        <v>1046</v>
      </c>
      <c r="D768" s="291"/>
      <c r="E768" s="294">
        <v>3</v>
      </c>
      <c r="F768" s="293"/>
      <c r="G768" s="127"/>
      <c r="H768" s="288"/>
      <c r="I768" s="289"/>
    </row>
    <row r="769" spans="1:9">
      <c r="A769" s="126">
        <f t="shared" si="11"/>
        <v>763</v>
      </c>
      <c r="B769" s="306" t="s">
        <v>1047</v>
      </c>
      <c r="C769" s="124" t="s">
        <v>1048</v>
      </c>
      <c r="D769" s="291"/>
      <c r="E769" s="294">
        <v>3</v>
      </c>
      <c r="F769" s="293"/>
      <c r="G769" s="288"/>
      <c r="H769" s="288"/>
      <c r="I769" s="289"/>
    </row>
    <row r="770" spans="1:9">
      <c r="A770" s="126">
        <f t="shared" si="11"/>
        <v>764</v>
      </c>
      <c r="B770" s="306" t="s">
        <v>1049</v>
      </c>
      <c r="C770" s="124" t="s">
        <v>1050</v>
      </c>
      <c r="D770" s="291"/>
      <c r="E770" s="294">
        <v>3</v>
      </c>
      <c r="F770" s="293"/>
      <c r="G770" s="127"/>
      <c r="H770" s="288"/>
      <c r="I770" s="289"/>
    </row>
    <row r="771" spans="1:9">
      <c r="A771" s="126">
        <f t="shared" si="11"/>
        <v>765</v>
      </c>
      <c r="B771" s="306" t="s">
        <v>1051</v>
      </c>
      <c r="C771" s="124" t="s">
        <v>1052</v>
      </c>
      <c r="D771" s="291"/>
      <c r="E771" s="294">
        <v>3</v>
      </c>
      <c r="F771" s="293"/>
      <c r="G771" s="288"/>
      <c r="H771" s="288"/>
      <c r="I771" s="289"/>
    </row>
    <row r="772" spans="1:9">
      <c r="A772" s="126">
        <f t="shared" si="11"/>
        <v>766</v>
      </c>
      <c r="B772" s="306" t="s">
        <v>1053</v>
      </c>
      <c r="C772" s="124" t="s">
        <v>1054</v>
      </c>
      <c r="D772" s="291"/>
      <c r="E772" s="294">
        <v>3</v>
      </c>
      <c r="F772" s="293"/>
      <c r="G772" s="127"/>
      <c r="H772" s="288"/>
      <c r="I772" s="289"/>
    </row>
    <row r="773" spans="1:9">
      <c r="A773" s="126">
        <f t="shared" si="11"/>
        <v>767</v>
      </c>
      <c r="B773" s="306" t="s">
        <v>1055</v>
      </c>
      <c r="C773" s="124" t="s">
        <v>1056</v>
      </c>
      <c r="D773" s="291"/>
      <c r="E773" s="294">
        <v>3</v>
      </c>
      <c r="F773" s="293"/>
      <c r="G773" s="127"/>
      <c r="H773" s="288"/>
      <c r="I773" s="289"/>
    </row>
    <row r="774" spans="1:9">
      <c r="A774" s="126">
        <f t="shared" si="11"/>
        <v>768</v>
      </c>
      <c r="B774" s="306" t="s">
        <v>1057</v>
      </c>
      <c r="C774" s="124" t="s">
        <v>1058</v>
      </c>
      <c r="D774" s="291"/>
      <c r="E774" s="294">
        <v>3</v>
      </c>
      <c r="F774" s="293"/>
      <c r="G774" s="127"/>
      <c r="H774" s="288"/>
      <c r="I774" s="289"/>
    </row>
    <row r="775" spans="1:9">
      <c r="A775" s="126">
        <f t="shared" si="11"/>
        <v>769</v>
      </c>
      <c r="B775" s="306" t="s">
        <v>1240</v>
      </c>
      <c r="C775" s="124" t="s">
        <v>1241</v>
      </c>
      <c r="D775" s="291"/>
      <c r="E775" s="294">
        <v>3</v>
      </c>
      <c r="F775" s="293"/>
      <c r="G775" s="288"/>
      <c r="H775" s="288"/>
      <c r="I775" s="289"/>
    </row>
    <row r="776" spans="1:9">
      <c r="A776" s="126">
        <f t="shared" ref="A776:A792" si="12">A775+1</f>
        <v>770</v>
      </c>
      <c r="B776" s="306" t="s">
        <v>1059</v>
      </c>
      <c r="C776" s="124" t="s">
        <v>1060</v>
      </c>
      <c r="D776" s="291"/>
      <c r="E776" s="294">
        <v>3</v>
      </c>
      <c r="F776" s="293"/>
      <c r="G776" s="288"/>
      <c r="H776" s="288"/>
      <c r="I776" s="289"/>
    </row>
    <row r="777" spans="1:9">
      <c r="A777" s="126">
        <f t="shared" si="12"/>
        <v>771</v>
      </c>
      <c r="B777" s="306" t="s">
        <v>1061</v>
      </c>
      <c r="C777" s="124" t="s">
        <v>1062</v>
      </c>
      <c r="D777" s="291"/>
      <c r="E777" s="294">
        <v>3</v>
      </c>
      <c r="F777" s="293"/>
      <c r="G777" s="288"/>
      <c r="H777" s="288"/>
      <c r="I777" s="289"/>
    </row>
    <row r="778" spans="1:9">
      <c r="A778" s="126">
        <f t="shared" si="12"/>
        <v>772</v>
      </c>
      <c r="B778" s="306" t="s">
        <v>1063</v>
      </c>
      <c r="C778" s="124" t="s">
        <v>1064</v>
      </c>
      <c r="D778" s="291"/>
      <c r="E778" s="294">
        <v>3</v>
      </c>
      <c r="F778" s="293"/>
      <c r="G778" s="127"/>
      <c r="H778" s="288"/>
      <c r="I778" s="289"/>
    </row>
    <row r="779" spans="1:9">
      <c r="A779" s="126">
        <f t="shared" si="12"/>
        <v>773</v>
      </c>
      <c r="B779" s="306" t="s">
        <v>1065</v>
      </c>
      <c r="C779" s="124" t="s">
        <v>1066</v>
      </c>
      <c r="D779" s="291"/>
      <c r="E779" s="294">
        <v>3</v>
      </c>
      <c r="F779" s="293"/>
      <c r="G779" s="288"/>
      <c r="H779" s="288"/>
      <c r="I779" s="289"/>
    </row>
    <row r="780" spans="1:9">
      <c r="A780" s="126">
        <f t="shared" si="12"/>
        <v>774</v>
      </c>
      <c r="B780" s="306" t="s">
        <v>1067</v>
      </c>
      <c r="C780" s="124" t="s">
        <v>1068</v>
      </c>
      <c r="D780" s="291"/>
      <c r="E780" s="294">
        <v>3</v>
      </c>
      <c r="F780" s="293"/>
      <c r="G780" s="288"/>
      <c r="H780" s="288"/>
      <c r="I780" s="289"/>
    </row>
    <row r="781" spans="1:9">
      <c r="A781" s="126">
        <f t="shared" si="12"/>
        <v>775</v>
      </c>
      <c r="B781" s="306" t="s">
        <v>1069</v>
      </c>
      <c r="C781" s="124" t="s">
        <v>1070</v>
      </c>
      <c r="D781" s="291"/>
      <c r="E781" s="294">
        <v>3</v>
      </c>
      <c r="F781" s="293"/>
      <c r="G781" s="288"/>
      <c r="H781" s="288"/>
      <c r="I781" s="289"/>
    </row>
    <row r="782" spans="1:9">
      <c r="A782" s="126">
        <f t="shared" si="12"/>
        <v>776</v>
      </c>
      <c r="B782" s="306" t="s">
        <v>1071</v>
      </c>
      <c r="C782" s="124" t="s">
        <v>1072</v>
      </c>
      <c r="D782" s="291"/>
      <c r="E782" s="294">
        <v>3</v>
      </c>
      <c r="F782" s="293"/>
      <c r="G782" s="288"/>
      <c r="H782" s="288"/>
      <c r="I782" s="289"/>
    </row>
    <row r="783" spans="1:9">
      <c r="A783" s="126">
        <f t="shared" si="12"/>
        <v>777</v>
      </c>
      <c r="B783" s="306" t="s">
        <v>1073</v>
      </c>
      <c r="C783" s="124" t="s">
        <v>1074</v>
      </c>
      <c r="D783" s="291"/>
      <c r="E783" s="294">
        <v>3</v>
      </c>
      <c r="F783" s="293"/>
      <c r="G783" s="288"/>
      <c r="H783" s="288"/>
      <c r="I783" s="289"/>
    </row>
    <row r="784" spans="1:9">
      <c r="A784" s="126">
        <f t="shared" si="12"/>
        <v>778</v>
      </c>
      <c r="B784" s="306" t="s">
        <v>1075</v>
      </c>
      <c r="C784" s="124" t="s">
        <v>1076</v>
      </c>
      <c r="D784" s="291"/>
      <c r="E784" s="294">
        <v>3</v>
      </c>
      <c r="F784" s="293"/>
      <c r="G784" s="288"/>
      <c r="H784" s="288"/>
      <c r="I784" s="289"/>
    </row>
    <row r="785" spans="1:9">
      <c r="A785" s="126">
        <f t="shared" si="12"/>
        <v>779</v>
      </c>
      <c r="B785" s="306" t="s">
        <v>1077</v>
      </c>
      <c r="C785" s="124" t="s">
        <v>1078</v>
      </c>
      <c r="D785" s="291"/>
      <c r="E785" s="294">
        <v>3</v>
      </c>
      <c r="F785" s="293"/>
      <c r="G785" s="127"/>
      <c r="H785" s="288"/>
      <c r="I785" s="289"/>
    </row>
    <row r="786" spans="1:9">
      <c r="A786" s="126">
        <f t="shared" si="12"/>
        <v>780</v>
      </c>
      <c r="B786" s="306" t="s">
        <v>1079</v>
      </c>
      <c r="C786" s="124" t="s">
        <v>1080</v>
      </c>
      <c r="D786" s="291"/>
      <c r="E786" s="294">
        <v>3</v>
      </c>
      <c r="F786" s="293"/>
      <c r="G786" s="127"/>
      <c r="H786" s="288"/>
      <c r="I786" s="289"/>
    </row>
    <row r="787" spans="1:9">
      <c r="A787" s="126">
        <f t="shared" si="12"/>
        <v>781</v>
      </c>
      <c r="B787" s="306" t="s">
        <v>1081</v>
      </c>
      <c r="C787" s="124" t="s">
        <v>1082</v>
      </c>
      <c r="D787" s="291"/>
      <c r="E787" s="294">
        <v>3</v>
      </c>
      <c r="F787" s="293"/>
      <c r="G787" s="127"/>
      <c r="H787" s="288"/>
      <c r="I787" s="289"/>
    </row>
    <row r="788" spans="1:9">
      <c r="A788" s="126">
        <f t="shared" si="12"/>
        <v>782</v>
      </c>
      <c r="B788" s="124" t="s">
        <v>1242</v>
      </c>
      <c r="C788" s="124" t="s">
        <v>1243</v>
      </c>
      <c r="D788" s="291"/>
      <c r="E788" s="294">
        <v>3</v>
      </c>
      <c r="F788" s="293"/>
      <c r="G788" s="288"/>
      <c r="H788" s="288"/>
      <c r="I788" s="289"/>
    </row>
    <row r="789" spans="1:9">
      <c r="A789" s="126">
        <f t="shared" si="12"/>
        <v>783</v>
      </c>
      <c r="B789" s="283"/>
      <c r="D789" s="291"/>
      <c r="E789" s="294"/>
      <c r="F789" s="293"/>
      <c r="G789" s="127"/>
      <c r="H789" s="288"/>
      <c r="I789" s="289"/>
    </row>
    <row r="790" spans="1:9" ht="17.25" customHeight="1">
      <c r="A790" s="126">
        <f t="shared" si="12"/>
        <v>784</v>
      </c>
      <c r="B790" s="283"/>
      <c r="C790" s="284" t="s">
        <v>2140</v>
      </c>
      <c r="D790" s="291"/>
      <c r="E790" s="294"/>
      <c r="F790" s="293"/>
      <c r="G790" s="127"/>
      <c r="H790" s="288"/>
      <c r="I790" s="289"/>
    </row>
    <row r="791" spans="1:9" ht="26">
      <c r="A791" s="126">
        <f t="shared" si="12"/>
        <v>785</v>
      </c>
      <c r="B791" s="283"/>
      <c r="C791" s="290" t="s">
        <v>1249</v>
      </c>
      <c r="D791" s="291"/>
      <c r="E791" s="294">
        <v>1</v>
      </c>
      <c r="F791" s="293"/>
      <c r="G791" s="288"/>
      <c r="H791" s="288"/>
      <c r="I791" s="289"/>
    </row>
    <row r="792" spans="1:9" ht="26">
      <c r="A792" s="126">
        <f t="shared" si="12"/>
        <v>786</v>
      </c>
      <c r="B792" s="283"/>
      <c r="C792" s="290" t="s">
        <v>1250</v>
      </c>
      <c r="D792" s="291"/>
      <c r="E792" s="294">
        <v>1</v>
      </c>
      <c r="F792" s="293"/>
      <c r="G792" s="288"/>
      <c r="H792" s="288"/>
      <c r="I792" s="289"/>
    </row>
    <row r="793" spans="1:9">
      <c r="A793" s="126"/>
      <c r="B793" s="283"/>
      <c r="D793" s="291"/>
      <c r="E793" s="294"/>
      <c r="F793" s="293"/>
      <c r="G793" s="288"/>
      <c r="H793" s="288"/>
      <c r="I793" s="289"/>
    </row>
    <row r="794" spans="1:9" ht="26">
      <c r="A794" s="126">
        <f>A792+1</f>
        <v>787</v>
      </c>
      <c r="B794" s="283"/>
      <c r="C794" s="284" t="s">
        <v>2141</v>
      </c>
      <c r="D794" s="291"/>
      <c r="E794" s="294"/>
      <c r="F794" s="293"/>
      <c r="G794" s="288"/>
      <c r="H794" s="288"/>
      <c r="I794" s="289"/>
    </row>
    <row r="795" spans="1:9" ht="15" customHeight="1">
      <c r="A795" s="126">
        <f t="shared" ref="A795:A820" si="13">A794+1</f>
        <v>788</v>
      </c>
      <c r="B795" s="283" t="s">
        <v>1256</v>
      </c>
      <c r="C795" s="290" t="s">
        <v>1257</v>
      </c>
      <c r="D795" s="291"/>
      <c r="E795" s="294">
        <v>1</v>
      </c>
      <c r="F795" s="293"/>
      <c r="G795" s="127"/>
      <c r="H795" s="288"/>
      <c r="I795" s="289"/>
    </row>
    <row r="796" spans="1:9">
      <c r="A796" s="126">
        <f t="shared" si="13"/>
        <v>789</v>
      </c>
      <c r="B796" s="283" t="s">
        <v>1258</v>
      </c>
      <c r="C796" s="290" t="s">
        <v>1259</v>
      </c>
      <c r="D796" s="291"/>
      <c r="E796" s="294">
        <v>1</v>
      </c>
      <c r="F796" s="293"/>
      <c r="G796" s="288" t="s">
        <v>1454</v>
      </c>
      <c r="H796" s="288"/>
      <c r="I796" s="289"/>
    </row>
    <row r="797" spans="1:9">
      <c r="A797" s="126">
        <f t="shared" si="13"/>
        <v>790</v>
      </c>
      <c r="B797" s="283" t="s">
        <v>1260</v>
      </c>
      <c r="C797" s="290" t="s">
        <v>1261</v>
      </c>
      <c r="D797" s="291"/>
      <c r="E797" s="294">
        <v>1</v>
      </c>
      <c r="F797" s="293"/>
      <c r="G797" s="288"/>
      <c r="H797" s="288"/>
      <c r="I797" s="289"/>
    </row>
    <row r="798" spans="1:9">
      <c r="A798" s="126">
        <f t="shared" si="13"/>
        <v>791</v>
      </c>
      <c r="B798" s="283" t="s">
        <v>1067</v>
      </c>
      <c r="C798" s="290" t="s">
        <v>1068</v>
      </c>
      <c r="D798" s="291"/>
      <c r="E798" s="294">
        <v>1</v>
      </c>
      <c r="F798" s="293"/>
      <c r="G798" s="288"/>
      <c r="H798" s="288"/>
      <c r="I798" s="289"/>
    </row>
    <row r="799" spans="1:9" ht="26">
      <c r="A799" s="126">
        <f t="shared" si="13"/>
        <v>792</v>
      </c>
      <c r="B799" s="283" t="s">
        <v>2142</v>
      </c>
      <c r="C799" s="290" t="s">
        <v>1264</v>
      </c>
      <c r="D799" s="291" t="s">
        <v>2143</v>
      </c>
      <c r="E799" s="294">
        <v>1</v>
      </c>
      <c r="F799" s="293"/>
      <c r="G799" s="288"/>
      <c r="H799" s="288"/>
      <c r="I799" s="289"/>
    </row>
    <row r="800" spans="1:9">
      <c r="A800" s="126">
        <f t="shared" si="13"/>
        <v>793</v>
      </c>
      <c r="B800" s="283" t="s">
        <v>1879</v>
      </c>
      <c r="C800" s="290" t="s">
        <v>1266</v>
      </c>
      <c r="D800" s="291"/>
      <c r="E800" s="294">
        <v>1</v>
      </c>
      <c r="F800" s="293"/>
      <c r="G800" s="288"/>
      <c r="H800" s="288"/>
      <c r="I800" s="289"/>
    </row>
    <row r="801" spans="1:9">
      <c r="A801" s="126">
        <f t="shared" si="13"/>
        <v>794</v>
      </c>
      <c r="B801" s="283" t="s">
        <v>1267</v>
      </c>
      <c r="C801" s="290" t="s">
        <v>1268</v>
      </c>
      <c r="D801" s="291" t="s">
        <v>2144</v>
      </c>
      <c r="E801" s="294">
        <v>1</v>
      </c>
      <c r="F801" s="293"/>
      <c r="G801" s="288"/>
      <c r="H801" s="288"/>
      <c r="I801" s="289"/>
    </row>
    <row r="802" spans="1:9">
      <c r="A802" s="126">
        <f t="shared" si="13"/>
        <v>795</v>
      </c>
      <c r="B802" s="283"/>
      <c r="D802" s="291"/>
      <c r="E802" s="294"/>
      <c r="F802" s="293"/>
      <c r="G802" s="288"/>
      <c r="H802" s="288"/>
      <c r="I802" s="289"/>
    </row>
    <row r="803" spans="1:9">
      <c r="A803" s="126">
        <f t="shared" si="13"/>
        <v>796</v>
      </c>
      <c r="B803" s="283"/>
      <c r="C803" s="284" t="s">
        <v>2145</v>
      </c>
      <c r="D803" s="291"/>
      <c r="E803" s="294"/>
      <c r="F803" s="293"/>
      <c r="G803" s="288"/>
      <c r="H803" s="288"/>
      <c r="I803" s="289"/>
    </row>
    <row r="804" spans="1:9">
      <c r="A804" s="126">
        <f t="shared" si="13"/>
        <v>797</v>
      </c>
      <c r="B804" s="283" t="s">
        <v>821</v>
      </c>
      <c r="C804" s="290" t="s">
        <v>2146</v>
      </c>
      <c r="D804" s="291" t="s">
        <v>2147</v>
      </c>
      <c r="E804" s="294">
        <v>1</v>
      </c>
      <c r="F804" s="293"/>
      <c r="G804" s="288" t="s">
        <v>2148</v>
      </c>
      <c r="H804" s="288"/>
      <c r="I804" s="289"/>
    </row>
    <row r="805" spans="1:9">
      <c r="A805" s="126">
        <f t="shared" si="13"/>
        <v>798</v>
      </c>
      <c r="B805" s="283" t="s">
        <v>795</v>
      </c>
      <c r="C805" s="290" t="s">
        <v>2149</v>
      </c>
      <c r="D805" s="291" t="s">
        <v>2150</v>
      </c>
      <c r="E805" s="294">
        <v>1</v>
      </c>
      <c r="F805" s="293"/>
      <c r="G805" s="127"/>
      <c r="H805" s="288"/>
      <c r="I805" s="289"/>
    </row>
    <row r="806" spans="1:9">
      <c r="A806" s="126">
        <f t="shared" si="13"/>
        <v>799</v>
      </c>
      <c r="B806" s="283"/>
      <c r="D806" s="291" t="s">
        <v>2151</v>
      </c>
      <c r="E806" s="294">
        <v>1</v>
      </c>
      <c r="F806" s="293"/>
      <c r="G806" s="127"/>
      <c r="H806" s="288"/>
      <c r="I806" s="289"/>
    </row>
    <row r="807" spans="1:9">
      <c r="A807" s="126">
        <f t="shared" si="13"/>
        <v>800</v>
      </c>
      <c r="B807" s="283"/>
      <c r="D807" s="291" t="s">
        <v>2152</v>
      </c>
      <c r="E807" s="294">
        <v>1</v>
      </c>
      <c r="F807" s="293"/>
      <c r="G807" s="127"/>
      <c r="H807" s="288"/>
      <c r="I807" s="289"/>
    </row>
    <row r="808" spans="1:9">
      <c r="A808" s="126">
        <f t="shared" si="13"/>
        <v>801</v>
      </c>
      <c r="B808" s="283"/>
      <c r="D808" s="291" t="s">
        <v>2153</v>
      </c>
      <c r="E808" s="294">
        <v>1</v>
      </c>
      <c r="F808" s="293"/>
      <c r="G808" s="288"/>
      <c r="H808" s="288"/>
      <c r="I808" s="289"/>
    </row>
    <row r="809" spans="1:9">
      <c r="A809" s="126">
        <f t="shared" si="13"/>
        <v>802</v>
      </c>
      <c r="B809" s="283"/>
      <c r="D809" s="291" t="s">
        <v>2154</v>
      </c>
      <c r="E809" s="294">
        <v>1</v>
      </c>
      <c r="F809" s="293"/>
      <c r="G809" s="288"/>
      <c r="H809" s="288"/>
      <c r="I809" s="289"/>
    </row>
    <row r="810" spans="1:9">
      <c r="A810" s="126">
        <f t="shared" si="13"/>
        <v>803</v>
      </c>
      <c r="B810" s="283"/>
      <c r="D810" s="291" t="s">
        <v>2155</v>
      </c>
      <c r="E810" s="294">
        <v>1</v>
      </c>
      <c r="F810" s="293"/>
      <c r="G810" s="288"/>
      <c r="H810" s="288"/>
      <c r="I810" s="289"/>
    </row>
    <row r="811" spans="1:9" ht="29.25" customHeight="1">
      <c r="A811" s="126">
        <f t="shared" si="13"/>
        <v>804</v>
      </c>
      <c r="B811" s="283" t="s">
        <v>546</v>
      </c>
      <c r="C811" s="290" t="s">
        <v>2156</v>
      </c>
      <c r="D811" s="291" t="s">
        <v>2157</v>
      </c>
      <c r="E811" s="294">
        <v>1</v>
      </c>
      <c r="F811" s="293"/>
      <c r="G811" s="127" t="s">
        <v>2158</v>
      </c>
      <c r="H811" s="288"/>
      <c r="I811" s="289"/>
    </row>
    <row r="812" spans="1:9" ht="26">
      <c r="A812" s="126">
        <f t="shared" si="13"/>
        <v>805</v>
      </c>
      <c r="B812" s="283"/>
      <c r="D812" s="291" t="s">
        <v>2159</v>
      </c>
      <c r="E812" s="294">
        <v>1</v>
      </c>
      <c r="F812" s="293"/>
      <c r="G812" s="288"/>
      <c r="H812" s="288"/>
      <c r="I812" s="289"/>
    </row>
    <row r="813" spans="1:9">
      <c r="A813" s="126">
        <f t="shared" si="13"/>
        <v>806</v>
      </c>
      <c r="B813" s="283"/>
      <c r="D813" s="291" t="s">
        <v>2160</v>
      </c>
      <c r="E813" s="294">
        <v>1</v>
      </c>
      <c r="F813" s="293"/>
      <c r="G813" s="288"/>
      <c r="H813" s="288"/>
      <c r="I813" s="289"/>
    </row>
    <row r="814" spans="1:9" ht="26">
      <c r="A814" s="126">
        <f t="shared" si="13"/>
        <v>807</v>
      </c>
      <c r="B814" s="283" t="s">
        <v>919</v>
      </c>
      <c r="C814" s="290" t="s">
        <v>2161</v>
      </c>
      <c r="D814" s="291" t="s">
        <v>2162</v>
      </c>
      <c r="E814" s="294">
        <v>1</v>
      </c>
      <c r="F814" s="293"/>
      <c r="G814" s="288" t="s">
        <v>2163</v>
      </c>
      <c r="H814" s="288" t="s">
        <v>2164</v>
      </c>
      <c r="I814" s="289"/>
    </row>
    <row r="815" spans="1:9" ht="26">
      <c r="A815" s="126">
        <f t="shared" si="13"/>
        <v>808</v>
      </c>
      <c r="B815" s="283"/>
      <c r="D815" s="291" t="s">
        <v>2165</v>
      </c>
      <c r="E815" s="294">
        <v>1</v>
      </c>
      <c r="F815" s="293"/>
      <c r="G815" s="288"/>
      <c r="H815" s="288"/>
      <c r="I815" s="289"/>
    </row>
    <row r="816" spans="1:9">
      <c r="A816" s="126">
        <f t="shared" si="13"/>
        <v>809</v>
      </c>
      <c r="B816" s="283"/>
      <c r="D816" s="291" t="s">
        <v>2154</v>
      </c>
      <c r="E816" s="294">
        <v>1</v>
      </c>
      <c r="F816" s="293"/>
      <c r="G816" s="288"/>
      <c r="H816" s="288"/>
      <c r="I816" s="289"/>
    </row>
    <row r="817" spans="1:9">
      <c r="A817" s="126">
        <f t="shared" si="13"/>
        <v>810</v>
      </c>
      <c r="B817" s="283" t="s">
        <v>925</v>
      </c>
      <c r="C817" s="290" t="s">
        <v>2166</v>
      </c>
      <c r="D817" s="291" t="s">
        <v>2167</v>
      </c>
      <c r="E817" s="294">
        <v>1</v>
      </c>
      <c r="F817" s="293"/>
      <c r="G817" s="288" t="s">
        <v>2168</v>
      </c>
      <c r="H817" s="288" t="s">
        <v>2164</v>
      </c>
      <c r="I817" s="289"/>
    </row>
    <row r="818" spans="1:9" ht="26">
      <c r="A818" s="126">
        <f t="shared" si="13"/>
        <v>811</v>
      </c>
      <c r="B818" s="283" t="s">
        <v>989</v>
      </c>
      <c r="C818" s="290" t="s">
        <v>2169</v>
      </c>
      <c r="D818" s="291" t="s">
        <v>2170</v>
      </c>
      <c r="E818" s="294">
        <v>1</v>
      </c>
      <c r="F818" s="293"/>
      <c r="G818" s="127" t="s">
        <v>2171</v>
      </c>
      <c r="H818" s="288" t="s">
        <v>1738</v>
      </c>
      <c r="I818" s="289"/>
    </row>
    <row r="819" spans="1:9" ht="16.899999999999999" customHeight="1">
      <c r="A819" s="126">
        <f t="shared" si="13"/>
        <v>812</v>
      </c>
      <c r="B819" s="283"/>
      <c r="D819" s="291" t="s">
        <v>2172</v>
      </c>
      <c r="E819" s="294">
        <v>1</v>
      </c>
      <c r="F819" s="293"/>
      <c r="G819" s="127" t="s">
        <v>1483</v>
      </c>
      <c r="H819" s="288" t="s">
        <v>1738</v>
      </c>
      <c r="I819" s="289"/>
    </row>
    <row r="820" spans="1:9">
      <c r="A820" s="126">
        <f t="shared" si="13"/>
        <v>813</v>
      </c>
      <c r="B820" s="283"/>
      <c r="D820" s="291" t="s">
        <v>2160</v>
      </c>
      <c r="E820" s="294">
        <v>1</v>
      </c>
      <c r="F820" s="293"/>
      <c r="G820" s="127"/>
      <c r="H820" s="288"/>
      <c r="I820" s="289"/>
    </row>
    <row r="821" spans="1:9">
      <c r="A821" s="89"/>
      <c r="B821" s="129"/>
      <c r="C821" s="267"/>
      <c r="D821" s="268"/>
      <c r="E821" s="269"/>
      <c r="F821" s="269"/>
      <c r="G821" s="288"/>
      <c r="H821" s="288"/>
      <c r="I821" s="310"/>
    </row>
    <row r="822" spans="1:9">
      <c r="A822" s="89"/>
      <c r="B822" s="129"/>
      <c r="C822" s="311" t="s">
        <v>2173</v>
      </c>
      <c r="D822" s="312"/>
      <c r="E822" s="269"/>
      <c r="F822" s="269"/>
      <c r="G822" s="269"/>
      <c r="H822" s="129"/>
      <c r="I822" s="269"/>
    </row>
    <row r="823" spans="1:9">
      <c r="A823" s="89"/>
      <c r="B823" s="129"/>
      <c r="C823" s="311" t="s">
        <v>2174</v>
      </c>
      <c r="D823" s="268"/>
      <c r="E823" s="269"/>
      <c r="F823" s="269"/>
      <c r="G823" s="269"/>
      <c r="H823" s="129"/>
      <c r="I823" s="269"/>
    </row>
    <row r="824" spans="1:9">
      <c r="A824" s="89"/>
      <c r="B824" s="129"/>
      <c r="C824" s="311"/>
      <c r="D824" s="268"/>
      <c r="E824" s="269"/>
      <c r="F824" s="269"/>
      <c r="G824" s="269"/>
      <c r="H824" s="129"/>
      <c r="I824" s="269"/>
    </row>
    <row r="825" spans="1:9">
      <c r="A825" s="89"/>
      <c r="B825" s="129"/>
      <c r="C825" s="129" t="s">
        <v>2175</v>
      </c>
      <c r="D825" s="268"/>
      <c r="E825" s="279"/>
      <c r="F825" s="279"/>
      <c r="G825" s="269"/>
      <c r="H825" s="129"/>
      <c r="I825" s="269"/>
    </row>
    <row r="826" spans="1:9">
      <c r="A826" s="89"/>
      <c r="B826" s="129"/>
      <c r="C826" s="129" t="s">
        <v>2176</v>
      </c>
      <c r="D826" s="268"/>
      <c r="E826" s="269"/>
      <c r="F826" s="269"/>
      <c r="G826" s="269"/>
      <c r="H826" s="129"/>
      <c r="I826" s="269"/>
    </row>
    <row r="827" spans="1:9">
      <c r="A827" s="89"/>
      <c r="B827" s="129"/>
      <c r="C827" s="129" t="s">
        <v>2177</v>
      </c>
      <c r="D827" s="268"/>
      <c r="E827" s="269"/>
      <c r="F827" s="269"/>
      <c r="G827" s="269"/>
      <c r="H827" s="129"/>
      <c r="I827" s="269"/>
    </row>
    <row r="828" spans="1:9">
      <c r="A828" s="89"/>
      <c r="B828" s="129"/>
      <c r="C828" s="129" t="s">
        <v>2178</v>
      </c>
      <c r="D828" s="268"/>
      <c r="E828" s="269"/>
      <c r="F828" s="269"/>
      <c r="G828" s="269"/>
      <c r="H828" s="129"/>
      <c r="I828" s="269"/>
    </row>
    <row r="829" spans="1:9">
      <c r="A829" s="89"/>
      <c r="B829" s="129"/>
      <c r="C829" s="129" t="s">
        <v>2179</v>
      </c>
      <c r="D829" s="268"/>
      <c r="E829" s="269"/>
      <c r="F829" s="269"/>
      <c r="G829" s="269"/>
      <c r="H829" s="129"/>
      <c r="I829" s="269"/>
    </row>
    <row r="830" spans="1:9">
      <c r="A830" s="89"/>
      <c r="B830" s="129"/>
      <c r="C830" s="129" t="s">
        <v>2180</v>
      </c>
      <c r="D830" s="268"/>
      <c r="E830" s="269"/>
      <c r="F830" s="269"/>
      <c r="G830" s="269"/>
      <c r="H830" s="129"/>
      <c r="I830" s="269"/>
    </row>
    <row r="831" spans="1:9">
      <c r="A831" s="313"/>
      <c r="B831" s="129"/>
      <c r="C831" s="129" t="s">
        <v>2181</v>
      </c>
      <c r="D831" s="268"/>
      <c r="E831" s="269"/>
      <c r="F831" s="269"/>
      <c r="G831" s="269"/>
      <c r="H831" s="129"/>
      <c r="I831" s="269"/>
    </row>
    <row r="832" spans="1:9" ht="13.5" thickBot="1">
      <c r="A832" s="314"/>
      <c r="B832" s="90"/>
      <c r="C832" s="660" t="s">
        <v>2182</v>
      </c>
      <c r="D832" s="660"/>
      <c r="E832" s="660"/>
      <c r="F832" s="660"/>
      <c r="G832" s="660"/>
      <c r="H832" s="660"/>
      <c r="I832" s="660"/>
    </row>
  </sheetData>
  <mergeCells count="2">
    <mergeCell ref="E5:I5"/>
    <mergeCell ref="C832:I832"/>
  </mergeCells>
  <hyperlinks>
    <hyperlink ref="D1" location="'Cover Sheets'!A18" display="(Back to Worksheet Links)" xr:uid="{DF442512-BCC2-4E35-8BF7-A5CA71F5FF62}"/>
  </hyperlinks>
  <pageMargins left="0.7" right="0.7" top="0.75" bottom="0.75" header="0.3" footer="0.3"/>
  <pageSetup scale="23" fitToHeight="4"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09CA9-9A73-45B9-9C49-7DD5B40623AE}">
  <sheetPr>
    <pageSetUpPr fitToPage="1"/>
  </sheetPr>
  <dimension ref="A1:P178"/>
  <sheetViews>
    <sheetView view="pageBreakPreview" zoomScale="90" zoomScaleNormal="100" zoomScaleSheetLayoutView="90" workbookViewId="0"/>
  </sheetViews>
  <sheetFormatPr defaultColWidth="9.1796875" defaultRowHeight="13"/>
  <cols>
    <col min="1" max="4" width="9.54296875" style="34" customWidth="1"/>
    <col min="5" max="6" width="33.54296875" style="34" customWidth="1"/>
    <col min="7" max="7" width="16.54296875" style="236" customWidth="1"/>
    <col min="8" max="8" width="12.54296875" style="34" customWidth="1"/>
    <col min="9" max="9" width="12.54296875" style="407" customWidth="1"/>
    <col min="10" max="10" width="12.54296875" style="34" customWidth="1"/>
    <col min="11" max="11" width="12.54296875" style="408" customWidth="1"/>
    <col min="12" max="12" width="13.54296875" style="34" customWidth="1"/>
    <col min="13" max="13" width="11.54296875" style="34" bestFit="1" customWidth="1"/>
    <col min="14" max="14" width="14.54296875" style="34" customWidth="1"/>
    <col min="15" max="16384" width="9.1796875" style="34"/>
  </cols>
  <sheetData>
    <row r="1" spans="1:12" ht="14.5">
      <c r="A1" s="552" t="s">
        <v>5</v>
      </c>
      <c r="B1" s="389"/>
      <c r="C1" s="389"/>
      <c r="D1" s="189"/>
      <c r="F1" s="93" t="s">
        <v>52</v>
      </c>
      <c r="G1" s="142"/>
      <c r="H1" s="189"/>
      <c r="I1" s="390"/>
      <c r="J1" s="189"/>
      <c r="K1" s="391"/>
      <c r="L1" s="189"/>
    </row>
    <row r="2" spans="1:12">
      <c r="A2" s="552" t="s">
        <v>2183</v>
      </c>
      <c r="B2" s="389"/>
      <c r="C2" s="389"/>
      <c r="D2" s="189"/>
      <c r="E2" s="189"/>
      <c r="F2" s="189"/>
      <c r="G2" s="142"/>
      <c r="H2" s="189"/>
      <c r="I2" s="390"/>
      <c r="J2" s="189"/>
      <c r="K2" s="391"/>
      <c r="L2" s="189"/>
    </row>
    <row r="3" spans="1:12">
      <c r="A3" s="189" t="s">
        <v>22</v>
      </c>
      <c r="B3" s="189"/>
      <c r="C3" s="189"/>
      <c r="D3" s="189"/>
      <c r="E3" s="392"/>
      <c r="F3" s="392"/>
      <c r="G3" s="392"/>
      <c r="H3" s="392"/>
      <c r="I3" s="392"/>
      <c r="J3" s="392"/>
      <c r="K3" s="393"/>
      <c r="L3" s="189"/>
    </row>
    <row r="4" spans="1:12">
      <c r="A4" s="245" t="s">
        <v>65</v>
      </c>
      <c r="B4" s="419">
        <v>-1</v>
      </c>
      <c r="C4" s="419">
        <v>-2</v>
      </c>
      <c r="D4" s="419">
        <v>-3</v>
      </c>
      <c r="E4" s="419">
        <v>-4</v>
      </c>
      <c r="F4" s="419">
        <v>-5</v>
      </c>
      <c r="G4" s="419">
        <v>-6</v>
      </c>
      <c r="H4" s="419">
        <v>-7</v>
      </c>
      <c r="I4" s="419">
        <v>-8</v>
      </c>
      <c r="J4" s="419">
        <v>-9</v>
      </c>
      <c r="K4" s="419">
        <v>-10</v>
      </c>
      <c r="L4" s="419">
        <v>-11</v>
      </c>
    </row>
    <row r="5" spans="1:12">
      <c r="A5" s="189"/>
      <c r="B5" s="189"/>
      <c r="C5" s="189"/>
      <c r="D5" s="189"/>
      <c r="E5" s="189"/>
      <c r="F5" s="189"/>
      <c r="G5" s="142"/>
      <c r="H5" s="189"/>
      <c r="I5" s="390"/>
      <c r="J5" s="189"/>
      <c r="K5" s="391"/>
      <c r="L5" s="189"/>
    </row>
    <row r="6" spans="1:12" ht="26">
      <c r="A6" s="189"/>
      <c r="B6" s="456" t="s">
        <v>1283</v>
      </c>
      <c r="C6" s="456" t="s">
        <v>55</v>
      </c>
      <c r="D6" s="456" t="s">
        <v>239</v>
      </c>
      <c r="E6" s="246" t="s">
        <v>2184</v>
      </c>
      <c r="F6" s="247"/>
      <c r="G6" s="248" t="s">
        <v>2185</v>
      </c>
      <c r="H6" s="439"/>
      <c r="I6" s="390"/>
      <c r="J6" s="189"/>
      <c r="K6" s="391"/>
      <c r="L6" s="189"/>
    </row>
    <row r="7" spans="1:12">
      <c r="A7" s="410">
        <v>1</v>
      </c>
      <c r="B7" s="410" t="s">
        <v>27</v>
      </c>
      <c r="C7" s="410" t="s">
        <v>74</v>
      </c>
      <c r="D7" s="410" t="s">
        <v>1248</v>
      </c>
      <c r="E7" s="396" t="s">
        <v>1249</v>
      </c>
      <c r="F7" s="392"/>
      <c r="G7" s="423">
        <f>'WS4-TransFac'!F509</f>
        <v>19890751.77</v>
      </c>
      <c r="H7" s="450" t="s">
        <v>109</v>
      </c>
      <c r="I7" s="390"/>
      <c r="J7" s="189"/>
      <c r="K7" s="391"/>
      <c r="L7" s="189"/>
    </row>
    <row r="8" spans="1:12">
      <c r="A8" s="410">
        <f>A7+1</f>
        <v>2</v>
      </c>
      <c r="B8" s="410" t="s">
        <v>27</v>
      </c>
      <c r="C8" s="410" t="s">
        <v>74</v>
      </c>
      <c r="D8" s="410" t="s">
        <v>1248</v>
      </c>
      <c r="E8" s="396" t="s">
        <v>1250</v>
      </c>
      <c r="F8" s="392"/>
      <c r="G8" s="423">
        <f>'WS4-TransFac'!F510</f>
        <v>3832627.63</v>
      </c>
      <c r="H8" s="450" t="s">
        <v>109</v>
      </c>
      <c r="I8" s="390"/>
      <c r="J8" s="189"/>
      <c r="K8" s="391"/>
      <c r="L8" s="189"/>
    </row>
    <row r="9" spans="1:12" ht="13.5" thickBot="1">
      <c r="A9" s="394">
        <f>A8+1</f>
        <v>3</v>
      </c>
      <c r="B9" s="410"/>
      <c r="C9" s="410"/>
      <c r="D9" s="418"/>
      <c r="E9" s="255" t="s">
        <v>84</v>
      </c>
      <c r="F9" s="239"/>
      <c r="G9" s="143">
        <f>SUM(G7:G8)</f>
        <v>23723379.399999999</v>
      </c>
      <c r="H9" s="450"/>
      <c r="I9" s="392"/>
      <c r="J9" s="392"/>
      <c r="K9" s="234"/>
      <c r="L9" s="189"/>
    </row>
    <row r="10" spans="1:12" ht="14" thickTop="1" thickBot="1">
      <c r="A10" s="410">
        <f>A9+1</f>
        <v>4</v>
      </c>
      <c r="B10" s="410"/>
      <c r="C10" s="410"/>
      <c r="D10" s="418"/>
      <c r="E10" s="438"/>
      <c r="F10" s="37"/>
      <c r="G10" s="37"/>
      <c r="H10" s="123"/>
      <c r="I10" s="392"/>
      <c r="J10" s="392"/>
      <c r="K10" s="234"/>
      <c r="L10" s="189"/>
    </row>
    <row r="11" spans="1:12" ht="13.5" customHeight="1" thickTop="1" thickBot="1">
      <c r="A11" s="394">
        <f>A10+1</f>
        <v>5</v>
      </c>
      <c r="B11" s="410"/>
      <c r="C11" s="410"/>
      <c r="D11" s="418"/>
      <c r="E11" s="438"/>
      <c r="F11" s="37"/>
      <c r="G11" s="37"/>
      <c r="H11" s="123"/>
      <c r="I11" s="392"/>
      <c r="J11" s="392"/>
      <c r="K11" s="234"/>
      <c r="L11" s="539" t="s">
        <v>2421</v>
      </c>
    </row>
    <row r="12" spans="1:12" ht="39.5" thickTop="1">
      <c r="A12" s="410">
        <f t="shared" ref="A12:A24" si="0">A11+1</f>
        <v>6</v>
      </c>
      <c r="B12" s="425"/>
      <c r="C12" s="425"/>
      <c r="D12" s="41"/>
      <c r="E12" s="553" t="s">
        <v>2186</v>
      </c>
      <c r="F12" s="554" t="s">
        <v>2187</v>
      </c>
      <c r="G12" s="248" t="s">
        <v>2188</v>
      </c>
      <c r="H12" s="419" t="s">
        <v>2189</v>
      </c>
      <c r="I12" s="249" t="s">
        <v>2190</v>
      </c>
      <c r="J12" s="249" t="s">
        <v>2191</v>
      </c>
      <c r="K12" s="249" t="s">
        <v>2192</v>
      </c>
      <c r="L12" s="424" t="s">
        <v>2347</v>
      </c>
    </row>
    <row r="13" spans="1:12">
      <c r="A13" s="394">
        <f t="shared" si="0"/>
        <v>7</v>
      </c>
      <c r="B13" s="394"/>
      <c r="C13" s="394"/>
      <c r="D13" s="395"/>
      <c r="E13" s="396" t="s">
        <v>2193</v>
      </c>
      <c r="F13" s="586">
        <v>0.3</v>
      </c>
      <c r="G13" s="97">
        <f>I175</f>
        <v>834748.35000000009</v>
      </c>
      <c r="H13" s="417">
        <f>G13/G$9</f>
        <v>3.5186738614482564E-2</v>
      </c>
      <c r="I13" s="435">
        <f>AVERAGE(G37,G38,G39,G40,G43,G44,G47,G48,G136,G137,G138,G139)</f>
        <v>34.75</v>
      </c>
      <c r="J13" s="433">
        <f>1/I13</f>
        <v>2.8776978417266189E-2</v>
      </c>
      <c r="K13" s="433">
        <f>1/(I13*(1-F13))</f>
        <v>4.1109969167523124E-2</v>
      </c>
      <c r="L13" s="432">
        <f>(K13-J13)*G13</f>
        <v>10294.943679342239</v>
      </c>
    </row>
    <row r="14" spans="1:12">
      <c r="A14" s="410">
        <f t="shared" si="0"/>
        <v>8</v>
      </c>
      <c r="B14" s="394"/>
      <c r="C14" s="394"/>
      <c r="D14" s="395"/>
      <c r="E14" s="34" t="s">
        <v>2194</v>
      </c>
      <c r="F14" s="586">
        <v>0.3</v>
      </c>
      <c r="G14" s="97">
        <f>J175</f>
        <v>224032.51</v>
      </c>
      <c r="H14" s="397">
        <f t="shared" ref="H14:H16" si="1">G14/G$9</f>
        <v>9.443532737161385E-3</v>
      </c>
      <c r="I14" s="435">
        <f>AVERAGE(G97,G98,G99,G100,G101,G105,G106,G107,G108)</f>
        <v>39.333333333333336</v>
      </c>
      <c r="J14" s="433">
        <f>1/I14</f>
        <v>2.542372881355932E-2</v>
      </c>
      <c r="K14" s="433">
        <f>1/(I14*(1-F14))</f>
        <v>3.6319612590799029E-2</v>
      </c>
      <c r="L14" s="391">
        <f>(K14-J14)*G14</f>
        <v>2441.0321912832928</v>
      </c>
    </row>
    <row r="15" spans="1:12">
      <c r="A15" s="394">
        <f t="shared" si="0"/>
        <v>9</v>
      </c>
      <c r="B15" s="394"/>
      <c r="C15" s="394"/>
      <c r="D15" s="395"/>
      <c r="E15" s="398" t="s">
        <v>2195</v>
      </c>
      <c r="F15" s="587">
        <v>0.3</v>
      </c>
      <c r="G15" s="446">
        <f>K175</f>
        <v>6724616.2650622409</v>
      </c>
      <c r="H15" s="399">
        <f t="shared" si="1"/>
        <v>0.28345945793297228</v>
      </c>
      <c r="I15" s="436">
        <f>AVERAGE(G49,G50,G55,G56,G57,G58,G74,G75,G76,G77,G78,G79,G80,G81,G82,G83,G84,G85,G102,G103,G104,G109,G110,G111,G112,G117,G118,G119,G124,G125,G126,G127,G155,G164,G170)</f>
        <v>27.8</v>
      </c>
      <c r="J15" s="434">
        <f>1/I15</f>
        <v>3.5971223021582732E-2</v>
      </c>
      <c r="K15" s="434">
        <f>1/(I15*(1-F15))</f>
        <v>5.1387461459403906E-2</v>
      </c>
      <c r="L15" s="391">
        <f>(K15-J15)*G15</f>
        <v>103668.28774504998</v>
      </c>
    </row>
    <row r="16" spans="1:12" ht="13.5" thickBot="1">
      <c r="A16" s="410">
        <f t="shared" si="0"/>
        <v>10</v>
      </c>
      <c r="B16" s="394"/>
      <c r="C16" s="394"/>
      <c r="D16" s="395"/>
      <c r="E16" s="400" t="s">
        <v>2196</v>
      </c>
      <c r="F16" s="401"/>
      <c r="G16" s="402">
        <f>SUM(G13:G15)</f>
        <v>7783397.1250622412</v>
      </c>
      <c r="H16" s="403">
        <f t="shared" si="1"/>
        <v>0.32808972928461622</v>
      </c>
      <c r="I16" s="437"/>
      <c r="J16" s="257"/>
      <c r="K16" s="636"/>
      <c r="L16" s="638">
        <f>SUM(L13:L15)</f>
        <v>116404.26361567552</v>
      </c>
    </row>
    <row r="17" spans="1:14" ht="15.5" customHeight="1" thickTop="1" thickBot="1">
      <c r="A17" s="394">
        <f t="shared" si="0"/>
        <v>11</v>
      </c>
      <c r="B17" s="394"/>
      <c r="C17" s="394"/>
      <c r="D17" s="395"/>
      <c r="E17" s="396" t="s">
        <v>2346</v>
      </c>
      <c r="F17" s="392"/>
      <c r="G17" s="423"/>
      <c r="H17" s="417"/>
      <c r="I17" s="663" t="s">
        <v>2422</v>
      </c>
      <c r="J17" s="664"/>
      <c r="K17" s="637">
        <v>0.75</v>
      </c>
      <c r="L17" s="391">
        <f>'WS2-RevCredits'!D109</f>
        <v>0</v>
      </c>
    </row>
    <row r="18" spans="1:14" ht="13.5" thickBot="1">
      <c r="A18" s="394">
        <f t="shared" si="0"/>
        <v>12</v>
      </c>
      <c r="B18" s="394"/>
      <c r="C18" s="394"/>
      <c r="D18" s="395"/>
      <c r="E18" s="396" t="s">
        <v>2361</v>
      </c>
      <c r="F18" s="392"/>
      <c r="G18" s="423"/>
      <c r="H18" s="417"/>
      <c r="I18" s="392"/>
      <c r="J18" s="421"/>
      <c r="K18" s="421"/>
      <c r="L18" s="588">
        <v>0</v>
      </c>
    </row>
    <row r="19" spans="1:14" ht="13.5" thickBot="1">
      <c r="A19" s="394">
        <f t="shared" si="0"/>
        <v>13</v>
      </c>
      <c r="B19" s="394"/>
      <c r="C19" s="394"/>
      <c r="D19" s="395"/>
      <c r="E19" s="641" t="s">
        <v>2348</v>
      </c>
      <c r="F19" s="401"/>
      <c r="G19" s="402"/>
      <c r="H19" s="403"/>
      <c r="I19" s="401"/>
      <c r="J19" s="422"/>
      <c r="K19" s="422"/>
      <c r="L19" s="639">
        <f>L18+L17+L16*K17</f>
        <v>87303.197711756642</v>
      </c>
    </row>
    <row r="20" spans="1:14" ht="13.5" thickTop="1">
      <c r="A20" s="394">
        <f t="shared" si="0"/>
        <v>14</v>
      </c>
      <c r="B20" s="394"/>
      <c r="C20" s="394"/>
      <c r="D20" s="395"/>
      <c r="E20" s="396"/>
      <c r="F20" s="392"/>
      <c r="G20" s="97"/>
      <c r="H20" s="397"/>
      <c r="I20" s="392"/>
      <c r="J20" s="392"/>
      <c r="K20" s="234"/>
      <c r="L20" s="189"/>
    </row>
    <row r="21" spans="1:14">
      <c r="A21" s="410">
        <f t="shared" si="0"/>
        <v>15</v>
      </c>
      <c r="B21" s="159"/>
      <c r="C21" s="159"/>
      <c r="D21" s="256"/>
      <c r="E21" s="396" t="s">
        <v>2197</v>
      </c>
      <c r="F21" s="392" t="s">
        <v>78</v>
      </c>
      <c r="G21" s="440">
        <f>G9-G16</f>
        <v>15939982.274937756</v>
      </c>
      <c r="H21" s="399">
        <f t="shared" ref="H21" si="2">G21/G$9</f>
        <v>0.67191027071538367</v>
      </c>
      <c r="I21" s="392"/>
      <c r="J21" s="392"/>
      <c r="K21" s="234"/>
      <c r="L21" s="189"/>
      <c r="N21" s="420"/>
    </row>
    <row r="22" spans="1:14" ht="13.5" thickBot="1">
      <c r="A22" s="394">
        <f t="shared" si="0"/>
        <v>16</v>
      </c>
      <c r="B22" s="159"/>
      <c r="C22" s="159"/>
      <c r="D22" s="256"/>
      <c r="E22" s="396"/>
      <c r="F22" s="392"/>
      <c r="G22" s="402">
        <f>G16+G21</f>
        <v>23723379.399999999</v>
      </c>
      <c r="H22" s="403">
        <f>H16+H21</f>
        <v>0.99999999999999989</v>
      </c>
      <c r="I22" s="392"/>
      <c r="J22" s="392"/>
      <c r="K22" s="234"/>
      <c r="L22" s="189"/>
      <c r="N22" s="420"/>
    </row>
    <row r="23" spans="1:14" ht="13.5" thickTop="1">
      <c r="A23" s="410">
        <f t="shared" si="0"/>
        <v>17</v>
      </c>
      <c r="B23" s="159"/>
      <c r="C23" s="159"/>
      <c r="D23" s="256"/>
      <c r="E23" s="396"/>
      <c r="F23" s="392"/>
      <c r="G23" s="97"/>
      <c r="H23" s="392"/>
      <c r="I23" s="392"/>
      <c r="J23" s="392"/>
      <c r="K23" s="234"/>
      <c r="L23" s="189"/>
    </row>
    <row r="24" spans="1:14" ht="13.5" customHeight="1">
      <c r="A24" s="394">
        <f t="shared" si="0"/>
        <v>18</v>
      </c>
      <c r="B24" s="159"/>
      <c r="C24" s="159"/>
      <c r="D24" s="256"/>
      <c r="E24" s="661" t="s">
        <v>2198</v>
      </c>
      <c r="F24" s="661"/>
      <c r="G24" s="661"/>
      <c r="H24" s="661"/>
      <c r="I24" s="661"/>
      <c r="J24" s="661"/>
      <c r="K24" s="661"/>
      <c r="L24" s="661"/>
    </row>
    <row r="25" spans="1:14" ht="14.5" customHeight="1">
      <c r="A25" s="410">
        <f>A24+1</f>
        <v>19</v>
      </c>
      <c r="B25" s="159"/>
      <c r="C25" s="159"/>
      <c r="D25" s="256"/>
      <c r="E25" s="662" t="s">
        <v>2199</v>
      </c>
      <c r="F25" s="662"/>
      <c r="G25" s="662"/>
      <c r="H25" s="662"/>
      <c r="I25" s="662"/>
      <c r="J25" s="662"/>
      <c r="K25" s="662"/>
      <c r="L25" s="662"/>
    </row>
    <row r="26" spans="1:14" ht="14.5" customHeight="1">
      <c r="A26" s="394">
        <f>A25+1</f>
        <v>20</v>
      </c>
      <c r="B26" s="159"/>
      <c r="C26" s="159"/>
      <c r="D26" s="256"/>
      <c r="E26" s="662"/>
      <c r="F26" s="662"/>
      <c r="G26" s="662"/>
      <c r="H26" s="662"/>
      <c r="I26" s="662"/>
      <c r="J26" s="662"/>
      <c r="K26" s="662"/>
      <c r="L26" s="662"/>
    </row>
    <row r="27" spans="1:14" ht="13.5" customHeight="1">
      <c r="A27" s="394">
        <f t="shared" ref="A27:A90" si="3">A26+1</f>
        <v>21</v>
      </c>
      <c r="B27" s="245"/>
      <c r="C27" s="245"/>
      <c r="D27" s="456"/>
      <c r="E27" s="640" t="s">
        <v>2423</v>
      </c>
      <c r="F27" s="247"/>
      <c r="G27" s="416"/>
      <c r="H27" s="248"/>
      <c r="I27" s="249"/>
      <c r="J27" s="249"/>
      <c r="K27" s="249"/>
      <c r="L27" s="248"/>
    </row>
    <row r="28" spans="1:14">
      <c r="A28" s="394">
        <f t="shared" si="3"/>
        <v>22</v>
      </c>
      <c r="B28" s="394"/>
      <c r="C28" s="394"/>
      <c r="D28" s="395"/>
      <c r="E28" s="396"/>
      <c r="F28" s="392"/>
      <c r="G28" s="392"/>
      <c r="H28" s="423"/>
      <c r="I28" s="392"/>
      <c r="J28" s="392"/>
      <c r="K28" s="392"/>
      <c r="L28" s="234"/>
    </row>
    <row r="29" spans="1:14">
      <c r="A29" s="394">
        <f t="shared" si="3"/>
        <v>23</v>
      </c>
      <c r="B29" s="394"/>
      <c r="C29" s="394"/>
      <c r="D29" s="395"/>
      <c r="E29" s="396"/>
      <c r="F29" s="392"/>
      <c r="G29" s="392"/>
      <c r="H29" s="423"/>
      <c r="I29" s="392"/>
      <c r="J29" s="392"/>
      <c r="K29" s="392"/>
      <c r="L29" s="234"/>
    </row>
    <row r="30" spans="1:14">
      <c r="A30" s="394">
        <f t="shared" si="3"/>
        <v>24</v>
      </c>
      <c r="B30" s="394"/>
      <c r="C30" s="394"/>
      <c r="D30" s="188"/>
      <c r="E30" s="438"/>
      <c r="F30" s="37"/>
      <c r="G30" s="37"/>
      <c r="H30" s="123"/>
      <c r="I30" s="39"/>
      <c r="J30" s="444"/>
      <c r="K30" s="444"/>
      <c r="L30" s="445"/>
    </row>
    <row r="31" spans="1:14" ht="14.5" customHeight="1">
      <c r="A31" s="394">
        <f t="shared" si="3"/>
        <v>25</v>
      </c>
      <c r="B31" s="159"/>
      <c r="C31" s="159"/>
      <c r="D31" s="256"/>
      <c r="E31" s="426"/>
      <c r="F31" s="112"/>
      <c r="G31" s="97"/>
      <c r="H31" s="392"/>
      <c r="I31" s="392"/>
      <c r="J31" s="392"/>
      <c r="K31" s="234"/>
      <c r="L31" s="189"/>
    </row>
    <row r="32" spans="1:14" ht="38.15" customHeight="1">
      <c r="A32" s="394">
        <f t="shared" si="3"/>
        <v>26</v>
      </c>
      <c r="B32" s="394"/>
      <c r="C32" s="394"/>
      <c r="D32" s="250" t="s">
        <v>239</v>
      </c>
      <c r="E32" s="553" t="s">
        <v>2356</v>
      </c>
      <c r="F32" s="555" t="s">
        <v>2200</v>
      </c>
      <c r="G32" s="556" t="s">
        <v>2201</v>
      </c>
      <c r="H32" s="557" t="s">
        <v>1293</v>
      </c>
      <c r="I32" s="427" t="s">
        <v>2337</v>
      </c>
      <c r="J32" s="428" t="s">
        <v>2338</v>
      </c>
      <c r="K32" s="429" t="s">
        <v>2339</v>
      </c>
      <c r="L32" s="558" t="s">
        <v>2357</v>
      </c>
    </row>
    <row r="33" spans="1:12">
      <c r="A33" s="394">
        <f t="shared" si="3"/>
        <v>27</v>
      </c>
      <c r="B33" s="394"/>
      <c r="C33" s="394"/>
      <c r="D33" s="244" t="s">
        <v>1248</v>
      </c>
      <c r="E33" s="559" t="s">
        <v>2202</v>
      </c>
      <c r="F33" s="189" t="s">
        <v>2203</v>
      </c>
      <c r="G33" s="560">
        <v>25</v>
      </c>
      <c r="H33" s="561">
        <v>202756.93</v>
      </c>
      <c r="I33" s="189"/>
      <c r="J33" s="189"/>
      <c r="K33" s="412"/>
      <c r="L33" s="562">
        <f t="shared" ref="L33:L96" si="4">IF(H33&lt;0,H33,0)</f>
        <v>0</v>
      </c>
    </row>
    <row r="34" spans="1:12">
      <c r="A34" s="394">
        <f t="shared" si="3"/>
        <v>28</v>
      </c>
      <c r="B34" s="394"/>
      <c r="C34" s="394"/>
      <c r="D34" s="244" t="s">
        <v>1248</v>
      </c>
      <c r="E34" s="563" t="s">
        <v>1299</v>
      </c>
      <c r="F34" s="189" t="s">
        <v>1299</v>
      </c>
      <c r="G34" s="560">
        <v>38</v>
      </c>
      <c r="H34" s="561">
        <v>5868.55</v>
      </c>
      <c r="I34" s="189"/>
      <c r="J34" s="189"/>
      <c r="K34" s="412"/>
      <c r="L34" s="562">
        <f t="shared" si="4"/>
        <v>0</v>
      </c>
    </row>
    <row r="35" spans="1:12">
      <c r="A35" s="394">
        <f t="shared" si="3"/>
        <v>29</v>
      </c>
      <c r="B35" s="394"/>
      <c r="C35" s="394"/>
      <c r="D35" s="244" t="s">
        <v>1248</v>
      </c>
      <c r="E35" s="409" t="s">
        <v>1319</v>
      </c>
      <c r="F35" s="189" t="s">
        <v>1319</v>
      </c>
      <c r="G35" s="560">
        <v>10</v>
      </c>
      <c r="H35" s="561">
        <v>20209.580000000002</v>
      </c>
      <c r="I35" s="189"/>
      <c r="J35" s="189"/>
      <c r="K35" s="189"/>
      <c r="L35" s="562">
        <f t="shared" si="4"/>
        <v>0</v>
      </c>
    </row>
    <row r="36" spans="1:12">
      <c r="A36" s="394">
        <f t="shared" si="3"/>
        <v>30</v>
      </c>
      <c r="B36" s="394"/>
      <c r="C36" s="394"/>
      <c r="D36" s="244" t="s">
        <v>1248</v>
      </c>
      <c r="E36" s="409" t="s">
        <v>1299</v>
      </c>
      <c r="F36" s="189" t="s">
        <v>1303</v>
      </c>
      <c r="G36" s="560">
        <v>38</v>
      </c>
      <c r="H36" s="561">
        <v>1775.38</v>
      </c>
      <c r="I36" s="189"/>
      <c r="J36" s="189"/>
      <c r="K36" s="189"/>
      <c r="L36" s="562">
        <f t="shared" si="4"/>
        <v>0</v>
      </c>
    </row>
    <row r="37" spans="1:12">
      <c r="A37" s="394">
        <f t="shared" si="3"/>
        <v>31</v>
      </c>
      <c r="B37" s="410"/>
      <c r="C37" s="410"/>
      <c r="D37" s="244" t="s">
        <v>1248</v>
      </c>
      <c r="E37" s="411" t="s">
        <v>2204</v>
      </c>
      <c r="F37" s="413" t="s">
        <v>2205</v>
      </c>
      <c r="G37" s="564">
        <v>35</v>
      </c>
      <c r="H37" s="561">
        <v>193025.8</v>
      </c>
      <c r="I37" s="412">
        <f>H37</f>
        <v>193025.8</v>
      </c>
      <c r="J37" s="189"/>
      <c r="K37" s="189"/>
      <c r="L37" s="562">
        <f t="shared" si="4"/>
        <v>0</v>
      </c>
    </row>
    <row r="38" spans="1:12">
      <c r="A38" s="394">
        <f t="shared" si="3"/>
        <v>32</v>
      </c>
      <c r="B38" s="410"/>
      <c r="C38" s="410"/>
      <c r="D38" s="244" t="s">
        <v>1248</v>
      </c>
      <c r="E38" s="411" t="s">
        <v>1299</v>
      </c>
      <c r="F38" s="413" t="s">
        <v>1303</v>
      </c>
      <c r="G38" s="564">
        <v>38</v>
      </c>
      <c r="H38" s="561">
        <v>4469.51</v>
      </c>
      <c r="I38" s="412">
        <f>H38</f>
        <v>4469.51</v>
      </c>
      <c r="J38" s="189"/>
      <c r="K38" s="189"/>
      <c r="L38" s="562">
        <f t="shared" si="4"/>
        <v>0</v>
      </c>
    </row>
    <row r="39" spans="1:12">
      <c r="A39" s="394">
        <f t="shared" si="3"/>
        <v>33</v>
      </c>
      <c r="B39" s="410"/>
      <c r="C39" s="410"/>
      <c r="D39" s="244" t="s">
        <v>1248</v>
      </c>
      <c r="E39" s="411" t="s">
        <v>1299</v>
      </c>
      <c r="F39" s="413" t="s">
        <v>1299</v>
      </c>
      <c r="G39" s="564">
        <v>38</v>
      </c>
      <c r="H39" s="561">
        <v>3904.59</v>
      </c>
      <c r="I39" s="412">
        <f>H39</f>
        <v>3904.59</v>
      </c>
      <c r="J39" s="189"/>
      <c r="K39" s="189"/>
      <c r="L39" s="562">
        <f t="shared" si="4"/>
        <v>0</v>
      </c>
    </row>
    <row r="40" spans="1:12">
      <c r="A40" s="394">
        <f t="shared" si="3"/>
        <v>34</v>
      </c>
      <c r="B40" s="410"/>
      <c r="C40" s="410"/>
      <c r="D40" s="244" t="s">
        <v>1248</v>
      </c>
      <c r="E40" s="411" t="s">
        <v>2204</v>
      </c>
      <c r="F40" s="413" t="s">
        <v>2206</v>
      </c>
      <c r="G40" s="564">
        <v>35</v>
      </c>
      <c r="H40" s="561">
        <v>190247.17</v>
      </c>
      <c r="I40" s="412">
        <f>H40</f>
        <v>190247.17</v>
      </c>
      <c r="J40" s="189"/>
      <c r="K40" s="189"/>
      <c r="L40" s="562">
        <f t="shared" si="4"/>
        <v>0</v>
      </c>
    </row>
    <row r="41" spans="1:12">
      <c r="A41" s="394">
        <f t="shared" si="3"/>
        <v>35</v>
      </c>
      <c r="B41" s="410"/>
      <c r="C41" s="410"/>
      <c r="D41" s="244" t="s">
        <v>1248</v>
      </c>
      <c r="E41" s="559" t="s">
        <v>2202</v>
      </c>
      <c r="F41" s="189" t="s">
        <v>2202</v>
      </c>
      <c r="G41" s="560">
        <v>25</v>
      </c>
      <c r="H41" s="565">
        <v>150927.09</v>
      </c>
      <c r="I41" s="189"/>
      <c r="J41" s="189"/>
      <c r="K41" s="412"/>
      <c r="L41" s="562">
        <f t="shared" si="4"/>
        <v>0</v>
      </c>
    </row>
    <row r="42" spans="1:12">
      <c r="A42" s="394">
        <f t="shared" si="3"/>
        <v>36</v>
      </c>
      <c r="B42" s="410"/>
      <c r="C42" s="410"/>
      <c r="D42" s="244" t="s">
        <v>1248</v>
      </c>
      <c r="E42" s="559" t="s">
        <v>1319</v>
      </c>
      <c r="F42" s="189" t="s">
        <v>1319</v>
      </c>
      <c r="G42" s="560">
        <v>10</v>
      </c>
      <c r="H42" s="565">
        <v>15489.79</v>
      </c>
      <c r="I42" s="189"/>
      <c r="J42" s="189"/>
      <c r="K42" s="189"/>
      <c r="L42" s="562">
        <f t="shared" si="4"/>
        <v>0</v>
      </c>
    </row>
    <row r="43" spans="1:12">
      <c r="A43" s="394">
        <f t="shared" si="3"/>
        <v>37</v>
      </c>
      <c r="B43" s="410"/>
      <c r="C43" s="410"/>
      <c r="D43" s="244" t="s">
        <v>1248</v>
      </c>
      <c r="E43" s="411" t="s">
        <v>2204</v>
      </c>
      <c r="F43" s="413" t="s">
        <v>2204</v>
      </c>
      <c r="G43" s="564">
        <v>35</v>
      </c>
      <c r="H43" s="565">
        <v>125024.26</v>
      </c>
      <c r="I43" s="412"/>
      <c r="J43" s="189"/>
      <c r="K43" s="189"/>
      <c r="L43" s="562">
        <f t="shared" si="4"/>
        <v>0</v>
      </c>
    </row>
    <row r="44" spans="1:12">
      <c r="A44" s="394">
        <f t="shared" si="3"/>
        <v>38</v>
      </c>
      <c r="B44" s="410"/>
      <c r="C44" s="410"/>
      <c r="D44" s="244" t="s">
        <v>1248</v>
      </c>
      <c r="E44" s="411" t="s">
        <v>2204</v>
      </c>
      <c r="F44" s="413" t="s">
        <v>2204</v>
      </c>
      <c r="G44" s="564">
        <v>35</v>
      </c>
      <c r="H44" s="565">
        <v>126831.45</v>
      </c>
      <c r="I44" s="412"/>
      <c r="J44" s="189"/>
      <c r="K44" s="189"/>
      <c r="L44" s="562">
        <f t="shared" si="4"/>
        <v>0</v>
      </c>
    </row>
    <row r="45" spans="1:12">
      <c r="A45" s="394">
        <f t="shared" si="3"/>
        <v>39</v>
      </c>
      <c r="B45" s="410"/>
      <c r="C45" s="410"/>
      <c r="D45" s="244" t="s">
        <v>1248</v>
      </c>
      <c r="E45" s="566" t="s">
        <v>2207</v>
      </c>
      <c r="F45" s="189" t="s">
        <v>2207</v>
      </c>
      <c r="G45" s="410">
        <v>25</v>
      </c>
      <c r="H45" s="567">
        <v>-150927.09</v>
      </c>
      <c r="I45" s="189"/>
      <c r="J45" s="189"/>
      <c r="K45" s="412"/>
      <c r="L45" s="562">
        <f t="shared" si="4"/>
        <v>-150927.09</v>
      </c>
    </row>
    <row r="46" spans="1:12">
      <c r="A46" s="394">
        <f t="shared" si="3"/>
        <v>40</v>
      </c>
      <c r="B46" s="189"/>
      <c r="C46" s="189"/>
      <c r="D46" s="244" t="s">
        <v>1248</v>
      </c>
      <c r="E46" s="189" t="s">
        <v>2208</v>
      </c>
      <c r="F46" s="189" t="s">
        <v>2208</v>
      </c>
      <c r="G46" s="87">
        <v>10</v>
      </c>
      <c r="H46" s="568">
        <v>-15489.79</v>
      </c>
      <c r="I46" s="189"/>
      <c r="J46" s="189"/>
      <c r="K46" s="189"/>
      <c r="L46" s="562">
        <f t="shared" si="4"/>
        <v>-15489.79</v>
      </c>
    </row>
    <row r="47" spans="1:12">
      <c r="A47" s="394">
        <f t="shared" si="3"/>
        <v>41</v>
      </c>
      <c r="B47" s="189"/>
      <c r="C47" s="189"/>
      <c r="D47" s="244" t="s">
        <v>1248</v>
      </c>
      <c r="E47" s="413" t="s">
        <v>2204</v>
      </c>
      <c r="F47" s="413" t="s">
        <v>2204</v>
      </c>
      <c r="G47" s="569">
        <v>35</v>
      </c>
      <c r="H47" s="568">
        <v>-125024.26</v>
      </c>
      <c r="I47" s="412"/>
      <c r="J47" s="189"/>
      <c r="K47" s="189"/>
      <c r="L47" s="562">
        <f t="shared" si="4"/>
        <v>-125024.26</v>
      </c>
    </row>
    <row r="48" spans="1:12">
      <c r="A48" s="394">
        <f t="shared" si="3"/>
        <v>42</v>
      </c>
      <c r="B48" s="189"/>
      <c r="C48" s="189"/>
      <c r="D48" s="244" t="s">
        <v>1248</v>
      </c>
      <c r="E48" s="413" t="s">
        <v>2204</v>
      </c>
      <c r="F48" s="413" t="s">
        <v>2204</v>
      </c>
      <c r="G48" s="569">
        <v>35</v>
      </c>
      <c r="H48" s="568">
        <v>-126831.45</v>
      </c>
      <c r="I48" s="412"/>
      <c r="J48" s="189"/>
      <c r="K48" s="189"/>
      <c r="L48" s="562">
        <f t="shared" si="4"/>
        <v>-126831.45</v>
      </c>
    </row>
    <row r="49" spans="1:12">
      <c r="A49" s="394">
        <f t="shared" si="3"/>
        <v>43</v>
      </c>
      <c r="B49" s="189"/>
      <c r="C49" s="189"/>
      <c r="D49" s="244" t="s">
        <v>1248</v>
      </c>
      <c r="E49" s="414" t="s">
        <v>2209</v>
      </c>
      <c r="F49" s="414" t="s">
        <v>2210</v>
      </c>
      <c r="G49" s="570">
        <v>35</v>
      </c>
      <c r="H49" s="568">
        <v>-31993.95</v>
      </c>
      <c r="I49" s="189"/>
      <c r="J49" s="189"/>
      <c r="K49" s="412"/>
      <c r="L49" s="562">
        <f t="shared" si="4"/>
        <v>-31993.95</v>
      </c>
    </row>
    <row r="50" spans="1:12">
      <c r="A50" s="394">
        <f t="shared" si="3"/>
        <v>44</v>
      </c>
      <c r="B50" s="189"/>
      <c r="C50" s="189"/>
      <c r="D50" s="244" t="s">
        <v>1248</v>
      </c>
      <c r="E50" s="414" t="s">
        <v>2209</v>
      </c>
      <c r="F50" s="414" t="s">
        <v>2211</v>
      </c>
      <c r="G50" s="570">
        <v>35</v>
      </c>
      <c r="H50" s="568">
        <v>31993.95</v>
      </c>
      <c r="I50" s="189"/>
      <c r="J50" s="189"/>
      <c r="K50" s="412"/>
      <c r="L50" s="562">
        <f t="shared" si="4"/>
        <v>0</v>
      </c>
    </row>
    <row r="51" spans="1:12">
      <c r="A51" s="394">
        <f t="shared" si="3"/>
        <v>45</v>
      </c>
      <c r="B51" s="189"/>
      <c r="C51" s="189"/>
      <c r="D51" s="244" t="s">
        <v>1248</v>
      </c>
      <c r="E51" s="189" t="s">
        <v>2212</v>
      </c>
      <c r="F51" s="189" t="s">
        <v>2213</v>
      </c>
      <c r="G51" s="410">
        <v>15</v>
      </c>
      <c r="H51" s="568">
        <v>62742.09</v>
      </c>
      <c r="I51" s="189"/>
      <c r="J51" s="189"/>
      <c r="K51" s="189"/>
      <c r="L51" s="562">
        <f t="shared" si="4"/>
        <v>0</v>
      </c>
    </row>
    <row r="52" spans="1:12">
      <c r="A52" s="394">
        <f t="shared" si="3"/>
        <v>46</v>
      </c>
      <c r="B52" s="189"/>
      <c r="C52" s="189"/>
      <c r="D52" s="244" t="s">
        <v>1248</v>
      </c>
      <c r="E52" s="189" t="s">
        <v>2212</v>
      </c>
      <c r="F52" s="189" t="s">
        <v>2214</v>
      </c>
      <c r="G52" s="410">
        <v>15</v>
      </c>
      <c r="H52" s="568">
        <v>-62742.09</v>
      </c>
      <c r="I52" s="189"/>
      <c r="J52" s="189"/>
      <c r="K52" s="189"/>
      <c r="L52" s="562">
        <f t="shared" si="4"/>
        <v>-62742.09</v>
      </c>
    </row>
    <row r="53" spans="1:12">
      <c r="A53" s="394">
        <f t="shared" si="3"/>
        <v>47</v>
      </c>
      <c r="B53" s="189"/>
      <c r="C53" s="189"/>
      <c r="D53" s="244" t="s">
        <v>1248</v>
      </c>
      <c r="E53" s="189" t="s">
        <v>1299</v>
      </c>
      <c r="F53" s="189" t="s">
        <v>1299</v>
      </c>
      <c r="G53" s="410">
        <v>38</v>
      </c>
      <c r="H53" s="571">
        <v>2012.13</v>
      </c>
      <c r="I53" s="189"/>
      <c r="J53" s="189"/>
      <c r="K53" s="189"/>
      <c r="L53" s="562">
        <f t="shared" si="4"/>
        <v>0</v>
      </c>
    </row>
    <row r="54" spans="1:12">
      <c r="A54" s="394">
        <f t="shared" si="3"/>
        <v>48</v>
      </c>
      <c r="B54" s="189"/>
      <c r="C54" s="189"/>
      <c r="D54" s="244" t="s">
        <v>1248</v>
      </c>
      <c r="E54" s="189" t="s">
        <v>2212</v>
      </c>
      <c r="F54" s="189" t="s">
        <v>2215</v>
      </c>
      <c r="G54" s="410">
        <v>15</v>
      </c>
      <c r="H54" s="571">
        <v>103388.43</v>
      </c>
      <c r="I54" s="189"/>
      <c r="J54" s="189"/>
      <c r="K54" s="189"/>
      <c r="L54" s="562">
        <f t="shared" si="4"/>
        <v>0</v>
      </c>
    </row>
    <row r="55" spans="1:12">
      <c r="A55" s="394">
        <f t="shared" si="3"/>
        <v>49</v>
      </c>
      <c r="B55" s="189"/>
      <c r="C55" s="189"/>
      <c r="D55" s="244" t="s">
        <v>1248</v>
      </c>
      <c r="E55" s="414" t="s">
        <v>2202</v>
      </c>
      <c r="F55" s="414" t="s">
        <v>2216</v>
      </c>
      <c r="G55" s="570">
        <v>25</v>
      </c>
      <c r="H55" s="568">
        <v>123264.66</v>
      </c>
      <c r="I55" s="189"/>
      <c r="J55" s="189"/>
      <c r="K55" s="412"/>
      <c r="L55" s="562">
        <f t="shared" si="4"/>
        <v>0</v>
      </c>
    </row>
    <row r="56" spans="1:12">
      <c r="A56" s="394">
        <f t="shared" si="3"/>
        <v>50</v>
      </c>
      <c r="B56" s="189"/>
      <c r="C56" s="189"/>
      <c r="D56" s="244" t="s">
        <v>1248</v>
      </c>
      <c r="E56" s="414" t="s">
        <v>2202</v>
      </c>
      <c r="F56" s="414" t="s">
        <v>2217</v>
      </c>
      <c r="G56" s="570">
        <v>25</v>
      </c>
      <c r="H56" s="568">
        <v>-123264.66</v>
      </c>
      <c r="I56" s="189"/>
      <c r="J56" s="189"/>
      <c r="K56" s="412"/>
      <c r="L56" s="562">
        <f t="shared" si="4"/>
        <v>-123264.66</v>
      </c>
    </row>
    <row r="57" spans="1:12">
      <c r="A57" s="394">
        <f t="shared" si="3"/>
        <v>51</v>
      </c>
      <c r="B57" s="189"/>
      <c r="C57" s="189"/>
      <c r="D57" s="244" t="s">
        <v>1248</v>
      </c>
      <c r="E57" s="414" t="s">
        <v>1299</v>
      </c>
      <c r="F57" s="414" t="s">
        <v>1299</v>
      </c>
      <c r="G57" s="570">
        <v>38</v>
      </c>
      <c r="H57" s="571">
        <v>9743.48</v>
      </c>
      <c r="I57" s="189"/>
      <c r="J57" s="189"/>
      <c r="K57" s="412">
        <f>H57</f>
        <v>9743.48</v>
      </c>
      <c r="L57" s="562">
        <f t="shared" si="4"/>
        <v>0</v>
      </c>
    </row>
    <row r="58" spans="1:12">
      <c r="A58" s="394">
        <f t="shared" si="3"/>
        <v>52</v>
      </c>
      <c r="B58" s="189"/>
      <c r="C58" s="189"/>
      <c r="D58" s="244" t="s">
        <v>1248</v>
      </c>
      <c r="E58" s="414" t="s">
        <v>2202</v>
      </c>
      <c r="F58" s="414" t="s">
        <v>2218</v>
      </c>
      <c r="G58" s="570">
        <v>25</v>
      </c>
      <c r="H58" s="571">
        <v>184897</v>
      </c>
      <c r="I58" s="189"/>
      <c r="J58" s="189"/>
      <c r="K58" s="412">
        <f>H58</f>
        <v>184897</v>
      </c>
      <c r="L58" s="562">
        <f t="shared" si="4"/>
        <v>0</v>
      </c>
    </row>
    <row r="59" spans="1:12">
      <c r="A59" s="394">
        <f t="shared" si="3"/>
        <v>53</v>
      </c>
      <c r="B59" s="189"/>
      <c r="C59" s="189"/>
      <c r="D59" s="244" t="s">
        <v>1248</v>
      </c>
      <c r="E59" s="189" t="s">
        <v>1315</v>
      </c>
      <c r="F59" s="189" t="s">
        <v>2219</v>
      </c>
      <c r="G59" s="410">
        <v>20</v>
      </c>
      <c r="H59" s="571">
        <v>52003.66</v>
      </c>
      <c r="I59" s="189"/>
      <c r="J59" s="189"/>
      <c r="K59" s="189"/>
      <c r="L59" s="562">
        <f t="shared" si="4"/>
        <v>0</v>
      </c>
    </row>
    <row r="60" spans="1:12">
      <c r="A60" s="394">
        <f t="shared" si="3"/>
        <v>54</v>
      </c>
      <c r="B60" s="189"/>
      <c r="C60" s="189"/>
      <c r="D60" s="244" t="s">
        <v>1248</v>
      </c>
      <c r="E60" s="189" t="s">
        <v>2220</v>
      </c>
      <c r="F60" s="189" t="s">
        <v>2221</v>
      </c>
      <c r="G60" s="410">
        <v>28</v>
      </c>
      <c r="H60" s="571">
        <v>57220.65</v>
      </c>
      <c r="I60" s="189"/>
      <c r="J60" s="189"/>
      <c r="K60" s="189"/>
      <c r="L60" s="562">
        <f t="shared" si="4"/>
        <v>0</v>
      </c>
    </row>
    <row r="61" spans="1:12">
      <c r="A61" s="394">
        <f t="shared" si="3"/>
        <v>55</v>
      </c>
      <c r="B61" s="189"/>
      <c r="C61" s="189"/>
      <c r="D61" s="244" t="s">
        <v>1248</v>
      </c>
      <c r="E61" s="189" t="s">
        <v>1299</v>
      </c>
      <c r="F61" s="189" t="s">
        <v>1299</v>
      </c>
      <c r="G61" s="410">
        <v>38</v>
      </c>
      <c r="H61" s="571">
        <v>2241.69</v>
      </c>
      <c r="I61" s="189"/>
      <c r="J61" s="189"/>
      <c r="K61" s="189"/>
      <c r="L61" s="562">
        <f t="shared" si="4"/>
        <v>0</v>
      </c>
    </row>
    <row r="62" spans="1:12">
      <c r="A62" s="394">
        <f t="shared" si="3"/>
        <v>56</v>
      </c>
      <c r="B62" s="189"/>
      <c r="C62" s="189"/>
      <c r="D62" s="244" t="s">
        <v>1248</v>
      </c>
      <c r="E62" s="189" t="s">
        <v>1315</v>
      </c>
      <c r="F62" s="189" t="s">
        <v>2222</v>
      </c>
      <c r="G62" s="410">
        <v>20</v>
      </c>
      <c r="H62" s="568">
        <v>34669.5</v>
      </c>
      <c r="I62" s="189"/>
      <c r="J62" s="189"/>
      <c r="K62" s="189"/>
      <c r="L62" s="562">
        <f t="shared" si="4"/>
        <v>0</v>
      </c>
    </row>
    <row r="63" spans="1:12">
      <c r="A63" s="394">
        <f t="shared" si="3"/>
        <v>57</v>
      </c>
      <c r="B63" s="189"/>
      <c r="C63" s="189"/>
      <c r="D63" s="244" t="s">
        <v>1248</v>
      </c>
      <c r="E63" s="189" t="s">
        <v>1315</v>
      </c>
      <c r="F63" s="189" t="s">
        <v>2223</v>
      </c>
      <c r="G63" s="410">
        <v>20</v>
      </c>
      <c r="H63" s="568">
        <v>-34669.5</v>
      </c>
      <c r="I63" s="189"/>
      <c r="J63" s="189"/>
      <c r="K63" s="189"/>
      <c r="L63" s="562">
        <f t="shared" si="4"/>
        <v>-34669.5</v>
      </c>
    </row>
    <row r="64" spans="1:12">
      <c r="A64" s="394">
        <f t="shared" si="3"/>
        <v>58</v>
      </c>
      <c r="B64" s="189"/>
      <c r="C64" s="189"/>
      <c r="D64" s="244" t="s">
        <v>1248</v>
      </c>
      <c r="E64" s="189" t="s">
        <v>1314</v>
      </c>
      <c r="F64" s="189" t="s">
        <v>2224</v>
      </c>
      <c r="G64" s="410">
        <v>28</v>
      </c>
      <c r="H64" s="568">
        <v>38147.1</v>
      </c>
      <c r="I64" s="189"/>
      <c r="J64" s="189"/>
      <c r="K64" s="189"/>
      <c r="L64" s="562">
        <f t="shared" si="4"/>
        <v>0</v>
      </c>
    </row>
    <row r="65" spans="1:12">
      <c r="A65" s="394">
        <f t="shared" si="3"/>
        <v>59</v>
      </c>
      <c r="B65" s="189"/>
      <c r="C65" s="189"/>
      <c r="D65" s="244" t="s">
        <v>1248</v>
      </c>
      <c r="E65" s="189" t="s">
        <v>1314</v>
      </c>
      <c r="F65" s="189" t="s">
        <v>2224</v>
      </c>
      <c r="G65" s="410">
        <v>28</v>
      </c>
      <c r="H65" s="568">
        <v>-38147.1</v>
      </c>
      <c r="I65" s="189"/>
      <c r="J65" s="189"/>
      <c r="K65" s="189"/>
      <c r="L65" s="562">
        <f t="shared" si="4"/>
        <v>-38147.1</v>
      </c>
    </row>
    <row r="66" spans="1:12">
      <c r="A66" s="394">
        <f t="shared" si="3"/>
        <v>60</v>
      </c>
      <c r="B66" s="189"/>
      <c r="C66" s="189"/>
      <c r="D66" s="244" t="s">
        <v>1248</v>
      </c>
      <c r="E66" s="189" t="s">
        <v>1299</v>
      </c>
      <c r="F66" s="189" t="s">
        <v>1299</v>
      </c>
      <c r="G66" s="410">
        <v>38</v>
      </c>
      <c r="H66" s="571">
        <v>736.04</v>
      </c>
      <c r="I66" s="189"/>
      <c r="J66" s="189"/>
      <c r="K66" s="189"/>
      <c r="L66" s="562">
        <f t="shared" si="4"/>
        <v>0</v>
      </c>
    </row>
    <row r="67" spans="1:12">
      <c r="A67" s="394">
        <f t="shared" si="3"/>
        <v>61</v>
      </c>
      <c r="B67" s="189"/>
      <c r="C67" s="189"/>
      <c r="D67" s="244" t="s">
        <v>1248</v>
      </c>
      <c r="E67" s="189" t="s">
        <v>2225</v>
      </c>
      <c r="F67" s="189" t="s">
        <v>2226</v>
      </c>
      <c r="G67" s="410">
        <v>31</v>
      </c>
      <c r="H67" s="571">
        <v>35862.9</v>
      </c>
      <c r="I67" s="189"/>
      <c r="J67" s="189"/>
      <c r="K67" s="189"/>
      <c r="L67" s="562">
        <f t="shared" si="4"/>
        <v>0</v>
      </c>
    </row>
    <row r="68" spans="1:12">
      <c r="A68" s="394">
        <f t="shared" si="3"/>
        <v>62</v>
      </c>
      <c r="B68" s="189"/>
      <c r="C68" s="189"/>
      <c r="D68" s="244" t="s">
        <v>1248</v>
      </c>
      <c r="E68" s="189" t="s">
        <v>2225</v>
      </c>
      <c r="F68" s="189" t="s">
        <v>2226</v>
      </c>
      <c r="G68" s="410">
        <v>31</v>
      </c>
      <c r="H68" s="568">
        <v>23908.44</v>
      </c>
      <c r="I68" s="189"/>
      <c r="J68" s="189"/>
      <c r="K68" s="189"/>
      <c r="L68" s="562">
        <f t="shared" si="4"/>
        <v>0</v>
      </c>
    </row>
    <row r="69" spans="1:12">
      <c r="A69" s="394">
        <f t="shared" si="3"/>
        <v>63</v>
      </c>
      <c r="B69" s="189"/>
      <c r="C69" s="189"/>
      <c r="D69" s="244" t="s">
        <v>1248</v>
      </c>
      <c r="E69" s="189" t="s">
        <v>2225</v>
      </c>
      <c r="F69" s="189" t="s">
        <v>2227</v>
      </c>
      <c r="G69" s="410">
        <v>31</v>
      </c>
      <c r="H69" s="568">
        <v>-23908.44</v>
      </c>
      <c r="I69" s="189"/>
      <c r="J69" s="189"/>
      <c r="K69" s="189"/>
      <c r="L69" s="562">
        <f t="shared" si="4"/>
        <v>-23908.44</v>
      </c>
    </row>
    <row r="70" spans="1:12">
      <c r="A70" s="394">
        <f t="shared" si="3"/>
        <v>64</v>
      </c>
      <c r="B70" s="189"/>
      <c r="C70" s="189"/>
      <c r="D70" s="244" t="s">
        <v>1248</v>
      </c>
      <c r="E70" s="189" t="s">
        <v>1299</v>
      </c>
      <c r="F70" s="189" t="s">
        <v>1299</v>
      </c>
      <c r="G70" s="410">
        <v>38</v>
      </c>
      <c r="H70" s="571">
        <v>1267.5999999999999</v>
      </c>
      <c r="I70" s="189"/>
      <c r="J70" s="189"/>
      <c r="K70" s="189"/>
      <c r="L70" s="562">
        <f t="shared" si="4"/>
        <v>0</v>
      </c>
    </row>
    <row r="71" spans="1:12">
      <c r="A71" s="394">
        <f t="shared" si="3"/>
        <v>65</v>
      </c>
      <c r="B71" s="189"/>
      <c r="C71" s="189"/>
      <c r="D71" s="244" t="s">
        <v>1248</v>
      </c>
      <c r="E71" s="189" t="s">
        <v>2212</v>
      </c>
      <c r="F71" s="189" t="s">
        <v>2228</v>
      </c>
      <c r="G71" s="410">
        <v>15</v>
      </c>
      <c r="H71" s="571">
        <v>61533.02</v>
      </c>
      <c r="I71" s="189"/>
      <c r="J71" s="189"/>
      <c r="K71" s="189"/>
      <c r="L71" s="562">
        <f t="shared" si="4"/>
        <v>0</v>
      </c>
    </row>
    <row r="72" spans="1:12">
      <c r="A72" s="394">
        <f t="shared" si="3"/>
        <v>66</v>
      </c>
      <c r="B72" s="189"/>
      <c r="C72" s="189"/>
      <c r="D72" s="244" t="s">
        <v>1248</v>
      </c>
      <c r="E72" s="189" t="s">
        <v>2212</v>
      </c>
      <c r="F72" s="189" t="s">
        <v>2228</v>
      </c>
      <c r="G72" s="410">
        <v>15</v>
      </c>
      <c r="H72" s="568">
        <v>36186.61</v>
      </c>
      <c r="I72" s="189"/>
      <c r="J72" s="189"/>
      <c r="K72" s="189"/>
      <c r="L72" s="562">
        <f t="shared" si="4"/>
        <v>0</v>
      </c>
    </row>
    <row r="73" spans="1:12">
      <c r="A73" s="394">
        <f t="shared" si="3"/>
        <v>67</v>
      </c>
      <c r="B73" s="189"/>
      <c r="C73" s="189"/>
      <c r="D73" s="244" t="s">
        <v>1248</v>
      </c>
      <c r="E73" s="189" t="s">
        <v>2212</v>
      </c>
      <c r="F73" s="189" t="s">
        <v>2229</v>
      </c>
      <c r="G73" s="410">
        <v>15</v>
      </c>
      <c r="H73" s="568">
        <v>-36186.61</v>
      </c>
      <c r="I73" s="189"/>
      <c r="J73" s="189"/>
      <c r="K73" s="189"/>
      <c r="L73" s="562">
        <f t="shared" si="4"/>
        <v>-36186.61</v>
      </c>
    </row>
    <row r="74" spans="1:12">
      <c r="A74" s="394">
        <f t="shared" si="3"/>
        <v>68</v>
      </c>
      <c r="B74" s="189"/>
      <c r="C74" s="189"/>
      <c r="D74" s="244" t="s">
        <v>1248</v>
      </c>
      <c r="E74" s="414" t="s">
        <v>2202</v>
      </c>
      <c r="F74" s="414" t="s">
        <v>2230</v>
      </c>
      <c r="G74" s="570">
        <v>25</v>
      </c>
      <c r="H74" s="568">
        <v>111173.25</v>
      </c>
      <c r="I74" s="189"/>
      <c r="J74" s="189"/>
      <c r="K74" s="412"/>
      <c r="L74" s="562">
        <f t="shared" si="4"/>
        <v>0</v>
      </c>
    </row>
    <row r="75" spans="1:12">
      <c r="A75" s="394">
        <f t="shared" si="3"/>
        <v>69</v>
      </c>
      <c r="B75" s="189"/>
      <c r="C75" s="189"/>
      <c r="D75" s="244" t="s">
        <v>1248</v>
      </c>
      <c r="E75" s="414" t="s">
        <v>2202</v>
      </c>
      <c r="F75" s="414" t="s">
        <v>2231</v>
      </c>
      <c r="G75" s="570">
        <v>25</v>
      </c>
      <c r="H75" s="568">
        <v>-111173.25</v>
      </c>
      <c r="I75" s="189"/>
      <c r="J75" s="189"/>
      <c r="K75" s="412"/>
      <c r="L75" s="562">
        <f t="shared" si="4"/>
        <v>-111173.25</v>
      </c>
    </row>
    <row r="76" spans="1:12">
      <c r="A76" s="394">
        <f t="shared" si="3"/>
        <v>70</v>
      </c>
      <c r="B76" s="189"/>
      <c r="C76" s="189"/>
      <c r="D76" s="244" t="s">
        <v>1248</v>
      </c>
      <c r="E76" s="414" t="s">
        <v>2202</v>
      </c>
      <c r="F76" s="414" t="s">
        <v>2232</v>
      </c>
      <c r="G76" s="570">
        <v>25</v>
      </c>
      <c r="H76" s="571">
        <v>166759.75</v>
      </c>
      <c r="I76" s="189"/>
      <c r="J76" s="189"/>
      <c r="K76" s="412">
        <f t="shared" ref="K76:K81" si="5">H76</f>
        <v>166759.75</v>
      </c>
      <c r="L76" s="562">
        <f t="shared" si="4"/>
        <v>0</v>
      </c>
    </row>
    <row r="77" spans="1:12">
      <c r="A77" s="394">
        <f t="shared" si="3"/>
        <v>71</v>
      </c>
      <c r="B77" s="189"/>
      <c r="C77" s="189"/>
      <c r="D77" s="244" t="s">
        <v>1248</v>
      </c>
      <c r="E77" s="414" t="s">
        <v>1299</v>
      </c>
      <c r="F77" s="414" t="s">
        <v>1299</v>
      </c>
      <c r="G77" s="570">
        <v>38</v>
      </c>
      <c r="H77" s="571">
        <v>11213.72</v>
      </c>
      <c r="I77" s="189"/>
      <c r="J77" s="189"/>
      <c r="K77" s="412">
        <f t="shared" si="5"/>
        <v>11213.72</v>
      </c>
      <c r="L77" s="562">
        <f t="shared" si="4"/>
        <v>0</v>
      </c>
    </row>
    <row r="78" spans="1:12">
      <c r="A78" s="394">
        <f t="shared" si="3"/>
        <v>72</v>
      </c>
      <c r="B78" s="189"/>
      <c r="C78" s="189"/>
      <c r="D78" s="244" t="s">
        <v>1248</v>
      </c>
      <c r="E78" s="414" t="s">
        <v>2202</v>
      </c>
      <c r="F78" s="414" t="s">
        <v>2233</v>
      </c>
      <c r="G78" s="570">
        <v>25</v>
      </c>
      <c r="H78" s="571">
        <v>136235.35999999999</v>
      </c>
      <c r="I78" s="189"/>
      <c r="J78" s="189"/>
      <c r="K78" s="412">
        <f t="shared" si="5"/>
        <v>136235.35999999999</v>
      </c>
      <c r="L78" s="562">
        <f t="shared" si="4"/>
        <v>0</v>
      </c>
    </row>
    <row r="79" spans="1:12">
      <c r="A79" s="394">
        <f t="shared" si="3"/>
        <v>73</v>
      </c>
      <c r="B79" s="189"/>
      <c r="C79" s="189"/>
      <c r="D79" s="244" t="s">
        <v>1248</v>
      </c>
      <c r="E79" s="414" t="s">
        <v>1299</v>
      </c>
      <c r="F79" s="414" t="s">
        <v>1299</v>
      </c>
      <c r="G79" s="570">
        <v>38</v>
      </c>
      <c r="H79" s="571">
        <v>8445.73</v>
      </c>
      <c r="I79" s="189"/>
      <c r="J79" s="189"/>
      <c r="K79" s="412">
        <f t="shared" si="5"/>
        <v>8445.73</v>
      </c>
      <c r="L79" s="562">
        <f t="shared" si="4"/>
        <v>0</v>
      </c>
    </row>
    <row r="80" spans="1:12">
      <c r="A80" s="394">
        <f t="shared" si="3"/>
        <v>74</v>
      </c>
      <c r="B80" s="189"/>
      <c r="C80" s="189"/>
      <c r="D80" s="244" t="s">
        <v>1248</v>
      </c>
      <c r="E80" s="414" t="s">
        <v>1299</v>
      </c>
      <c r="F80" s="414" t="s">
        <v>1299</v>
      </c>
      <c r="G80" s="570">
        <v>38</v>
      </c>
      <c r="H80" s="571">
        <v>2950.26</v>
      </c>
      <c r="I80" s="189"/>
      <c r="J80" s="189"/>
      <c r="K80" s="412">
        <f t="shared" si="5"/>
        <v>2950.26</v>
      </c>
      <c r="L80" s="562">
        <f t="shared" si="4"/>
        <v>0</v>
      </c>
    </row>
    <row r="81" spans="1:12">
      <c r="A81" s="394">
        <f t="shared" si="3"/>
        <v>75</v>
      </c>
      <c r="B81" s="189"/>
      <c r="C81" s="189"/>
      <c r="D81" s="244" t="s">
        <v>1248</v>
      </c>
      <c r="E81" s="414" t="s">
        <v>2202</v>
      </c>
      <c r="F81" s="414" t="s">
        <v>2234</v>
      </c>
      <c r="G81" s="570">
        <v>25</v>
      </c>
      <c r="H81" s="571">
        <v>175193.68</v>
      </c>
      <c r="I81" s="189"/>
      <c r="J81" s="189"/>
      <c r="K81" s="412">
        <f t="shared" si="5"/>
        <v>175193.68</v>
      </c>
      <c r="L81" s="562">
        <f t="shared" si="4"/>
        <v>0</v>
      </c>
    </row>
    <row r="82" spans="1:12">
      <c r="A82" s="394">
        <f t="shared" si="3"/>
        <v>76</v>
      </c>
      <c r="B82" s="189"/>
      <c r="C82" s="189"/>
      <c r="D82" s="244" t="s">
        <v>1248</v>
      </c>
      <c r="E82" s="414" t="s">
        <v>2202</v>
      </c>
      <c r="F82" s="414" t="s">
        <v>2235</v>
      </c>
      <c r="G82" s="570">
        <v>25</v>
      </c>
      <c r="H82" s="568">
        <v>116795.96</v>
      </c>
      <c r="I82" s="189"/>
      <c r="J82" s="189"/>
      <c r="K82" s="412"/>
      <c r="L82" s="562">
        <f t="shared" si="4"/>
        <v>0</v>
      </c>
    </row>
    <row r="83" spans="1:12">
      <c r="A83" s="394">
        <f t="shared" si="3"/>
        <v>77</v>
      </c>
      <c r="B83" s="189"/>
      <c r="C83" s="189"/>
      <c r="D83" s="244" t="s">
        <v>1248</v>
      </c>
      <c r="E83" s="414" t="s">
        <v>2202</v>
      </c>
      <c r="F83" s="414" t="s">
        <v>2236</v>
      </c>
      <c r="G83" s="570">
        <v>25</v>
      </c>
      <c r="H83" s="568">
        <v>-116795.96</v>
      </c>
      <c r="I83" s="189"/>
      <c r="J83" s="189"/>
      <c r="K83" s="412"/>
      <c r="L83" s="562">
        <f t="shared" si="4"/>
        <v>-116795.96</v>
      </c>
    </row>
    <row r="84" spans="1:12">
      <c r="A84" s="394">
        <f t="shared" si="3"/>
        <v>78</v>
      </c>
      <c r="B84" s="189"/>
      <c r="C84" s="189"/>
      <c r="D84" s="244" t="s">
        <v>1248</v>
      </c>
      <c r="E84" s="414" t="s">
        <v>2202</v>
      </c>
      <c r="F84" s="414" t="s">
        <v>2237</v>
      </c>
      <c r="G84" s="570">
        <v>25</v>
      </c>
      <c r="H84" s="568">
        <v>90823.64</v>
      </c>
      <c r="I84" s="189"/>
      <c r="J84" s="189"/>
      <c r="K84" s="412"/>
      <c r="L84" s="562">
        <f t="shared" si="4"/>
        <v>0</v>
      </c>
    </row>
    <row r="85" spans="1:12">
      <c r="A85" s="394">
        <f t="shared" si="3"/>
        <v>79</v>
      </c>
      <c r="B85" s="189"/>
      <c r="C85" s="189"/>
      <c r="D85" s="244" t="s">
        <v>1248</v>
      </c>
      <c r="E85" s="414" t="s">
        <v>2202</v>
      </c>
      <c r="F85" s="414" t="s">
        <v>2238</v>
      </c>
      <c r="G85" s="570">
        <v>25</v>
      </c>
      <c r="H85" s="568">
        <v>-90823.64</v>
      </c>
      <c r="I85" s="189"/>
      <c r="J85" s="189"/>
      <c r="K85" s="412"/>
      <c r="L85" s="562">
        <f t="shared" si="4"/>
        <v>-90823.64</v>
      </c>
    </row>
    <row r="86" spans="1:12">
      <c r="A86" s="394">
        <f t="shared" si="3"/>
        <v>80</v>
      </c>
      <c r="B86" s="189"/>
      <c r="C86" s="189"/>
      <c r="D86" s="244" t="s">
        <v>1248</v>
      </c>
      <c r="E86" s="189" t="s">
        <v>2239</v>
      </c>
      <c r="F86" s="189" t="s">
        <v>2240</v>
      </c>
      <c r="G86" s="410">
        <v>15</v>
      </c>
      <c r="H86" s="571">
        <v>36596.839999999997</v>
      </c>
      <c r="I86" s="189"/>
      <c r="J86" s="189"/>
      <c r="K86" s="189"/>
      <c r="L86" s="562">
        <f t="shared" si="4"/>
        <v>0</v>
      </c>
    </row>
    <row r="87" spans="1:12">
      <c r="A87" s="394">
        <f t="shared" si="3"/>
        <v>81</v>
      </c>
      <c r="B87" s="189"/>
      <c r="C87" s="189"/>
      <c r="D87" s="244" t="s">
        <v>1248</v>
      </c>
      <c r="E87" s="189" t="s">
        <v>2241</v>
      </c>
      <c r="F87" s="189" t="s">
        <v>2242</v>
      </c>
      <c r="G87" s="410">
        <v>20</v>
      </c>
      <c r="H87" s="571">
        <v>18334.419999999998</v>
      </c>
      <c r="I87" s="189"/>
      <c r="J87" s="189"/>
      <c r="K87" s="189"/>
      <c r="L87" s="562">
        <f t="shared" si="4"/>
        <v>0</v>
      </c>
    </row>
    <row r="88" spans="1:12">
      <c r="A88" s="394">
        <f t="shared" si="3"/>
        <v>82</v>
      </c>
      <c r="B88" s="189"/>
      <c r="C88" s="189"/>
      <c r="D88" s="244" t="s">
        <v>1248</v>
      </c>
      <c r="E88" s="189" t="s">
        <v>1299</v>
      </c>
      <c r="F88" s="189" t="s">
        <v>1299</v>
      </c>
      <c r="G88" s="410">
        <v>38</v>
      </c>
      <c r="H88" s="571">
        <v>2004.91</v>
      </c>
      <c r="I88" s="189"/>
      <c r="J88" s="189"/>
      <c r="K88" s="189"/>
      <c r="L88" s="562">
        <f t="shared" si="4"/>
        <v>0</v>
      </c>
    </row>
    <row r="89" spans="1:12">
      <c r="A89" s="394">
        <f t="shared" si="3"/>
        <v>83</v>
      </c>
      <c r="B89" s="189"/>
      <c r="C89" s="189"/>
      <c r="D89" s="244" t="s">
        <v>1248</v>
      </c>
      <c r="E89" s="189" t="s">
        <v>2239</v>
      </c>
      <c r="F89" s="34" t="s">
        <v>2243</v>
      </c>
      <c r="G89" s="410">
        <v>15</v>
      </c>
      <c r="H89" s="568">
        <v>23525.83</v>
      </c>
      <c r="I89" s="189"/>
      <c r="J89" s="189"/>
      <c r="K89" s="189"/>
      <c r="L89" s="562">
        <f t="shared" si="4"/>
        <v>0</v>
      </c>
    </row>
    <row r="90" spans="1:12">
      <c r="A90" s="394">
        <f t="shared" si="3"/>
        <v>84</v>
      </c>
      <c r="B90" s="189"/>
      <c r="C90" s="189"/>
      <c r="D90" s="244" t="s">
        <v>1248</v>
      </c>
      <c r="E90" s="189" t="s">
        <v>2239</v>
      </c>
      <c r="F90" s="34" t="s">
        <v>2244</v>
      </c>
      <c r="G90" s="410">
        <v>15</v>
      </c>
      <c r="H90" s="568">
        <v>-23525.83</v>
      </c>
      <c r="I90" s="189"/>
      <c r="J90" s="189"/>
      <c r="K90" s="189"/>
      <c r="L90" s="562">
        <f t="shared" si="4"/>
        <v>-23525.83</v>
      </c>
    </row>
    <row r="91" spans="1:12">
      <c r="A91" s="394">
        <f t="shared" ref="A91:A154" si="6">A90+1</f>
        <v>85</v>
      </c>
      <c r="B91" s="189"/>
      <c r="C91" s="189"/>
      <c r="D91" s="244" t="s">
        <v>1248</v>
      </c>
      <c r="E91" s="189" t="s">
        <v>2241</v>
      </c>
      <c r="F91" s="34" t="s">
        <v>2245</v>
      </c>
      <c r="G91" s="410">
        <v>20</v>
      </c>
      <c r="H91" s="568">
        <v>12223.28</v>
      </c>
      <c r="I91" s="189"/>
      <c r="J91" s="189"/>
      <c r="K91" s="189"/>
      <c r="L91" s="562">
        <f t="shared" si="4"/>
        <v>0</v>
      </c>
    </row>
    <row r="92" spans="1:12">
      <c r="A92" s="394">
        <f t="shared" si="6"/>
        <v>86</v>
      </c>
      <c r="B92" s="189"/>
      <c r="C92" s="189"/>
      <c r="D92" s="244" t="s">
        <v>1248</v>
      </c>
      <c r="E92" s="189" t="s">
        <v>2241</v>
      </c>
      <c r="F92" s="34" t="s">
        <v>2246</v>
      </c>
      <c r="G92" s="410">
        <v>20</v>
      </c>
      <c r="H92" s="568">
        <v>-12223.28</v>
      </c>
      <c r="I92" s="189"/>
      <c r="J92" s="189"/>
      <c r="K92" s="189"/>
      <c r="L92" s="562">
        <f t="shared" si="4"/>
        <v>-12223.28</v>
      </c>
    </row>
    <row r="93" spans="1:12">
      <c r="A93" s="394">
        <f t="shared" si="6"/>
        <v>87</v>
      </c>
      <c r="B93" s="189"/>
      <c r="C93" s="189"/>
      <c r="D93" s="244" t="s">
        <v>1248</v>
      </c>
      <c r="E93" s="189" t="s">
        <v>2247</v>
      </c>
      <c r="F93" s="189" t="s">
        <v>2248</v>
      </c>
      <c r="G93" s="410">
        <v>10</v>
      </c>
      <c r="H93" s="571">
        <v>47121.32</v>
      </c>
      <c r="I93" s="189"/>
      <c r="J93" s="189"/>
      <c r="K93" s="189"/>
      <c r="L93" s="562">
        <f t="shared" si="4"/>
        <v>0</v>
      </c>
    </row>
    <row r="94" spans="1:12">
      <c r="A94" s="394">
        <f t="shared" si="6"/>
        <v>88</v>
      </c>
      <c r="B94" s="189"/>
      <c r="C94" s="189"/>
      <c r="D94" s="244" t="s">
        <v>1248</v>
      </c>
      <c r="E94" s="189" t="s">
        <v>1299</v>
      </c>
      <c r="F94" s="189" t="s">
        <v>1299</v>
      </c>
      <c r="G94" s="410">
        <v>38</v>
      </c>
      <c r="H94" s="571">
        <v>3098.92</v>
      </c>
      <c r="I94" s="189"/>
      <c r="J94" s="189"/>
      <c r="K94" s="189"/>
      <c r="L94" s="562">
        <f t="shared" si="4"/>
        <v>0</v>
      </c>
    </row>
    <row r="95" spans="1:12">
      <c r="A95" s="394">
        <f t="shared" si="6"/>
        <v>89</v>
      </c>
      <c r="B95" s="189"/>
      <c r="C95" s="189"/>
      <c r="D95" s="244" t="s">
        <v>1248</v>
      </c>
      <c r="E95" s="189" t="s">
        <v>2247</v>
      </c>
      <c r="F95" s="34" t="s">
        <v>2249</v>
      </c>
      <c r="G95" s="410">
        <v>10</v>
      </c>
      <c r="H95" s="568">
        <v>31414.02</v>
      </c>
      <c r="I95" s="189"/>
      <c r="J95" s="189"/>
      <c r="K95" s="189"/>
      <c r="L95" s="562">
        <f t="shared" si="4"/>
        <v>0</v>
      </c>
    </row>
    <row r="96" spans="1:12">
      <c r="A96" s="394">
        <f t="shared" si="6"/>
        <v>90</v>
      </c>
      <c r="B96" s="189"/>
      <c r="C96" s="189"/>
      <c r="D96" s="244" t="s">
        <v>1248</v>
      </c>
      <c r="E96" s="189" t="s">
        <v>2247</v>
      </c>
      <c r="F96" s="34" t="s">
        <v>2250</v>
      </c>
      <c r="G96" s="410">
        <v>10</v>
      </c>
      <c r="H96" s="568">
        <v>-31414.02</v>
      </c>
      <c r="I96" s="189"/>
      <c r="J96" s="189"/>
      <c r="K96" s="189"/>
      <c r="L96" s="562">
        <f t="shared" si="4"/>
        <v>-31414.02</v>
      </c>
    </row>
    <row r="97" spans="1:12">
      <c r="A97" s="394">
        <f t="shared" si="6"/>
        <v>91</v>
      </c>
      <c r="B97" s="189"/>
      <c r="C97" s="189"/>
      <c r="D97" s="244" t="s">
        <v>1248</v>
      </c>
      <c r="E97" s="415" t="s">
        <v>2251</v>
      </c>
      <c r="F97" s="415" t="s">
        <v>2252</v>
      </c>
      <c r="G97" s="572">
        <v>40</v>
      </c>
      <c r="H97" s="571">
        <v>212966.48</v>
      </c>
      <c r="I97" s="189"/>
      <c r="J97" s="412">
        <f>H97</f>
        <v>212966.48</v>
      </c>
      <c r="K97" s="189"/>
      <c r="L97" s="562">
        <f t="shared" ref="L97:L160" si="7">IF(H97&lt;0,H97,0)</f>
        <v>0</v>
      </c>
    </row>
    <row r="98" spans="1:12">
      <c r="A98" s="394">
        <f t="shared" si="6"/>
        <v>92</v>
      </c>
      <c r="B98" s="189"/>
      <c r="C98" s="189"/>
      <c r="D98" s="244" t="s">
        <v>1248</v>
      </c>
      <c r="E98" s="415" t="s">
        <v>1299</v>
      </c>
      <c r="F98" s="415" t="s">
        <v>1299</v>
      </c>
      <c r="G98" s="572">
        <v>38</v>
      </c>
      <c r="H98" s="571">
        <v>3902.93</v>
      </c>
      <c r="I98" s="189"/>
      <c r="J98" s="412">
        <f>H98</f>
        <v>3902.93</v>
      </c>
      <c r="K98" s="189"/>
      <c r="L98" s="562">
        <f t="shared" si="7"/>
        <v>0</v>
      </c>
    </row>
    <row r="99" spans="1:12">
      <c r="A99" s="394">
        <f t="shared" si="6"/>
        <v>93</v>
      </c>
      <c r="B99" s="189"/>
      <c r="C99" s="189"/>
      <c r="D99" s="244" t="s">
        <v>1248</v>
      </c>
      <c r="E99" s="415" t="s">
        <v>2251</v>
      </c>
      <c r="F99" s="415" t="s">
        <v>2253</v>
      </c>
      <c r="G99" s="572">
        <v>40</v>
      </c>
      <c r="H99" s="568">
        <v>141977.70000000001</v>
      </c>
      <c r="I99" s="189"/>
      <c r="J99" s="412"/>
      <c r="K99" s="189"/>
      <c r="L99" s="562">
        <f t="shared" si="7"/>
        <v>0</v>
      </c>
    </row>
    <row r="100" spans="1:12">
      <c r="A100" s="394">
        <f t="shared" si="6"/>
        <v>94</v>
      </c>
      <c r="B100" s="189"/>
      <c r="C100" s="189"/>
      <c r="D100" s="244" t="s">
        <v>1248</v>
      </c>
      <c r="E100" s="415" t="s">
        <v>2251</v>
      </c>
      <c r="F100" s="415" t="s">
        <v>2254</v>
      </c>
      <c r="G100" s="572">
        <v>40</v>
      </c>
      <c r="H100" s="568">
        <v>-141977.70000000001</v>
      </c>
      <c r="I100" s="189"/>
      <c r="J100" s="412"/>
      <c r="K100" s="189"/>
      <c r="L100" s="562">
        <f t="shared" si="7"/>
        <v>-141977.70000000001</v>
      </c>
    </row>
    <row r="101" spans="1:12">
      <c r="A101" s="394">
        <f t="shared" si="6"/>
        <v>95</v>
      </c>
      <c r="B101" s="189"/>
      <c r="C101" s="189"/>
      <c r="D101" s="244" t="s">
        <v>1248</v>
      </c>
      <c r="E101" s="415" t="s">
        <v>1299</v>
      </c>
      <c r="F101" s="415" t="s">
        <v>1299</v>
      </c>
      <c r="G101" s="572">
        <v>38</v>
      </c>
      <c r="H101" s="571">
        <v>7163.1</v>
      </c>
      <c r="I101" s="189"/>
      <c r="J101" s="412">
        <f>H101</f>
        <v>7163.1</v>
      </c>
      <c r="K101" s="189"/>
      <c r="L101" s="562">
        <f t="shared" si="7"/>
        <v>0</v>
      </c>
    </row>
    <row r="102" spans="1:12">
      <c r="A102" s="394">
        <f t="shared" si="6"/>
        <v>96</v>
      </c>
      <c r="B102" s="189"/>
      <c r="C102" s="189"/>
      <c r="D102" s="244" t="s">
        <v>1248</v>
      </c>
      <c r="E102" s="414" t="s">
        <v>2202</v>
      </c>
      <c r="F102" s="573" t="s">
        <v>2340</v>
      </c>
      <c r="G102" s="570">
        <v>25</v>
      </c>
      <c r="H102" s="571">
        <v>149048.01999999999</v>
      </c>
      <c r="I102" s="189"/>
      <c r="J102" s="189"/>
      <c r="K102" s="412">
        <f>H102</f>
        <v>149048.01999999999</v>
      </c>
      <c r="L102" s="562">
        <f t="shared" si="7"/>
        <v>0</v>
      </c>
    </row>
    <row r="103" spans="1:12">
      <c r="A103" s="394">
        <f t="shared" si="6"/>
        <v>97</v>
      </c>
      <c r="B103" s="189"/>
      <c r="C103" s="189"/>
      <c r="D103" s="244" t="s">
        <v>1248</v>
      </c>
      <c r="E103" s="414" t="s">
        <v>2202</v>
      </c>
      <c r="F103" s="573" t="s">
        <v>2341</v>
      </c>
      <c r="G103" s="570">
        <v>25</v>
      </c>
      <c r="H103" s="568">
        <v>99366.96</v>
      </c>
      <c r="I103" s="189"/>
      <c r="J103" s="189"/>
      <c r="K103" s="412"/>
      <c r="L103" s="562">
        <f t="shared" si="7"/>
        <v>0</v>
      </c>
    </row>
    <row r="104" spans="1:12">
      <c r="A104" s="394">
        <f t="shared" si="6"/>
        <v>98</v>
      </c>
      <c r="B104" s="189"/>
      <c r="C104" s="189"/>
      <c r="D104" s="244" t="s">
        <v>1248</v>
      </c>
      <c r="E104" s="414" t="s">
        <v>2202</v>
      </c>
      <c r="F104" s="573" t="s">
        <v>2342</v>
      </c>
      <c r="G104" s="570">
        <v>25</v>
      </c>
      <c r="H104" s="568">
        <v>-99366.96</v>
      </c>
      <c r="I104" s="189"/>
      <c r="J104" s="189"/>
      <c r="K104" s="412"/>
      <c r="L104" s="562">
        <f t="shared" si="7"/>
        <v>-99366.96</v>
      </c>
    </row>
    <row r="105" spans="1:12">
      <c r="A105" s="394">
        <f t="shared" si="6"/>
        <v>99</v>
      </c>
      <c r="B105" s="189"/>
      <c r="C105" s="189"/>
      <c r="D105" s="244" t="s">
        <v>1248</v>
      </c>
      <c r="E105" s="415" t="s">
        <v>2251</v>
      </c>
      <c r="F105" s="415" t="s">
        <v>2255</v>
      </c>
      <c r="G105" s="572">
        <v>40</v>
      </c>
      <c r="H105" s="568">
        <v>-155895.28</v>
      </c>
      <c r="I105" s="412"/>
      <c r="J105" s="189"/>
      <c r="K105" s="189"/>
      <c r="L105" s="562">
        <f t="shared" si="7"/>
        <v>-155895.28</v>
      </c>
    </row>
    <row r="106" spans="1:12">
      <c r="A106" s="394">
        <f t="shared" si="6"/>
        <v>100</v>
      </c>
      <c r="B106" s="189"/>
      <c r="C106" s="189"/>
      <c r="D106" s="244" t="s">
        <v>1248</v>
      </c>
      <c r="E106" s="415" t="s">
        <v>2251</v>
      </c>
      <c r="F106" s="415" t="s">
        <v>2256</v>
      </c>
      <c r="G106" s="572">
        <v>40</v>
      </c>
      <c r="H106" s="571">
        <v>233841.96</v>
      </c>
      <c r="I106" s="412">
        <f>H106</f>
        <v>233841.96</v>
      </c>
      <c r="J106" s="189"/>
      <c r="K106" s="189"/>
      <c r="L106" s="562">
        <f t="shared" si="7"/>
        <v>0</v>
      </c>
    </row>
    <row r="107" spans="1:12">
      <c r="A107" s="394">
        <f t="shared" si="6"/>
        <v>101</v>
      </c>
      <c r="B107" s="189"/>
      <c r="C107" s="189"/>
      <c r="D107" s="244" t="s">
        <v>1248</v>
      </c>
      <c r="E107" s="415" t="s">
        <v>1299</v>
      </c>
      <c r="F107" s="415" t="s">
        <v>1299</v>
      </c>
      <c r="G107" s="572">
        <v>38</v>
      </c>
      <c r="H107" s="571">
        <v>2953.42</v>
      </c>
      <c r="I107" s="412">
        <f>H107</f>
        <v>2953.42</v>
      </c>
      <c r="J107" s="189"/>
      <c r="K107" s="189"/>
      <c r="L107" s="562">
        <f t="shared" si="7"/>
        <v>0</v>
      </c>
    </row>
    <row r="108" spans="1:12">
      <c r="A108" s="394">
        <f t="shared" si="6"/>
        <v>102</v>
      </c>
      <c r="B108" s="189"/>
      <c r="C108" s="189"/>
      <c r="D108" s="244" t="s">
        <v>1248</v>
      </c>
      <c r="E108" s="415" t="s">
        <v>2251</v>
      </c>
      <c r="F108" s="415" t="s">
        <v>2257</v>
      </c>
      <c r="G108" s="572">
        <v>40</v>
      </c>
      <c r="H108" s="568">
        <v>155895.28</v>
      </c>
      <c r="I108" s="412"/>
      <c r="J108" s="189"/>
      <c r="K108" s="189"/>
      <c r="L108" s="562">
        <f t="shared" si="7"/>
        <v>0</v>
      </c>
    </row>
    <row r="109" spans="1:12">
      <c r="A109" s="394">
        <f t="shared" si="6"/>
        <v>103</v>
      </c>
      <c r="B109" s="189"/>
      <c r="C109" s="189"/>
      <c r="D109" s="244" t="s">
        <v>1248</v>
      </c>
      <c r="E109" s="414" t="s">
        <v>2202</v>
      </c>
      <c r="F109" s="414" t="s">
        <v>2258</v>
      </c>
      <c r="G109" s="570">
        <v>25</v>
      </c>
      <c r="H109" s="568">
        <v>108914.78</v>
      </c>
      <c r="I109" s="189"/>
      <c r="J109" s="189"/>
      <c r="K109" s="412"/>
      <c r="L109" s="562">
        <f t="shared" si="7"/>
        <v>0</v>
      </c>
    </row>
    <row r="110" spans="1:12">
      <c r="A110" s="394">
        <f t="shared" si="6"/>
        <v>104</v>
      </c>
      <c r="B110" s="189"/>
      <c r="C110" s="189"/>
      <c r="D110" s="244" t="s">
        <v>1248</v>
      </c>
      <c r="E110" s="414" t="s">
        <v>2202</v>
      </c>
      <c r="F110" s="573" t="s">
        <v>2343</v>
      </c>
      <c r="G110" s="570">
        <v>25</v>
      </c>
      <c r="H110" s="568">
        <v>-108914.78</v>
      </c>
      <c r="I110" s="189"/>
      <c r="J110" s="189"/>
      <c r="K110" s="412"/>
      <c r="L110" s="562">
        <f t="shared" si="7"/>
        <v>-108914.78</v>
      </c>
    </row>
    <row r="111" spans="1:12">
      <c r="A111" s="394">
        <f t="shared" si="6"/>
        <v>105</v>
      </c>
      <c r="B111" s="189"/>
      <c r="C111" s="189"/>
      <c r="D111" s="244" t="s">
        <v>1248</v>
      </c>
      <c r="E111" s="414" t="s">
        <v>1299</v>
      </c>
      <c r="F111" s="414" t="s">
        <v>1299</v>
      </c>
      <c r="G111" s="570">
        <v>38</v>
      </c>
      <c r="H111" s="571">
        <v>2063.39</v>
      </c>
      <c r="I111" s="189"/>
      <c r="J111" s="189"/>
      <c r="K111" s="412">
        <f>H111</f>
        <v>2063.39</v>
      </c>
      <c r="L111" s="562">
        <f t="shared" si="7"/>
        <v>0</v>
      </c>
    </row>
    <row r="112" spans="1:12">
      <c r="A112" s="394">
        <f t="shared" si="6"/>
        <v>106</v>
      </c>
      <c r="B112" s="189"/>
      <c r="C112" s="189"/>
      <c r="D112" s="244" t="s">
        <v>1248</v>
      </c>
      <c r="E112" s="414" t="s">
        <v>2202</v>
      </c>
      <c r="F112" s="414" t="s">
        <v>2259</v>
      </c>
      <c r="G112" s="570">
        <v>25</v>
      </c>
      <c r="H112" s="571">
        <v>163372.13</v>
      </c>
      <c r="I112" s="189"/>
      <c r="J112" s="189"/>
      <c r="K112" s="412">
        <f>H112</f>
        <v>163372.13</v>
      </c>
      <c r="L112" s="562">
        <f t="shared" si="7"/>
        <v>0</v>
      </c>
    </row>
    <row r="113" spans="1:12">
      <c r="A113" s="394">
        <f t="shared" si="6"/>
        <v>107</v>
      </c>
      <c r="B113" s="189"/>
      <c r="C113" s="189"/>
      <c r="D113" s="244" t="s">
        <v>1248</v>
      </c>
      <c r="E113" s="189" t="s">
        <v>2260</v>
      </c>
      <c r="F113" s="189" t="s">
        <v>2261</v>
      </c>
      <c r="G113" s="410">
        <v>28</v>
      </c>
      <c r="H113" s="571">
        <v>245700.75</v>
      </c>
      <c r="I113" s="189"/>
      <c r="J113" s="189"/>
      <c r="K113" s="189"/>
      <c r="L113" s="562">
        <f t="shared" si="7"/>
        <v>0</v>
      </c>
    </row>
    <row r="114" spans="1:12">
      <c r="A114" s="394">
        <f t="shared" si="6"/>
        <v>108</v>
      </c>
      <c r="B114" s="189"/>
      <c r="C114" s="189"/>
      <c r="D114" s="244" t="s">
        <v>1248</v>
      </c>
      <c r="E114" s="189" t="s">
        <v>1299</v>
      </c>
      <c r="F114" s="189" t="s">
        <v>1299</v>
      </c>
      <c r="G114" s="410">
        <v>38</v>
      </c>
      <c r="H114" s="571">
        <v>6505.63</v>
      </c>
      <c r="I114" s="189"/>
      <c r="J114" s="189"/>
      <c r="K114" s="189"/>
      <c r="L114" s="562">
        <f t="shared" si="7"/>
        <v>0</v>
      </c>
    </row>
    <row r="115" spans="1:12">
      <c r="A115" s="394">
        <f t="shared" si="6"/>
        <v>109</v>
      </c>
      <c r="B115" s="189"/>
      <c r="C115" s="189"/>
      <c r="D115" s="244" t="s">
        <v>1248</v>
      </c>
      <c r="E115" s="189" t="s">
        <v>2262</v>
      </c>
      <c r="F115" s="189" t="s">
        <v>2263</v>
      </c>
      <c r="G115" s="410">
        <v>28</v>
      </c>
      <c r="H115" s="571">
        <v>415589.81</v>
      </c>
      <c r="I115" s="189"/>
      <c r="J115" s="189"/>
      <c r="K115" s="189"/>
      <c r="L115" s="562">
        <f t="shared" si="7"/>
        <v>0</v>
      </c>
    </row>
    <row r="116" spans="1:12">
      <c r="A116" s="394">
        <f t="shared" si="6"/>
        <v>110</v>
      </c>
      <c r="B116" s="189"/>
      <c r="C116" s="189"/>
      <c r="D116" s="244" t="s">
        <v>1248</v>
      </c>
      <c r="E116" s="189" t="s">
        <v>1299</v>
      </c>
      <c r="F116" s="189" t="s">
        <v>1299</v>
      </c>
      <c r="G116" s="410">
        <v>38</v>
      </c>
      <c r="H116" s="571">
        <v>18109.29</v>
      </c>
      <c r="I116" s="189"/>
      <c r="J116" s="189"/>
      <c r="K116" s="189"/>
      <c r="L116" s="562">
        <f t="shared" si="7"/>
        <v>0</v>
      </c>
    </row>
    <row r="117" spans="1:12">
      <c r="A117" s="394">
        <f t="shared" si="6"/>
        <v>111</v>
      </c>
      <c r="B117" s="189"/>
      <c r="C117" s="189"/>
      <c r="D117" s="244" t="s">
        <v>1248</v>
      </c>
      <c r="E117" s="414" t="s">
        <v>2202</v>
      </c>
      <c r="F117" s="414" t="s">
        <v>2264</v>
      </c>
      <c r="G117" s="570">
        <v>25</v>
      </c>
      <c r="H117" s="571">
        <v>83712.679999999993</v>
      </c>
      <c r="I117" s="189"/>
      <c r="J117" s="189"/>
      <c r="K117" s="412">
        <f>H117</f>
        <v>83712.679999999993</v>
      </c>
      <c r="L117" s="562">
        <f t="shared" si="7"/>
        <v>0</v>
      </c>
    </row>
    <row r="118" spans="1:12">
      <c r="A118" s="394">
        <f t="shared" si="6"/>
        <v>112</v>
      </c>
      <c r="B118" s="189"/>
      <c r="C118" s="189"/>
      <c r="D118" s="244" t="s">
        <v>1248</v>
      </c>
      <c r="E118" s="414" t="s">
        <v>2202</v>
      </c>
      <c r="F118" s="414" t="s">
        <v>2265</v>
      </c>
      <c r="G118" s="570">
        <v>25</v>
      </c>
      <c r="H118" s="571">
        <v>83712.679999999993</v>
      </c>
      <c r="I118" s="189"/>
      <c r="J118" s="189"/>
      <c r="K118" s="412">
        <f>H118</f>
        <v>83712.679999999993</v>
      </c>
      <c r="L118" s="562">
        <f t="shared" si="7"/>
        <v>0</v>
      </c>
    </row>
    <row r="119" spans="1:12">
      <c r="A119" s="394">
        <f t="shared" si="6"/>
        <v>113</v>
      </c>
      <c r="B119" s="189"/>
      <c r="C119" s="189"/>
      <c r="D119" s="244" t="s">
        <v>1248</v>
      </c>
      <c r="E119" s="414" t="s">
        <v>1299</v>
      </c>
      <c r="F119" s="414" t="s">
        <v>1299</v>
      </c>
      <c r="G119" s="570">
        <v>38</v>
      </c>
      <c r="H119" s="571">
        <v>2114.58</v>
      </c>
      <c r="I119" s="189"/>
      <c r="J119" s="189"/>
      <c r="K119" s="412">
        <f>H119</f>
        <v>2114.58</v>
      </c>
      <c r="L119" s="562">
        <f t="shared" si="7"/>
        <v>0</v>
      </c>
    </row>
    <row r="120" spans="1:12">
      <c r="A120" s="394">
        <f t="shared" si="6"/>
        <v>114</v>
      </c>
      <c r="B120" s="189"/>
      <c r="C120" s="189"/>
      <c r="D120" s="244" t="s">
        <v>1248</v>
      </c>
      <c r="E120" s="189" t="s">
        <v>2260</v>
      </c>
      <c r="F120" s="34" t="s">
        <v>2266</v>
      </c>
      <c r="G120" s="410">
        <v>28</v>
      </c>
      <c r="H120" s="568">
        <v>163800.49</v>
      </c>
      <c r="I120" s="189"/>
      <c r="J120" s="189"/>
      <c r="K120" s="189"/>
      <c r="L120" s="562">
        <f t="shared" si="7"/>
        <v>0</v>
      </c>
    </row>
    <row r="121" spans="1:12">
      <c r="A121" s="394">
        <f t="shared" si="6"/>
        <v>115</v>
      </c>
      <c r="B121" s="189"/>
      <c r="C121" s="189"/>
      <c r="D121" s="244" t="s">
        <v>1248</v>
      </c>
      <c r="E121" s="189" t="s">
        <v>2260</v>
      </c>
      <c r="F121" s="34" t="s">
        <v>2267</v>
      </c>
      <c r="G121" s="410">
        <v>28</v>
      </c>
      <c r="H121" s="568">
        <v>-163800.49</v>
      </c>
      <c r="I121" s="189"/>
      <c r="J121" s="189"/>
      <c r="K121" s="189"/>
      <c r="L121" s="562">
        <f t="shared" si="7"/>
        <v>-163800.49</v>
      </c>
    </row>
    <row r="122" spans="1:12">
      <c r="A122" s="394">
        <f t="shared" si="6"/>
        <v>116</v>
      </c>
      <c r="B122" s="189"/>
      <c r="C122" s="189"/>
      <c r="D122" s="244" t="s">
        <v>1248</v>
      </c>
      <c r="E122" s="189" t="s">
        <v>2262</v>
      </c>
      <c r="F122" s="34" t="s">
        <v>2268</v>
      </c>
      <c r="G122" s="410">
        <v>28</v>
      </c>
      <c r="H122" s="568">
        <v>277059.64</v>
      </c>
      <c r="I122" s="189"/>
      <c r="J122" s="189"/>
      <c r="K122" s="189"/>
      <c r="L122" s="562">
        <f t="shared" si="7"/>
        <v>0</v>
      </c>
    </row>
    <row r="123" spans="1:12">
      <c r="A123" s="394">
        <f t="shared" si="6"/>
        <v>117</v>
      </c>
      <c r="B123" s="189"/>
      <c r="C123" s="189"/>
      <c r="D123" s="244" t="s">
        <v>1248</v>
      </c>
      <c r="E123" s="189" t="s">
        <v>2262</v>
      </c>
      <c r="F123" s="34" t="s">
        <v>2269</v>
      </c>
      <c r="G123" s="410">
        <v>28</v>
      </c>
      <c r="H123" s="568">
        <v>-277059.64</v>
      </c>
      <c r="I123" s="189"/>
      <c r="J123" s="189"/>
      <c r="K123" s="189"/>
      <c r="L123" s="562">
        <f t="shared" si="7"/>
        <v>-277059.64</v>
      </c>
    </row>
    <row r="124" spans="1:12">
      <c r="A124" s="394">
        <f t="shared" si="6"/>
        <v>118</v>
      </c>
      <c r="B124" s="189"/>
      <c r="C124" s="189"/>
      <c r="D124" s="244" t="s">
        <v>1248</v>
      </c>
      <c r="E124" s="414" t="s">
        <v>2202</v>
      </c>
      <c r="F124" s="414" t="s">
        <v>2270</v>
      </c>
      <c r="G124" s="570">
        <v>25</v>
      </c>
      <c r="H124" s="568">
        <v>55808.45</v>
      </c>
      <c r="I124" s="189"/>
      <c r="J124" s="189"/>
      <c r="K124" s="412"/>
      <c r="L124" s="562">
        <f t="shared" si="7"/>
        <v>0</v>
      </c>
    </row>
    <row r="125" spans="1:12">
      <c r="A125" s="394">
        <f t="shared" si="6"/>
        <v>119</v>
      </c>
      <c r="B125" s="189"/>
      <c r="C125" s="189"/>
      <c r="D125" s="244" t="s">
        <v>1248</v>
      </c>
      <c r="E125" s="414" t="s">
        <v>2207</v>
      </c>
      <c r="F125" s="414" t="s">
        <v>2271</v>
      </c>
      <c r="G125" s="570">
        <v>25</v>
      </c>
      <c r="H125" s="568">
        <v>-55808.45</v>
      </c>
      <c r="I125" s="189"/>
      <c r="J125" s="189"/>
      <c r="K125" s="412"/>
      <c r="L125" s="562">
        <f t="shared" si="7"/>
        <v>-55808.45</v>
      </c>
    </row>
    <row r="126" spans="1:12">
      <c r="A126" s="394">
        <f t="shared" si="6"/>
        <v>120</v>
      </c>
      <c r="B126" s="189"/>
      <c r="C126" s="189"/>
      <c r="D126" s="244" t="s">
        <v>1248</v>
      </c>
      <c r="E126" s="414" t="s">
        <v>2202</v>
      </c>
      <c r="F126" s="414" t="s">
        <v>2272</v>
      </c>
      <c r="G126" s="570">
        <v>25</v>
      </c>
      <c r="H126" s="568">
        <v>55808.45</v>
      </c>
      <c r="I126" s="189"/>
      <c r="J126" s="189"/>
      <c r="K126" s="412"/>
      <c r="L126" s="562">
        <f t="shared" si="7"/>
        <v>0</v>
      </c>
    </row>
    <row r="127" spans="1:12">
      <c r="A127" s="394">
        <f t="shared" si="6"/>
        <v>121</v>
      </c>
      <c r="B127" s="189"/>
      <c r="C127" s="189"/>
      <c r="D127" s="244" t="s">
        <v>1248</v>
      </c>
      <c r="E127" s="414" t="s">
        <v>2207</v>
      </c>
      <c r="F127" s="414" t="s">
        <v>2273</v>
      </c>
      <c r="G127" s="570">
        <v>25</v>
      </c>
      <c r="H127" s="568">
        <v>-55808.45</v>
      </c>
      <c r="I127" s="189"/>
      <c r="J127" s="189"/>
      <c r="K127" s="412"/>
      <c r="L127" s="562">
        <f t="shared" si="7"/>
        <v>-55808.45</v>
      </c>
    </row>
    <row r="128" spans="1:12">
      <c r="A128" s="394">
        <f t="shared" si="6"/>
        <v>122</v>
      </c>
      <c r="B128" s="189"/>
      <c r="C128" s="189"/>
      <c r="D128" s="244" t="s">
        <v>1248</v>
      </c>
      <c r="E128" s="189" t="s">
        <v>2274</v>
      </c>
      <c r="F128" s="189" t="s">
        <v>2275</v>
      </c>
      <c r="G128" s="410">
        <v>10</v>
      </c>
      <c r="H128" s="571">
        <v>32883.1</v>
      </c>
      <c r="I128" s="189"/>
      <c r="J128" s="189"/>
      <c r="K128" s="189"/>
      <c r="L128" s="562">
        <f t="shared" si="7"/>
        <v>0</v>
      </c>
    </row>
    <row r="129" spans="1:12">
      <c r="A129" s="394">
        <f t="shared" si="6"/>
        <v>123</v>
      </c>
      <c r="B129" s="189"/>
      <c r="C129" s="189"/>
      <c r="D129" s="244" t="s">
        <v>1248</v>
      </c>
      <c r="E129" s="189" t="s">
        <v>1299</v>
      </c>
      <c r="F129" s="189" t="s">
        <v>1299</v>
      </c>
      <c r="G129" s="410">
        <v>38</v>
      </c>
      <c r="H129" s="571">
        <v>727.97</v>
      </c>
      <c r="I129" s="189"/>
      <c r="J129" s="189"/>
      <c r="K129" s="189"/>
      <c r="L129" s="562">
        <f t="shared" si="7"/>
        <v>0</v>
      </c>
    </row>
    <row r="130" spans="1:12">
      <c r="A130" s="394">
        <f t="shared" si="6"/>
        <v>124</v>
      </c>
      <c r="B130" s="189"/>
      <c r="C130" s="189"/>
      <c r="D130" s="244" t="s">
        <v>1248</v>
      </c>
      <c r="E130" s="189" t="s">
        <v>2274</v>
      </c>
      <c r="F130" s="189" t="s">
        <v>2276</v>
      </c>
      <c r="G130" s="410">
        <v>10</v>
      </c>
      <c r="H130" s="568">
        <v>21922.13</v>
      </c>
      <c r="I130" s="189"/>
      <c r="J130" s="189"/>
      <c r="K130" s="189"/>
      <c r="L130" s="562">
        <f t="shared" si="7"/>
        <v>0</v>
      </c>
    </row>
    <row r="131" spans="1:12">
      <c r="A131" s="394">
        <f t="shared" si="6"/>
        <v>125</v>
      </c>
      <c r="B131" s="189"/>
      <c r="C131" s="189"/>
      <c r="D131" s="244" t="s">
        <v>1248</v>
      </c>
      <c r="E131" s="189" t="s">
        <v>2274</v>
      </c>
      <c r="F131" s="189" t="s">
        <v>2277</v>
      </c>
      <c r="G131" s="410">
        <v>10</v>
      </c>
      <c r="H131" s="568">
        <v>-21922.13</v>
      </c>
      <c r="I131" s="189"/>
      <c r="J131" s="189"/>
      <c r="K131" s="189"/>
      <c r="L131" s="562">
        <f t="shared" si="7"/>
        <v>-21922.13</v>
      </c>
    </row>
    <row r="132" spans="1:12">
      <c r="A132" s="394">
        <f t="shared" si="6"/>
        <v>126</v>
      </c>
      <c r="B132" s="189"/>
      <c r="C132" s="189"/>
      <c r="D132" s="244" t="s">
        <v>1248</v>
      </c>
      <c r="E132" s="189" t="s">
        <v>2278</v>
      </c>
      <c r="F132" s="189" t="s">
        <v>2279</v>
      </c>
      <c r="G132" s="410">
        <v>35</v>
      </c>
      <c r="H132" s="568">
        <v>-60049.7</v>
      </c>
      <c r="I132" s="189"/>
      <c r="J132" s="189"/>
      <c r="K132" s="189"/>
      <c r="L132" s="562">
        <f t="shared" si="7"/>
        <v>-60049.7</v>
      </c>
    </row>
    <row r="133" spans="1:12">
      <c r="A133" s="394">
        <f t="shared" si="6"/>
        <v>127</v>
      </c>
      <c r="B133" s="189"/>
      <c r="C133" s="189"/>
      <c r="D133" s="244" t="s">
        <v>1248</v>
      </c>
      <c r="E133" s="189" t="s">
        <v>2278</v>
      </c>
      <c r="F133" s="189" t="s">
        <v>2280</v>
      </c>
      <c r="G133" s="410">
        <v>35</v>
      </c>
      <c r="H133" s="571">
        <v>93331.09</v>
      </c>
      <c r="I133" s="189"/>
      <c r="J133" s="189"/>
      <c r="K133" s="189"/>
      <c r="L133" s="562">
        <f t="shared" si="7"/>
        <v>0</v>
      </c>
    </row>
    <row r="134" spans="1:12">
      <c r="A134" s="394">
        <f t="shared" si="6"/>
        <v>128</v>
      </c>
      <c r="B134" s="189"/>
      <c r="C134" s="189"/>
      <c r="D134" s="244" t="s">
        <v>1248</v>
      </c>
      <c r="E134" s="189" t="s">
        <v>1299</v>
      </c>
      <c r="F134" s="189" t="s">
        <v>1299</v>
      </c>
      <c r="G134" s="410">
        <v>38</v>
      </c>
      <c r="H134" s="571">
        <v>1178.77</v>
      </c>
      <c r="I134" s="189"/>
      <c r="J134" s="189"/>
      <c r="K134" s="189"/>
      <c r="L134" s="562">
        <f t="shared" si="7"/>
        <v>0</v>
      </c>
    </row>
    <row r="135" spans="1:12">
      <c r="A135" s="394">
        <f t="shared" si="6"/>
        <v>129</v>
      </c>
      <c r="B135" s="189"/>
      <c r="C135" s="189"/>
      <c r="D135" s="244" t="s">
        <v>1248</v>
      </c>
      <c r="E135" s="189" t="s">
        <v>2278</v>
      </c>
      <c r="F135" s="189" t="s">
        <v>2281</v>
      </c>
      <c r="G135" s="410">
        <v>35</v>
      </c>
      <c r="H135" s="568">
        <v>60049.7</v>
      </c>
      <c r="I135" s="189"/>
      <c r="J135" s="189"/>
      <c r="K135" s="189"/>
      <c r="L135" s="562">
        <f t="shared" si="7"/>
        <v>0</v>
      </c>
    </row>
    <row r="136" spans="1:12">
      <c r="A136" s="394">
        <f t="shared" si="6"/>
        <v>130</v>
      </c>
      <c r="B136" s="189"/>
      <c r="C136" s="189"/>
      <c r="D136" s="244" t="s">
        <v>1248</v>
      </c>
      <c r="E136" s="413" t="s">
        <v>2282</v>
      </c>
      <c r="F136" s="413" t="s">
        <v>2283</v>
      </c>
      <c r="G136" s="569">
        <v>31</v>
      </c>
      <c r="H136" s="568">
        <v>133129.14000000001</v>
      </c>
      <c r="I136" s="412"/>
      <c r="J136" s="189"/>
      <c r="K136" s="189"/>
      <c r="L136" s="562">
        <f t="shared" si="7"/>
        <v>0</v>
      </c>
    </row>
    <row r="137" spans="1:12">
      <c r="A137" s="394">
        <f t="shared" si="6"/>
        <v>131</v>
      </c>
      <c r="B137" s="189"/>
      <c r="C137" s="189"/>
      <c r="D137" s="244" t="s">
        <v>1248</v>
      </c>
      <c r="E137" s="413" t="s">
        <v>2282</v>
      </c>
      <c r="F137" s="413" t="s">
        <v>2283</v>
      </c>
      <c r="G137" s="569">
        <v>31</v>
      </c>
      <c r="H137" s="568">
        <v>-133129.14000000001</v>
      </c>
      <c r="I137" s="412"/>
      <c r="J137" s="189"/>
      <c r="K137" s="189"/>
      <c r="L137" s="562">
        <f t="shared" si="7"/>
        <v>-133129.14000000001</v>
      </c>
    </row>
    <row r="138" spans="1:12">
      <c r="A138" s="394">
        <f t="shared" si="6"/>
        <v>132</v>
      </c>
      <c r="B138" s="189"/>
      <c r="C138" s="189"/>
      <c r="D138" s="244" t="s">
        <v>1248</v>
      </c>
      <c r="E138" s="413" t="s">
        <v>2282</v>
      </c>
      <c r="F138" s="413" t="s">
        <v>2284</v>
      </c>
      <c r="G138" s="569">
        <v>31</v>
      </c>
      <c r="H138" s="571">
        <v>199693.54</v>
      </c>
      <c r="I138" s="412">
        <f>H138</f>
        <v>199693.54</v>
      </c>
      <c r="J138" s="189"/>
      <c r="K138" s="189"/>
      <c r="L138" s="562">
        <f t="shared" si="7"/>
        <v>0</v>
      </c>
    </row>
    <row r="139" spans="1:12">
      <c r="A139" s="394">
        <f t="shared" si="6"/>
        <v>133</v>
      </c>
      <c r="B139" s="189"/>
      <c r="C139" s="189"/>
      <c r="D139" s="244" t="s">
        <v>1248</v>
      </c>
      <c r="E139" s="413" t="s">
        <v>1299</v>
      </c>
      <c r="F139" s="413" t="s">
        <v>2285</v>
      </c>
      <c r="G139" s="569">
        <v>38</v>
      </c>
      <c r="H139" s="571">
        <v>6612.36</v>
      </c>
      <c r="I139" s="412">
        <f>H139</f>
        <v>6612.36</v>
      </c>
      <c r="J139" s="189"/>
      <c r="K139" s="189"/>
      <c r="L139" s="562">
        <f t="shared" si="7"/>
        <v>0</v>
      </c>
    </row>
    <row r="140" spans="1:12">
      <c r="A140" s="394">
        <f t="shared" si="6"/>
        <v>134</v>
      </c>
      <c r="B140" s="189"/>
      <c r="C140" s="189"/>
      <c r="D140" s="244" t="s">
        <v>1248</v>
      </c>
      <c r="E140" s="189" t="s">
        <v>2286</v>
      </c>
      <c r="F140" s="189" t="s">
        <v>2287</v>
      </c>
      <c r="G140" s="410">
        <v>10</v>
      </c>
      <c r="H140" s="571">
        <v>64811.55</v>
      </c>
      <c r="I140" s="189"/>
      <c r="J140" s="189"/>
      <c r="K140" s="189"/>
      <c r="L140" s="562">
        <f t="shared" si="7"/>
        <v>0</v>
      </c>
    </row>
    <row r="141" spans="1:12">
      <c r="A141" s="394">
        <f t="shared" si="6"/>
        <v>135</v>
      </c>
      <c r="B141" s="189"/>
      <c r="C141" s="189"/>
      <c r="D141" s="244" t="s">
        <v>1248</v>
      </c>
      <c r="E141" s="189" t="s">
        <v>1299</v>
      </c>
      <c r="F141" s="189" t="s">
        <v>1299</v>
      </c>
      <c r="G141" s="410">
        <v>38</v>
      </c>
      <c r="H141" s="571">
        <v>816.99</v>
      </c>
      <c r="I141" s="189"/>
      <c r="J141" s="189"/>
      <c r="K141" s="189"/>
      <c r="L141" s="562">
        <f t="shared" si="7"/>
        <v>0</v>
      </c>
    </row>
    <row r="142" spans="1:12">
      <c r="A142" s="394">
        <f t="shared" si="6"/>
        <v>136</v>
      </c>
      <c r="B142" s="189"/>
      <c r="C142" s="189"/>
      <c r="D142" s="244" t="s">
        <v>1248</v>
      </c>
      <c r="E142" s="189" t="s">
        <v>1336</v>
      </c>
      <c r="F142" s="189" t="s">
        <v>2288</v>
      </c>
      <c r="G142" s="410">
        <v>10</v>
      </c>
      <c r="H142" s="571">
        <v>58667</v>
      </c>
      <c r="I142" s="189"/>
      <c r="J142" s="189"/>
      <c r="K142" s="189"/>
      <c r="L142" s="562">
        <f t="shared" si="7"/>
        <v>0</v>
      </c>
    </row>
    <row r="143" spans="1:12">
      <c r="A143" s="394">
        <f t="shared" si="6"/>
        <v>137</v>
      </c>
      <c r="B143" s="189"/>
      <c r="C143" s="189"/>
      <c r="D143" s="244" t="s">
        <v>1248</v>
      </c>
      <c r="E143" s="189" t="s">
        <v>1299</v>
      </c>
      <c r="F143" s="189" t="s">
        <v>1299</v>
      </c>
      <c r="G143" s="410">
        <v>38</v>
      </c>
      <c r="H143" s="571">
        <v>2029.39</v>
      </c>
      <c r="I143" s="189"/>
      <c r="J143" s="189"/>
      <c r="K143" s="189"/>
      <c r="L143" s="562">
        <f t="shared" si="7"/>
        <v>0</v>
      </c>
    </row>
    <row r="144" spans="1:12">
      <c r="A144" s="394">
        <f t="shared" si="6"/>
        <v>138</v>
      </c>
      <c r="B144" s="189"/>
      <c r="C144" s="189"/>
      <c r="D144" s="244" t="s">
        <v>1248</v>
      </c>
      <c r="E144" s="189" t="s">
        <v>1299</v>
      </c>
      <c r="F144" s="189" t="s">
        <v>1299</v>
      </c>
      <c r="G144" s="410">
        <v>38</v>
      </c>
      <c r="H144" s="571">
        <v>1138051.08</v>
      </c>
      <c r="I144" s="189"/>
      <c r="J144" s="189"/>
      <c r="K144" s="189"/>
      <c r="L144" s="562">
        <f t="shared" si="7"/>
        <v>0</v>
      </c>
    </row>
    <row r="145" spans="1:12">
      <c r="A145" s="394">
        <f t="shared" si="6"/>
        <v>139</v>
      </c>
      <c r="B145" s="189"/>
      <c r="C145" s="189"/>
      <c r="D145" s="244" t="s">
        <v>1248</v>
      </c>
      <c r="E145" s="189" t="s">
        <v>1300</v>
      </c>
      <c r="F145" s="189" t="s">
        <v>1300</v>
      </c>
      <c r="G145" s="410">
        <v>1</v>
      </c>
      <c r="H145" s="571">
        <v>100652.95</v>
      </c>
      <c r="I145" s="189"/>
      <c r="J145" s="189"/>
      <c r="K145" s="189"/>
      <c r="L145" s="562">
        <f t="shared" si="7"/>
        <v>0</v>
      </c>
    </row>
    <row r="146" spans="1:12">
      <c r="A146" s="394">
        <f t="shared" si="6"/>
        <v>140</v>
      </c>
      <c r="B146" s="189"/>
      <c r="C146" s="189"/>
      <c r="D146" s="244" t="s">
        <v>1248</v>
      </c>
      <c r="E146" s="189" t="s">
        <v>2289</v>
      </c>
      <c r="F146" s="189" t="s">
        <v>2289</v>
      </c>
      <c r="G146" s="410">
        <v>45</v>
      </c>
      <c r="H146" s="571">
        <v>19589.14</v>
      </c>
      <c r="I146" s="189"/>
      <c r="J146" s="189"/>
      <c r="K146" s="189"/>
      <c r="L146" s="562">
        <f t="shared" si="7"/>
        <v>0</v>
      </c>
    </row>
    <row r="147" spans="1:12">
      <c r="A147" s="394">
        <f t="shared" si="6"/>
        <v>141</v>
      </c>
      <c r="B147" s="189"/>
      <c r="C147" s="189"/>
      <c r="D147" s="244" t="s">
        <v>1248</v>
      </c>
      <c r="E147" s="189" t="s">
        <v>1299</v>
      </c>
      <c r="F147" s="189" t="s">
        <v>1299</v>
      </c>
      <c r="G147" s="410">
        <v>38</v>
      </c>
      <c r="H147" s="571">
        <v>1437.9</v>
      </c>
      <c r="I147" s="189"/>
      <c r="J147" s="189"/>
      <c r="K147" s="189"/>
      <c r="L147" s="562">
        <f t="shared" si="7"/>
        <v>0</v>
      </c>
    </row>
    <row r="148" spans="1:12">
      <c r="A148" s="394">
        <f t="shared" si="6"/>
        <v>142</v>
      </c>
      <c r="B148" s="189"/>
      <c r="C148" s="189"/>
      <c r="D148" s="244" t="s">
        <v>1248</v>
      </c>
      <c r="E148" s="189" t="s">
        <v>2290</v>
      </c>
      <c r="F148" s="189" t="s">
        <v>2290</v>
      </c>
      <c r="G148" s="410">
        <v>31</v>
      </c>
      <c r="H148" s="571">
        <v>21828.02</v>
      </c>
      <c r="I148" s="189"/>
      <c r="J148" s="189"/>
      <c r="K148" s="189"/>
      <c r="L148" s="562">
        <f t="shared" si="7"/>
        <v>0</v>
      </c>
    </row>
    <row r="149" spans="1:12">
      <c r="A149" s="394">
        <f t="shared" si="6"/>
        <v>143</v>
      </c>
      <c r="B149" s="189"/>
      <c r="C149" s="189"/>
      <c r="D149" s="244" t="s">
        <v>1248</v>
      </c>
      <c r="E149" s="189" t="s">
        <v>2291</v>
      </c>
      <c r="F149" s="189" t="s">
        <v>2291</v>
      </c>
      <c r="G149" s="410">
        <v>50</v>
      </c>
      <c r="H149" s="571">
        <v>1177070.23</v>
      </c>
      <c r="I149" s="189"/>
      <c r="J149" s="189"/>
      <c r="K149" s="189"/>
      <c r="L149" s="562">
        <f t="shared" si="7"/>
        <v>0</v>
      </c>
    </row>
    <row r="150" spans="1:12">
      <c r="A150" s="394">
        <f t="shared" si="6"/>
        <v>144</v>
      </c>
      <c r="B150" s="189"/>
      <c r="C150" s="189"/>
      <c r="D150" s="244" t="s">
        <v>1248</v>
      </c>
      <c r="E150" s="189" t="s">
        <v>2292</v>
      </c>
      <c r="F150" s="189" t="s">
        <v>2292</v>
      </c>
      <c r="G150" s="410">
        <v>15</v>
      </c>
      <c r="H150" s="571">
        <v>50800.39</v>
      </c>
      <c r="I150" s="189"/>
      <c r="J150" s="189"/>
      <c r="K150" s="189"/>
      <c r="L150" s="562">
        <f t="shared" si="7"/>
        <v>0</v>
      </c>
    </row>
    <row r="151" spans="1:12">
      <c r="A151" s="394">
        <f t="shared" si="6"/>
        <v>145</v>
      </c>
      <c r="B151" s="189"/>
      <c r="C151" s="189"/>
      <c r="D151" s="244" t="s">
        <v>1248</v>
      </c>
      <c r="E151" s="189" t="s">
        <v>1299</v>
      </c>
      <c r="F151" s="189" t="s">
        <v>1299</v>
      </c>
      <c r="G151" s="410">
        <v>38</v>
      </c>
      <c r="H151" s="571">
        <v>22847.89</v>
      </c>
      <c r="I151" s="189"/>
      <c r="J151" s="189"/>
      <c r="K151" s="189"/>
      <c r="L151" s="562">
        <f t="shared" si="7"/>
        <v>0</v>
      </c>
    </row>
    <row r="152" spans="1:12">
      <c r="A152" s="394">
        <f t="shared" si="6"/>
        <v>146</v>
      </c>
      <c r="B152" s="189"/>
      <c r="C152" s="189"/>
      <c r="D152" s="244" t="s">
        <v>1248</v>
      </c>
      <c r="E152" s="189" t="s">
        <v>2293</v>
      </c>
      <c r="F152" s="189" t="s">
        <v>2293</v>
      </c>
      <c r="G152" s="410">
        <v>50</v>
      </c>
      <c r="H152" s="571">
        <v>178309.19</v>
      </c>
      <c r="I152" s="189"/>
      <c r="J152" s="189"/>
      <c r="K152" s="189"/>
      <c r="L152" s="562">
        <f t="shared" si="7"/>
        <v>0</v>
      </c>
    </row>
    <row r="153" spans="1:12">
      <c r="A153" s="394">
        <f t="shared" si="6"/>
        <v>147</v>
      </c>
      <c r="B153" s="189"/>
      <c r="C153" s="189"/>
      <c r="D153" s="244" t="s">
        <v>1248</v>
      </c>
      <c r="E153" s="189" t="s">
        <v>2294</v>
      </c>
      <c r="F153" s="189" t="s">
        <v>2294</v>
      </c>
      <c r="G153" s="410">
        <v>50</v>
      </c>
      <c r="H153" s="571">
        <v>5064.49</v>
      </c>
      <c r="I153" s="189"/>
      <c r="J153" s="189"/>
      <c r="K153" s="189"/>
      <c r="L153" s="562">
        <f t="shared" si="7"/>
        <v>0</v>
      </c>
    </row>
    <row r="154" spans="1:12">
      <c r="A154" s="394">
        <f t="shared" si="6"/>
        <v>148</v>
      </c>
      <c r="B154" s="189"/>
      <c r="C154" s="189"/>
      <c r="D154" s="244" t="s">
        <v>1248</v>
      </c>
      <c r="E154" s="189" t="s">
        <v>2295</v>
      </c>
      <c r="F154" s="189" t="s">
        <v>2296</v>
      </c>
      <c r="G154" s="410">
        <v>28</v>
      </c>
      <c r="H154" s="571">
        <v>2278686.5099999998</v>
      </c>
      <c r="I154" s="189"/>
      <c r="J154" s="189"/>
      <c r="K154" s="189"/>
      <c r="L154" s="562">
        <f t="shared" si="7"/>
        <v>0</v>
      </c>
    </row>
    <row r="155" spans="1:12">
      <c r="A155" s="394">
        <f t="shared" ref="A155:A175" si="8">A154+1</f>
        <v>149</v>
      </c>
      <c r="B155" s="189"/>
      <c r="C155" s="189"/>
      <c r="D155" s="244" t="s">
        <v>1248</v>
      </c>
      <c r="E155" s="414" t="s">
        <v>2358</v>
      </c>
      <c r="F155" s="414" t="s">
        <v>2354</v>
      </c>
      <c r="G155" s="570">
        <v>25</v>
      </c>
      <c r="H155" s="571">
        <v>14685517.220000001</v>
      </c>
      <c r="I155" s="189"/>
      <c r="J155" s="189"/>
      <c r="K155" s="412">
        <f>H155*91/(91+150)</f>
        <v>5545153.8050622409</v>
      </c>
      <c r="L155" s="562">
        <f t="shared" si="7"/>
        <v>0</v>
      </c>
    </row>
    <row r="156" spans="1:12">
      <c r="A156" s="394">
        <f t="shared" si="8"/>
        <v>150</v>
      </c>
      <c r="B156" s="189"/>
      <c r="C156" s="189"/>
      <c r="D156" s="244" t="s">
        <v>1248</v>
      </c>
      <c r="E156" s="189" t="s">
        <v>2297</v>
      </c>
      <c r="F156" s="189" t="s">
        <v>2298</v>
      </c>
      <c r="G156" s="410">
        <v>40</v>
      </c>
      <c r="H156" s="571">
        <v>9425.77</v>
      </c>
      <c r="I156" s="189"/>
      <c r="J156" s="189"/>
      <c r="K156" s="189"/>
      <c r="L156" s="562">
        <f t="shared" si="7"/>
        <v>0</v>
      </c>
    </row>
    <row r="157" spans="1:12">
      <c r="A157" s="394">
        <f t="shared" si="8"/>
        <v>151</v>
      </c>
      <c r="B157" s="189"/>
      <c r="C157" s="189"/>
      <c r="D157" s="244" t="s">
        <v>1248</v>
      </c>
      <c r="E157" s="189" t="s">
        <v>1299</v>
      </c>
      <c r="F157" s="189" t="s">
        <v>1299</v>
      </c>
      <c r="G157" s="410">
        <v>38</v>
      </c>
      <c r="H157" s="571">
        <v>333.89</v>
      </c>
      <c r="I157" s="189"/>
      <c r="J157" s="189"/>
      <c r="K157" s="189"/>
      <c r="L157" s="562">
        <f t="shared" si="7"/>
        <v>0</v>
      </c>
    </row>
    <row r="158" spans="1:12">
      <c r="A158" s="394">
        <f t="shared" si="8"/>
        <v>152</v>
      </c>
      <c r="B158" s="189"/>
      <c r="C158" s="189"/>
      <c r="D158" s="244" t="s">
        <v>1248</v>
      </c>
      <c r="E158" s="189" t="s">
        <v>1299</v>
      </c>
      <c r="F158" s="189" t="s">
        <v>1299</v>
      </c>
      <c r="G158" s="410">
        <v>38</v>
      </c>
      <c r="H158" s="571">
        <v>11462.48</v>
      </c>
      <c r="I158" s="189"/>
      <c r="J158" s="189"/>
      <c r="K158" s="189"/>
      <c r="L158" s="562">
        <f t="shared" si="7"/>
        <v>0</v>
      </c>
    </row>
    <row r="159" spans="1:12">
      <c r="A159" s="394">
        <f t="shared" si="8"/>
        <v>153</v>
      </c>
      <c r="B159" s="189"/>
      <c r="C159" s="189"/>
      <c r="D159" s="244" t="s">
        <v>1248</v>
      </c>
      <c r="E159" s="189" t="s">
        <v>2209</v>
      </c>
      <c r="F159" s="189" t="s">
        <v>2209</v>
      </c>
      <c r="G159" s="410">
        <v>35</v>
      </c>
      <c r="H159" s="571">
        <v>79396.320000000007</v>
      </c>
      <c r="I159" s="189"/>
      <c r="J159" s="189"/>
      <c r="K159" s="189"/>
      <c r="L159" s="562">
        <f t="shared" si="7"/>
        <v>0</v>
      </c>
    </row>
    <row r="160" spans="1:12">
      <c r="A160" s="394">
        <f t="shared" si="8"/>
        <v>154</v>
      </c>
      <c r="B160" s="189"/>
      <c r="C160" s="189"/>
      <c r="D160" s="244" t="s">
        <v>1248</v>
      </c>
      <c r="E160" s="189" t="s">
        <v>2289</v>
      </c>
      <c r="F160" s="189" t="s">
        <v>2299</v>
      </c>
      <c r="G160" s="410">
        <v>45</v>
      </c>
      <c r="H160" s="568">
        <v>48089.919999999998</v>
      </c>
      <c r="I160" s="189"/>
      <c r="J160" s="189"/>
      <c r="K160" s="189"/>
      <c r="L160" s="562">
        <f t="shared" si="7"/>
        <v>0</v>
      </c>
    </row>
    <row r="161" spans="1:12">
      <c r="A161" s="394">
        <f t="shared" si="8"/>
        <v>155</v>
      </c>
      <c r="B161" s="189"/>
      <c r="C161" s="189"/>
      <c r="D161" s="244" t="s">
        <v>1248</v>
      </c>
      <c r="E161" s="189" t="s">
        <v>1300</v>
      </c>
      <c r="F161" s="189" t="s">
        <v>1300</v>
      </c>
      <c r="G161" s="410">
        <v>1</v>
      </c>
      <c r="H161" s="568">
        <v>67101.960000000006</v>
      </c>
      <c r="I161" s="189"/>
      <c r="J161" s="189"/>
      <c r="K161" s="189"/>
      <c r="L161" s="562">
        <f t="shared" ref="L161:L174" si="9">IF(H161&lt;0,H161,0)</f>
        <v>0</v>
      </c>
    </row>
    <row r="162" spans="1:12">
      <c r="A162" s="394">
        <f t="shared" si="8"/>
        <v>156</v>
      </c>
      <c r="B162" s="189"/>
      <c r="C162" s="189"/>
      <c r="D162" s="244" t="s">
        <v>1248</v>
      </c>
      <c r="E162" s="189" t="s">
        <v>2291</v>
      </c>
      <c r="F162" s="189" t="s">
        <v>2291</v>
      </c>
      <c r="G162" s="410">
        <v>50</v>
      </c>
      <c r="H162" s="568">
        <v>784713.49</v>
      </c>
      <c r="I162" s="189"/>
      <c r="J162" s="189"/>
      <c r="K162" s="189"/>
      <c r="L162" s="562">
        <f t="shared" si="9"/>
        <v>0</v>
      </c>
    </row>
    <row r="163" spans="1:12">
      <c r="A163" s="394">
        <f t="shared" si="8"/>
        <v>157</v>
      </c>
      <c r="B163" s="189"/>
      <c r="C163" s="189"/>
      <c r="D163" s="244" t="s">
        <v>1248</v>
      </c>
      <c r="E163" s="189" t="s">
        <v>2295</v>
      </c>
      <c r="F163" s="189" t="s">
        <v>2296</v>
      </c>
      <c r="G163" s="410">
        <v>28</v>
      </c>
      <c r="H163" s="568">
        <v>1524607.18</v>
      </c>
      <c r="I163" s="189"/>
      <c r="J163" s="189"/>
      <c r="K163" s="189"/>
      <c r="L163" s="562">
        <f t="shared" si="9"/>
        <v>0</v>
      </c>
    </row>
    <row r="164" spans="1:12">
      <c r="A164" s="394">
        <f t="shared" si="8"/>
        <v>158</v>
      </c>
      <c r="B164" s="189"/>
      <c r="C164" s="189"/>
      <c r="D164" s="244" t="s">
        <v>1248</v>
      </c>
      <c r="E164" s="414" t="s">
        <v>2354</v>
      </c>
      <c r="F164" s="414" t="s">
        <v>2354</v>
      </c>
      <c r="G164" s="570">
        <v>25</v>
      </c>
      <c r="H164" s="568">
        <v>8362221.8099999996</v>
      </c>
      <c r="I164" s="189"/>
      <c r="J164" s="189"/>
      <c r="K164" s="189"/>
      <c r="L164" s="562">
        <f t="shared" si="9"/>
        <v>0</v>
      </c>
    </row>
    <row r="165" spans="1:12">
      <c r="A165" s="394">
        <f t="shared" si="8"/>
        <v>159</v>
      </c>
      <c r="B165" s="189"/>
      <c r="C165" s="189"/>
      <c r="D165" s="244" t="s">
        <v>1248</v>
      </c>
      <c r="E165" s="189" t="s">
        <v>2292</v>
      </c>
      <c r="F165" s="189" t="s">
        <v>2292</v>
      </c>
      <c r="G165" s="410">
        <v>15</v>
      </c>
      <c r="H165" s="568">
        <v>33866.93</v>
      </c>
      <c r="I165" s="189"/>
      <c r="J165" s="189"/>
      <c r="K165" s="189"/>
      <c r="L165" s="562">
        <f t="shared" si="9"/>
        <v>0</v>
      </c>
    </row>
    <row r="166" spans="1:12">
      <c r="A166" s="394">
        <f t="shared" si="8"/>
        <v>160</v>
      </c>
      <c r="B166" s="189"/>
      <c r="C166" s="189"/>
      <c r="D166" s="244" t="s">
        <v>1248</v>
      </c>
      <c r="E166" s="189" t="s">
        <v>2289</v>
      </c>
      <c r="F166" s="189" t="s">
        <v>2300</v>
      </c>
      <c r="G166" s="410">
        <v>45</v>
      </c>
      <c r="H166" s="568">
        <v>-48089.919999999998</v>
      </c>
      <c r="I166" s="189"/>
      <c r="J166" s="189"/>
      <c r="K166" s="189"/>
      <c r="L166" s="562">
        <f t="shared" si="9"/>
        <v>-48089.919999999998</v>
      </c>
    </row>
    <row r="167" spans="1:12">
      <c r="A167" s="394">
        <f t="shared" si="8"/>
        <v>161</v>
      </c>
      <c r="B167" s="189"/>
      <c r="C167" s="189"/>
      <c r="D167" s="244" t="s">
        <v>1248</v>
      </c>
      <c r="E167" s="189" t="s">
        <v>2301</v>
      </c>
      <c r="F167" s="189" t="s">
        <v>2302</v>
      </c>
      <c r="G167" s="410">
        <v>1</v>
      </c>
      <c r="H167" s="568">
        <v>-67101.960000000006</v>
      </c>
      <c r="I167" s="189"/>
      <c r="J167" s="189"/>
      <c r="K167" s="189"/>
      <c r="L167" s="562">
        <f t="shared" si="9"/>
        <v>-67101.960000000006</v>
      </c>
    </row>
    <row r="168" spans="1:12">
      <c r="A168" s="394">
        <f t="shared" si="8"/>
        <v>162</v>
      </c>
      <c r="B168" s="189"/>
      <c r="C168" s="189"/>
      <c r="D168" s="244" t="s">
        <v>1248</v>
      </c>
      <c r="E168" s="189" t="s">
        <v>2291</v>
      </c>
      <c r="F168" s="189" t="s">
        <v>2303</v>
      </c>
      <c r="G168" s="410">
        <v>50</v>
      </c>
      <c r="H168" s="568">
        <v>-784713.49</v>
      </c>
      <c r="I168" s="189"/>
      <c r="J168" s="189"/>
      <c r="K168" s="189"/>
      <c r="L168" s="562">
        <f t="shared" si="9"/>
        <v>-784713.49</v>
      </c>
    </row>
    <row r="169" spans="1:12">
      <c r="A169" s="394">
        <f t="shared" si="8"/>
        <v>163</v>
      </c>
      <c r="B169" s="189"/>
      <c r="C169" s="189"/>
      <c r="D169" s="244" t="s">
        <v>1248</v>
      </c>
      <c r="E169" s="189" t="s">
        <v>2304</v>
      </c>
      <c r="F169" s="189" t="s">
        <v>2305</v>
      </c>
      <c r="G169" s="410">
        <v>28</v>
      </c>
      <c r="H169" s="568">
        <v>-1524607.18</v>
      </c>
      <c r="I169" s="189"/>
      <c r="J169" s="189"/>
      <c r="K169" s="189"/>
      <c r="L169" s="562">
        <f t="shared" si="9"/>
        <v>-1524607.18</v>
      </c>
    </row>
    <row r="170" spans="1:12">
      <c r="A170" s="394">
        <f t="shared" si="8"/>
        <v>164</v>
      </c>
      <c r="B170" s="189"/>
      <c r="C170" s="189"/>
      <c r="D170" s="244" t="s">
        <v>1248</v>
      </c>
      <c r="E170" s="414" t="s">
        <v>2354</v>
      </c>
      <c r="F170" s="414" t="s">
        <v>2355</v>
      </c>
      <c r="G170" s="570">
        <v>25</v>
      </c>
      <c r="H170" s="568">
        <v>-8362221.8099999996</v>
      </c>
      <c r="I170" s="189"/>
      <c r="J170" s="189"/>
      <c r="K170" s="189"/>
      <c r="L170" s="562">
        <f>IF(H170&lt;0,H170,0)</f>
        <v>-8362221.8099999996</v>
      </c>
    </row>
    <row r="171" spans="1:12">
      <c r="A171" s="394">
        <f t="shared" si="8"/>
        <v>165</v>
      </c>
      <c r="B171" s="189"/>
      <c r="C171" s="189"/>
      <c r="D171" s="244" t="s">
        <v>1248</v>
      </c>
      <c r="E171" s="189" t="s">
        <v>2306</v>
      </c>
      <c r="F171" s="189" t="s">
        <v>2307</v>
      </c>
      <c r="G171" s="410">
        <v>15</v>
      </c>
      <c r="H171" s="568">
        <v>-33866.93</v>
      </c>
      <c r="I171" s="189"/>
      <c r="J171" s="189"/>
      <c r="K171" s="189"/>
      <c r="L171" s="562">
        <f t="shared" si="9"/>
        <v>-33866.93</v>
      </c>
    </row>
    <row r="172" spans="1:12">
      <c r="A172" s="394">
        <f t="shared" si="8"/>
        <v>166</v>
      </c>
      <c r="B172" s="189"/>
      <c r="C172" s="189"/>
      <c r="D172" s="244" t="s">
        <v>1248</v>
      </c>
      <c r="E172" s="189" t="s">
        <v>2308</v>
      </c>
      <c r="F172" s="189" t="s">
        <v>2309</v>
      </c>
      <c r="G172" s="410">
        <v>28</v>
      </c>
      <c r="H172" s="571">
        <v>47647.16</v>
      </c>
      <c r="I172" s="189"/>
      <c r="J172" s="189"/>
      <c r="K172" s="189"/>
      <c r="L172" s="562">
        <f t="shared" si="9"/>
        <v>0</v>
      </c>
    </row>
    <row r="173" spans="1:12">
      <c r="A173" s="394">
        <f t="shared" si="8"/>
        <v>167</v>
      </c>
      <c r="B173" s="189"/>
      <c r="C173" s="189"/>
      <c r="D173" s="244" t="s">
        <v>1248</v>
      </c>
      <c r="E173" s="189" t="s">
        <v>2251</v>
      </c>
      <c r="F173" s="189" t="s">
        <v>2310</v>
      </c>
      <c r="G173" s="410">
        <v>40</v>
      </c>
      <c r="H173" s="571">
        <v>49757.29</v>
      </c>
      <c r="I173" s="189"/>
      <c r="J173" s="189"/>
      <c r="K173" s="189"/>
      <c r="L173" s="562">
        <f t="shared" si="9"/>
        <v>0</v>
      </c>
    </row>
    <row r="174" spans="1:12">
      <c r="A174" s="394">
        <f t="shared" si="8"/>
        <v>168</v>
      </c>
      <c r="B174" s="189"/>
      <c r="C174" s="189"/>
      <c r="D174" s="244" t="s">
        <v>1248</v>
      </c>
      <c r="E174" s="189" t="s">
        <v>1299</v>
      </c>
      <c r="F174" s="66" t="s">
        <v>2311</v>
      </c>
      <c r="G174" s="410">
        <v>38</v>
      </c>
      <c r="H174" s="571">
        <v>12873.85</v>
      </c>
      <c r="I174" s="66"/>
      <c r="J174" s="66"/>
      <c r="K174" s="66"/>
      <c r="L174" s="574">
        <f t="shared" si="9"/>
        <v>0</v>
      </c>
    </row>
    <row r="175" spans="1:12" ht="13.5" thickBot="1">
      <c r="A175" s="394">
        <f t="shared" si="8"/>
        <v>169</v>
      </c>
      <c r="B175" s="189"/>
      <c r="C175" s="189"/>
      <c r="D175" s="189"/>
      <c r="E175" s="196" t="s">
        <v>84</v>
      </c>
      <c r="F175" s="77"/>
      <c r="G175" s="77"/>
      <c r="H175" s="575">
        <f>SUM(H33:H174)</f>
        <v>23723379.400000002</v>
      </c>
      <c r="I175" s="441">
        <f>SUM(I33:I174)</f>
        <v>834748.35000000009</v>
      </c>
      <c r="J175" s="442">
        <f t="shared" ref="J175" si="10">SUM(J33:J174)</f>
        <v>224032.51</v>
      </c>
      <c r="K175" s="443">
        <f>SUM(K33:K174)</f>
        <v>6724616.2650622409</v>
      </c>
      <c r="L175" s="576">
        <f>SUM(L33:L174)</f>
        <v>-13249474.93</v>
      </c>
    </row>
    <row r="176" spans="1:12" ht="13.5" thickTop="1">
      <c r="A176" s="451" t="s">
        <v>2359</v>
      </c>
      <c r="B176" s="577"/>
      <c r="C176" s="189"/>
      <c r="D176" s="189"/>
      <c r="E176" s="189"/>
      <c r="F176" s="189"/>
      <c r="G176" s="189"/>
      <c r="H176" s="189"/>
      <c r="I176" s="189"/>
      <c r="J176" s="189"/>
      <c r="K176" s="189"/>
      <c r="L176" s="189"/>
    </row>
    <row r="177" spans="1:16">
      <c r="A177" s="578" t="s">
        <v>2344</v>
      </c>
      <c r="B177" s="577"/>
      <c r="C177" s="189"/>
      <c r="D177" s="189"/>
      <c r="E177" s="189"/>
      <c r="F177" s="189"/>
      <c r="H177" s="189"/>
      <c r="I177" s="189"/>
      <c r="J177" s="189"/>
      <c r="K177" s="189"/>
      <c r="L177" s="189"/>
    </row>
    <row r="178" spans="1:16">
      <c r="A178" s="451" t="s">
        <v>2360</v>
      </c>
      <c r="B178" s="577"/>
      <c r="C178" s="189"/>
      <c r="D178" s="189"/>
      <c r="E178" s="189"/>
      <c r="F178" s="189"/>
      <c r="G178" s="189"/>
      <c r="H178" s="189"/>
      <c r="I178" s="189"/>
      <c r="J178" s="189"/>
      <c r="K178" s="189"/>
      <c r="L178" s="189"/>
      <c r="M178" s="404"/>
      <c r="N178" s="405"/>
      <c r="O178" s="405"/>
      <c r="P178" s="406"/>
    </row>
  </sheetData>
  <mergeCells count="3">
    <mergeCell ref="E24:L24"/>
    <mergeCell ref="E25:L26"/>
    <mergeCell ref="I17:J17"/>
  </mergeCells>
  <hyperlinks>
    <hyperlink ref="F1" location="'Cover Sheets'!A18" display="(Back to Worksheet Links)" xr:uid="{F7584EF9-3E2C-4497-AAF0-D7B26A1BA6E3}"/>
  </hyperlinks>
  <pageMargins left="0.7" right="0.7" top="0.75" bottom="0.75" header="0.3" footer="0.3"/>
  <pageSetup paperSize="17" scale="84" fitToHeight="3" orientation="landscape" r:id="rId1"/>
  <headerFooter>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C28D0B71819E8428140FBAD1F99BE6C" ma:contentTypeVersion="4" ma:contentTypeDescription="Create a new document." ma:contentTypeScope="" ma:versionID="7c9ff42cc775f3f601e456908dd156f9">
  <xsd:schema xmlns:xsd="http://www.w3.org/2001/XMLSchema" xmlns:xs="http://www.w3.org/2001/XMLSchema" xmlns:p="http://schemas.microsoft.com/office/2006/metadata/properties" xmlns:ns2="de49e813-0761-4863-a94b-82295b623672" targetNamespace="http://schemas.microsoft.com/office/2006/metadata/properties" ma:root="true" ma:fieldsID="a9b6e2be1f7b2b46683f1a4e2c6add9b" ns2:_="">
    <xsd:import namespace="de49e813-0761-4863-a94b-82295b62367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49e813-0761-4863-a94b-82295b6236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3B081-7BA3-4A85-B85D-B02FAE868C3A}">
  <ds:schemaRefs>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de49e813-0761-4863-a94b-82295b623672"/>
    <ds:schemaRef ds:uri="http://purl.org/dc/dcmitype/"/>
  </ds:schemaRefs>
</ds:datastoreItem>
</file>

<file path=customXml/itemProps2.xml><?xml version="1.0" encoding="utf-8"?>
<ds:datastoreItem xmlns:ds="http://schemas.openxmlformats.org/officeDocument/2006/customXml" ds:itemID="{76292B7F-986E-4B91-A299-E4720B48AC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49e813-0761-4863-a94b-82295b6236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CA563F-287F-4C85-86AA-779F85D14B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 Sheets</vt:lpstr>
      <vt:lpstr>Summary-TrueUp</vt:lpstr>
      <vt:lpstr>Rev Log</vt:lpstr>
      <vt:lpstr>WS1-ATRR RateBase</vt:lpstr>
      <vt:lpstr>WS2-RevCredits</vt:lpstr>
      <vt:lpstr>WS3-CostData</vt:lpstr>
      <vt:lpstr>WS4-TransFac</vt:lpstr>
      <vt:lpstr>WS5-FacDetail</vt:lpstr>
      <vt:lpstr>WS6-AI Detail</vt:lpstr>
      <vt:lpstr>WS7-IMEU</vt:lpstr>
      <vt:lpstr>'Cover Sheets'!Print_Area</vt:lpstr>
      <vt:lpstr>'Rev Log'!Print_Area</vt:lpstr>
      <vt:lpstr>'Summary-TrueUp'!Print_Area</vt:lpstr>
      <vt:lpstr>'WS1-ATRR RateBase'!Print_Area</vt:lpstr>
      <vt:lpstr>'WS2-RevCredits'!Print_Area</vt:lpstr>
      <vt:lpstr>'WS3-CostData'!Print_Area</vt:lpstr>
      <vt:lpstr>'WS4-TransFac'!Print_Area</vt:lpstr>
      <vt:lpstr>'WS5-FacDetail'!Print_Area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Baker, Sara</dc:creator>
  <cp:keywords/>
  <dc:description/>
  <cp:lastModifiedBy>Sanders, Steven</cp:lastModifiedBy>
  <cp:revision/>
  <cp:lastPrinted>2025-07-08T13:27:32Z</cp:lastPrinted>
  <dcterms:created xsi:type="dcterms:W3CDTF">2016-09-02T15:10:22Z</dcterms:created>
  <dcterms:modified xsi:type="dcterms:W3CDTF">2025-07-08T13:48:29Z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0x0101003C28D0B71819E8428140FBAD1F99BE6C</vt:lpwstr>
  </property>
  <property fmtid="{D5CDD505-2E9C-101B-9397-08002B2CF9AE}" pid="3" name="Order">
    <vt:r8>18700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ies>
</file>